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0.xml" ContentType="application/vnd.openxmlformats-officedocument.drawing+xml"/>
  <Override PartName="/xl/comments2.xml" ContentType="application/vnd.openxmlformats-officedocument.spreadsheetml.comments+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defaultThemeVersion="166925"/>
  <mc:AlternateContent xmlns:mc="http://schemas.openxmlformats.org/markup-compatibility/2006">
    <mc:Choice Requires="x15">
      <x15ac:absPath xmlns:x15ac="http://schemas.microsoft.com/office/spreadsheetml/2010/11/ac" url="C:\Users\Bohra\Desktop\ボーラほむぺ\Bohra2017\outputsample\"/>
    </mc:Choice>
  </mc:AlternateContent>
  <bookViews>
    <workbookView xWindow="0" yWindow="0" windowWidth="22410" windowHeight="10695"/>
  </bookViews>
  <sheets>
    <sheet name="表紙" sheetId="32" r:id="rId1"/>
    <sheet name="外界条件" sheetId="1" r:id="rId2"/>
    <sheet name="位置情報" sheetId="2" r:id="rId3"/>
    <sheet name="外気温度等" sheetId="3" r:id="rId4"/>
    <sheet name="ETD(OW1)" sheetId="4" r:id="rId5"/>
    <sheet name="ETD(OW2)" sheetId="5" r:id="rId6"/>
    <sheet name="ETD(OR1)" sheetId="6" r:id="rId7"/>
    <sheet name="非空調室温度" sheetId="7" r:id="rId8"/>
    <sheet name="ガラス日射（標準）" sheetId="8" r:id="rId9"/>
    <sheet name="熱貫流率" sheetId="9" r:id="rId10"/>
    <sheet name="熱貫流率表" sheetId="10" r:id="rId11"/>
    <sheet name="各室熱負荷" sheetId="11" r:id="rId12"/>
    <sheet name="201" sheetId="12" r:id="rId13"/>
    <sheet name="202" sheetId="13" r:id="rId14"/>
    <sheet name="301" sheetId="14" r:id="rId15"/>
    <sheet name="302" sheetId="15" r:id="rId16"/>
    <sheet name="系統別集計" sheetId="16" r:id="rId17"/>
    <sheet name="AC-1系統集計表" sheetId="17" r:id="rId18"/>
    <sheet name="AC-1系統空気線図" sheetId="18" r:id="rId19"/>
    <sheet name="AC-1系統 DC" sheetId="19" r:id="rId20"/>
    <sheet name="AC-2系統集計表" sheetId="20" r:id="rId21"/>
    <sheet name="AC-2系統空気線図" sheetId="21" r:id="rId22"/>
    <sheet name="AC-2系統 DC" sheetId="22" r:id="rId23"/>
    <sheet name="熱源集計" sheetId="23" r:id="rId24"/>
    <sheet name="R-1系統冷熱源" sheetId="24" r:id="rId25"/>
    <sheet name="HEX-1系統冷熱源" sheetId="25" r:id="rId26"/>
    <sheet name="R-3系統冷熱源" sheetId="26" r:id="rId27"/>
    <sheet name="R-1系統温熱源" sheetId="27" r:id="rId28"/>
    <sheet name="HEX-1系統温熱源" sheetId="28" r:id="rId29"/>
    <sheet name="R-3系統温熱源" sheetId="29" r:id="rId30"/>
    <sheet name="市水系統加湿源" sheetId="30" r:id="rId31"/>
    <sheet name="一次純水系統加湿源" sheetId="31" r:id="rId32"/>
  </sheets>
  <definedNames>
    <definedName name="ID" localSheetId="12">'201'!$HH$1</definedName>
    <definedName name="ID" localSheetId="13">'202'!$HH$1</definedName>
    <definedName name="ID" localSheetId="14">'301'!$HH$1</definedName>
    <definedName name="ID" localSheetId="15">'302'!$HH$1</definedName>
    <definedName name="ID" localSheetId="1">外界条件!$D$1</definedName>
    <definedName name="ID" localSheetId="11">各室熱負荷!$D$1</definedName>
    <definedName name="ID" localSheetId="16">系統別集計!$D$1</definedName>
    <definedName name="ID" localSheetId="9">熱貫流率!$D$1</definedName>
    <definedName name="ID" localSheetId="23">熱源集計!$D$1</definedName>
    <definedName name="ID" localSheetId="0">表紙!$K$1</definedName>
    <definedName name="_xlnm.Print_Area" localSheetId="12">'201'!$A$1:$HC$69</definedName>
    <definedName name="_xlnm.Print_Area" localSheetId="13">'202'!$A$1:$HC$69</definedName>
    <definedName name="_xlnm.Print_Area" localSheetId="14">'301'!$A$1:$HC$69</definedName>
    <definedName name="_xlnm.Print_Area" localSheetId="15">'302'!$A$1:$HC$69</definedName>
    <definedName name="_xlnm.Print_Area" localSheetId="19">'AC-1系統 DC'!$A$1:$Q$40</definedName>
    <definedName name="_xlnm.Print_Area" localSheetId="17">'AC-1系統集計表'!$A$7:$Y$48</definedName>
    <definedName name="_xlnm.Print_Area" localSheetId="22">'AC-2系統 DC'!$A$1:$Q$40</definedName>
    <definedName name="_xlnm.Print_Area" localSheetId="20">'AC-2系統集計表'!$A$7:$Y$48</definedName>
    <definedName name="_xlnm.Print_Area" localSheetId="28">'HEX-1系統温熱源'!$A$6:$G$41</definedName>
    <definedName name="_xlnm.Print_Area" localSheetId="25">'HEX-1系統冷熱源'!$A$6:$AC$58</definedName>
    <definedName name="_xlnm.Print_Area" localSheetId="27">'R-1系統温熱源'!$A$6:$G$41</definedName>
    <definedName name="_xlnm.Print_Area" localSheetId="24">'R-1系統冷熱源'!$A$6:$AC$58</definedName>
    <definedName name="_xlnm.Print_Area" localSheetId="29">'R-3系統温熱源'!$A$6:$G$41</definedName>
    <definedName name="_xlnm.Print_Area" localSheetId="26">'R-3系統冷熱源'!$A$6:$AC$58</definedName>
    <definedName name="_xlnm.Print_Area" localSheetId="8">'ガラス日射（標準）'!$A$1:$AB$96</definedName>
    <definedName name="_xlnm.Print_Area" localSheetId="2">位置情報!$A$1:$AA$40</definedName>
    <definedName name="_xlnm.Print_Area" localSheetId="31">一次純水系統加湿源!$A$7:$R$40</definedName>
    <definedName name="_xlnm.Print_Area" localSheetId="1">外界条件!$A$1:$A$16</definedName>
    <definedName name="_xlnm.Print_Area" localSheetId="11">各室熱負荷!$A$1:$A$16</definedName>
    <definedName name="_xlnm.Print_Area" localSheetId="16">系統別集計!$A$1:$A$16</definedName>
    <definedName name="_xlnm.Print_Area" localSheetId="30">市水系統加湿源!$A$7:$R$40</definedName>
    <definedName name="_xlnm.Print_Area" localSheetId="9">熱貫流率!$A$1:$A$16</definedName>
    <definedName name="_xlnm.Print_Area" localSheetId="10">熱貫流率表!$A$6:$L$73</definedName>
    <definedName name="_xlnm.Print_Area" localSheetId="23">熱源集計!$A$1:$A$16</definedName>
    <definedName name="_xlnm.Print_Area" localSheetId="7">非空調室温度!$A$1:$E$29</definedName>
    <definedName name="_xlnm.Print_Area" localSheetId="0">表紙!$A$1:$E$13</definedName>
    <definedName name="_xlnm.Print_Titles" localSheetId="19">'AC-1系統 DC'!$1:$7</definedName>
    <definedName name="_xlnm.Print_Titles" localSheetId="17">'AC-1系統集計表'!$1:$6</definedName>
    <definedName name="_xlnm.Print_Titles" localSheetId="22">'AC-2系統 DC'!$1:$7</definedName>
    <definedName name="_xlnm.Print_Titles" localSheetId="20">'AC-2系統集計表'!$1:$6</definedName>
    <definedName name="_xlnm.Print_Titles" localSheetId="28">'HEX-1系統温熱源'!$1:$5</definedName>
    <definedName name="_xlnm.Print_Titles" localSheetId="25">'HEX-1系統冷熱源'!$1:$5</definedName>
    <definedName name="_xlnm.Print_Titles" localSheetId="27">'R-1系統温熱源'!$1:$5</definedName>
    <definedName name="_xlnm.Print_Titles" localSheetId="24">'R-1系統冷熱源'!$1:$5</definedName>
    <definedName name="_xlnm.Print_Titles" localSheetId="29">'R-3系統温熱源'!$1:$5</definedName>
    <definedName name="_xlnm.Print_Titles" localSheetId="26">'R-3系統冷熱源'!$1:$5</definedName>
    <definedName name="_xlnm.Print_Titles" localSheetId="8">'ガラス日射（標準）'!$1:$9</definedName>
    <definedName name="_xlnm.Print_Titles" localSheetId="31">一次純水系統加湿源!$1:$6</definedName>
    <definedName name="_xlnm.Print_Titles" localSheetId="30">市水系統加湿源!$1:$6</definedName>
    <definedName name="_xlnm.Print_Titles" localSheetId="10">熱貫流率表!$1:$5</definedName>
    <definedName name="会社名" localSheetId="0">表紙!$A$10</definedName>
    <definedName name="顧客名" localSheetId="0">表紙!$A$1</definedName>
    <definedName name="室NO" localSheetId="12">'201'!$B$3</definedName>
    <definedName name="室NO" localSheetId="13">'202'!$B$3</definedName>
    <definedName name="室NO" localSheetId="14">'301'!$B$3</definedName>
    <definedName name="室NO" localSheetId="15">'302'!$B$3</definedName>
    <definedName name="日付" localSheetId="0">表紙!$A$8</definedName>
    <definedName name="面積" localSheetId="12">'201'!$D$5</definedName>
    <definedName name="面積" localSheetId="13">'202'!$D$5</definedName>
    <definedName name="面積" localSheetId="14">'301'!$D$5</definedName>
    <definedName name="面積" localSheetId="15">'302'!$D$5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U19" i="15" l="1"/>
  <c r="FR19" i="15"/>
  <c r="FH19" i="15"/>
  <c r="FF19" i="15"/>
  <c r="FD19" i="15"/>
  <c r="FB19" i="15"/>
  <c r="EZ19" i="15"/>
  <c r="EX19" i="15"/>
  <c r="EV19" i="15"/>
  <c r="ET19" i="15"/>
  <c r="ER19" i="15"/>
  <c r="EP19" i="15"/>
  <c r="EN19" i="15"/>
  <c r="EL19" i="15"/>
  <c r="EJ19" i="15"/>
  <c r="EH19" i="15"/>
  <c r="EF19" i="15"/>
  <c r="ED19" i="15"/>
  <c r="EB19" i="15"/>
  <c r="DZ19" i="15"/>
  <c r="DX19" i="15"/>
  <c r="DV19" i="15"/>
  <c r="DT19" i="15"/>
  <c r="DR19" i="15"/>
  <c r="DP19" i="15"/>
  <c r="DN19" i="15"/>
  <c r="DE19" i="15"/>
  <c r="DC19" i="15"/>
  <c r="DA19" i="15"/>
  <c r="CY19" i="15"/>
  <c r="CW19" i="15"/>
  <c r="CU19" i="15"/>
  <c r="CS19" i="15"/>
  <c r="CQ19" i="15"/>
  <c r="CO19" i="15"/>
  <c r="CM19" i="15"/>
  <c r="CK19" i="15"/>
  <c r="CI19" i="15"/>
  <c r="CG19" i="15"/>
  <c r="CE19" i="15"/>
  <c r="CC19" i="15"/>
  <c r="CA19" i="15"/>
  <c r="BY19" i="15"/>
  <c r="BW19" i="15"/>
  <c r="BU19" i="15"/>
  <c r="BS19" i="15"/>
  <c r="BQ19" i="15"/>
  <c r="BO19" i="15"/>
  <c r="BM19" i="15"/>
  <c r="BK19" i="15"/>
  <c r="BB19" i="15"/>
  <c r="AZ19" i="15"/>
  <c r="AX19" i="15"/>
  <c r="AV19" i="15"/>
  <c r="AT19" i="15"/>
  <c r="AR19" i="15"/>
  <c r="AP19" i="15"/>
  <c r="AN19" i="15"/>
  <c r="AL19" i="15"/>
  <c r="AJ19" i="15"/>
  <c r="AH19" i="15"/>
  <c r="AF19" i="15"/>
  <c r="AD19" i="15"/>
  <c r="AB19" i="15"/>
  <c r="Z19" i="15"/>
  <c r="X19" i="15"/>
  <c r="V19" i="15"/>
  <c r="T19" i="15"/>
  <c r="R19" i="15"/>
  <c r="P19" i="15"/>
  <c r="N19" i="15"/>
  <c r="L19" i="15"/>
  <c r="J19" i="15"/>
  <c r="H19" i="15"/>
  <c r="FU18" i="15"/>
  <c r="FR18" i="15"/>
  <c r="FH18" i="15"/>
  <c r="FF18" i="15"/>
  <c r="FD18" i="15"/>
  <c r="FB18" i="15"/>
  <c r="EZ18" i="15"/>
  <c r="EX18" i="15"/>
  <c r="EV18" i="15"/>
  <c r="ET18" i="15"/>
  <c r="ER18" i="15"/>
  <c r="EP18" i="15"/>
  <c r="EN18" i="15"/>
  <c r="EL18" i="15"/>
  <c r="EJ18" i="15"/>
  <c r="EH18" i="15"/>
  <c r="EF18" i="15"/>
  <c r="ED18" i="15"/>
  <c r="EB18" i="15"/>
  <c r="DZ18" i="15"/>
  <c r="DX18" i="15"/>
  <c r="DV18" i="15"/>
  <c r="DT18" i="15"/>
  <c r="DR18" i="15"/>
  <c r="DP18" i="15"/>
  <c r="DN18" i="15"/>
  <c r="DE18" i="15"/>
  <c r="DC18" i="15"/>
  <c r="DA18" i="15"/>
  <c r="CY18" i="15"/>
  <c r="CW18" i="15"/>
  <c r="CU18" i="15"/>
  <c r="CS18" i="15"/>
  <c r="CQ18" i="15"/>
  <c r="CO18" i="15"/>
  <c r="CM18" i="15"/>
  <c r="CK18" i="15"/>
  <c r="CI18" i="15"/>
  <c r="CG18" i="15"/>
  <c r="CE18" i="15"/>
  <c r="CC18" i="15"/>
  <c r="CA18" i="15"/>
  <c r="BY18" i="15"/>
  <c r="BW18" i="15"/>
  <c r="BU18" i="15"/>
  <c r="BS18" i="15"/>
  <c r="BQ18" i="15"/>
  <c r="BO18" i="15"/>
  <c r="BM18" i="15"/>
  <c r="BK18" i="15"/>
  <c r="BB18" i="15"/>
  <c r="AZ18" i="15"/>
  <c r="AX18" i="15"/>
  <c r="AV18" i="15"/>
  <c r="AT18" i="15"/>
  <c r="AR18" i="15"/>
  <c r="AP18" i="15"/>
  <c r="AN18" i="15"/>
  <c r="AL18" i="15"/>
  <c r="AJ18" i="15"/>
  <c r="AH18" i="15"/>
  <c r="AF18" i="15"/>
  <c r="AD18" i="15"/>
  <c r="AB18" i="15"/>
  <c r="Z18" i="15"/>
  <c r="X18" i="15"/>
  <c r="V18" i="15"/>
  <c r="T18" i="15"/>
  <c r="R18" i="15"/>
  <c r="P18" i="15"/>
  <c r="N18" i="15"/>
  <c r="L18" i="15"/>
  <c r="J18" i="15"/>
  <c r="H18" i="15"/>
  <c r="FH10" i="15"/>
  <c r="FF10" i="15"/>
  <c r="FD10" i="15"/>
  <c r="FB10" i="15"/>
  <c r="EZ10" i="15"/>
  <c r="EX10" i="15"/>
  <c r="EV10" i="15"/>
  <c r="ET10" i="15"/>
  <c r="ER10" i="15"/>
  <c r="EP10" i="15"/>
  <c r="EN10" i="15"/>
  <c r="EL10" i="15"/>
  <c r="EJ10" i="15"/>
  <c r="EH10" i="15"/>
  <c r="EF10" i="15"/>
  <c r="ED10" i="15"/>
  <c r="EB10" i="15"/>
  <c r="DZ10" i="15"/>
  <c r="DX10" i="15"/>
  <c r="DV10" i="15"/>
  <c r="DT10" i="15"/>
  <c r="DR10" i="15"/>
  <c r="DP10" i="15"/>
  <c r="DN10" i="15"/>
  <c r="DE10" i="15"/>
  <c r="DC10" i="15"/>
  <c r="DA10" i="15"/>
  <c r="CY10" i="15"/>
  <c r="CW10" i="15"/>
  <c r="CU10" i="15"/>
  <c r="CS10" i="15"/>
  <c r="CQ10" i="15"/>
  <c r="CO10" i="15"/>
  <c r="CM10" i="15"/>
  <c r="CK10" i="15"/>
  <c r="CI10" i="15"/>
  <c r="CG10" i="15"/>
  <c r="CE10" i="15"/>
  <c r="CC10" i="15"/>
  <c r="CA10" i="15"/>
  <c r="BY10" i="15"/>
  <c r="BW10" i="15"/>
  <c r="BU10" i="15"/>
  <c r="BS10" i="15"/>
  <c r="BQ10" i="15"/>
  <c r="BO10" i="15"/>
  <c r="BM10" i="15"/>
  <c r="BK10" i="15"/>
  <c r="BB10" i="15"/>
  <c r="AZ10" i="15"/>
  <c r="AX10" i="15"/>
  <c r="AV10" i="15"/>
  <c r="AT10" i="15"/>
  <c r="AR10" i="15"/>
  <c r="AP10" i="15"/>
  <c r="AN10" i="15"/>
  <c r="AL10" i="15"/>
  <c r="AJ10" i="15"/>
  <c r="AH10" i="15"/>
  <c r="AF10" i="15"/>
  <c r="AD10" i="15"/>
  <c r="AB10" i="15"/>
  <c r="Z10" i="15"/>
  <c r="X10" i="15"/>
  <c r="V10" i="15"/>
  <c r="T10" i="15"/>
  <c r="R10" i="15"/>
  <c r="P10" i="15"/>
  <c r="N10" i="15"/>
  <c r="L10" i="15"/>
  <c r="J10" i="15"/>
  <c r="H10" i="15"/>
  <c r="D10" i="15"/>
  <c r="FU17" i="15"/>
  <c r="FR17" i="15"/>
  <c r="FH17" i="15"/>
  <c r="FF17" i="15"/>
  <c r="FD17" i="15"/>
  <c r="FB17" i="15"/>
  <c r="EZ17" i="15"/>
  <c r="EX17" i="15"/>
  <c r="EV17" i="15"/>
  <c r="ET17" i="15"/>
  <c r="ER17" i="15"/>
  <c r="EP17" i="15"/>
  <c r="EN17" i="15"/>
  <c r="EL17" i="15"/>
  <c r="EJ17" i="15"/>
  <c r="EH17" i="15"/>
  <c r="EF17" i="15"/>
  <c r="ED17" i="15"/>
  <c r="EB17" i="15"/>
  <c r="DZ17" i="15"/>
  <c r="DX17" i="15"/>
  <c r="DV17" i="15"/>
  <c r="DT17" i="15"/>
  <c r="DR17" i="15"/>
  <c r="DP17" i="15"/>
  <c r="DN17" i="15"/>
  <c r="DE17" i="15"/>
  <c r="DC17" i="15"/>
  <c r="DA17" i="15"/>
  <c r="CY17" i="15"/>
  <c r="CW17" i="15"/>
  <c r="CU17" i="15"/>
  <c r="CS17" i="15"/>
  <c r="CQ17" i="15"/>
  <c r="CO17" i="15"/>
  <c r="CM17" i="15"/>
  <c r="CK17" i="15"/>
  <c r="CI17" i="15"/>
  <c r="CG17" i="15"/>
  <c r="CE17" i="15"/>
  <c r="CC17" i="15"/>
  <c r="CA17" i="15"/>
  <c r="BY17" i="15"/>
  <c r="BW17" i="15"/>
  <c r="BU17" i="15"/>
  <c r="BS17" i="15"/>
  <c r="BQ17" i="15"/>
  <c r="BO17" i="15"/>
  <c r="BM17" i="15"/>
  <c r="BK17" i="15"/>
  <c r="BB17" i="15"/>
  <c r="AZ17" i="15"/>
  <c r="AX17" i="15"/>
  <c r="AV17" i="15"/>
  <c r="AV26" i="15" s="1"/>
  <c r="AT17" i="15"/>
  <c r="AR17" i="15"/>
  <c r="AP17" i="15"/>
  <c r="AN17" i="15"/>
  <c r="AN26" i="15" s="1"/>
  <c r="AL17" i="15"/>
  <c r="AJ17" i="15"/>
  <c r="AH17" i="15"/>
  <c r="AF17" i="15"/>
  <c r="AF26" i="15" s="1"/>
  <c r="AD17" i="15"/>
  <c r="AB17" i="15"/>
  <c r="Z17" i="15"/>
  <c r="Z26" i="15" s="1"/>
  <c r="X17" i="15"/>
  <c r="X26" i="15" s="1"/>
  <c r="V17" i="15"/>
  <c r="T17" i="15"/>
  <c r="R17" i="15"/>
  <c r="P17" i="15"/>
  <c r="P26" i="15" s="1"/>
  <c r="N17" i="15"/>
  <c r="L17" i="15"/>
  <c r="J17" i="15"/>
  <c r="J26" i="15" s="1"/>
  <c r="H17" i="15"/>
  <c r="H26" i="15" s="1"/>
  <c r="FU16" i="15"/>
  <c r="FR16" i="15"/>
  <c r="FH16" i="15"/>
  <c r="FF16" i="15"/>
  <c r="FF26" i="15" s="1"/>
  <c r="FD16" i="15"/>
  <c r="FB16" i="15"/>
  <c r="EZ16" i="15"/>
  <c r="EX16" i="15"/>
  <c r="EV16" i="15"/>
  <c r="ET16" i="15"/>
  <c r="ER16" i="15"/>
  <c r="EP16" i="15"/>
  <c r="EP26" i="15" s="1"/>
  <c r="EN16" i="15"/>
  <c r="EL16" i="15"/>
  <c r="EJ16" i="15"/>
  <c r="EH16" i="15"/>
  <c r="EF16" i="15"/>
  <c r="ED16" i="15"/>
  <c r="EB16" i="15"/>
  <c r="DZ16" i="15"/>
  <c r="DZ26" i="15" s="1"/>
  <c r="DX16" i="15"/>
  <c r="DV16" i="15"/>
  <c r="DT16" i="15"/>
  <c r="DR16" i="15"/>
  <c r="DP16" i="15"/>
  <c r="DN16" i="15"/>
  <c r="DE16" i="15"/>
  <c r="DC16" i="15"/>
  <c r="DC26" i="15" s="1"/>
  <c r="DA16" i="15"/>
  <c r="CY16" i="15"/>
  <c r="CW16" i="15"/>
  <c r="CU16" i="15"/>
  <c r="CS16" i="15"/>
  <c r="CQ16" i="15"/>
  <c r="CO16" i="15"/>
  <c r="CM16" i="15"/>
  <c r="CM26" i="15" s="1"/>
  <c r="CK16" i="15"/>
  <c r="CI16" i="15"/>
  <c r="CG16" i="15"/>
  <c r="CE16" i="15"/>
  <c r="CC16" i="15"/>
  <c r="CA16" i="15"/>
  <c r="BY16" i="15"/>
  <c r="BY26" i="15" s="1"/>
  <c r="BW16" i="15"/>
  <c r="BW26" i="15" s="1"/>
  <c r="BU16" i="15"/>
  <c r="BS16" i="15"/>
  <c r="BQ16" i="15"/>
  <c r="BO16" i="15"/>
  <c r="BM16" i="15"/>
  <c r="BK16" i="15"/>
  <c r="BB16" i="15"/>
  <c r="BB26" i="15" s="1"/>
  <c r="AZ16" i="15"/>
  <c r="AZ26" i="15" s="1"/>
  <c r="AX16" i="15"/>
  <c r="AV16" i="15"/>
  <c r="AT16" i="15"/>
  <c r="AR16" i="15"/>
  <c r="AP16" i="15"/>
  <c r="AN16" i="15"/>
  <c r="AL16" i="15"/>
  <c r="AL26" i="15" s="1"/>
  <c r="AJ16" i="15"/>
  <c r="AJ26" i="15" s="1"/>
  <c r="AH16" i="15"/>
  <c r="AF16" i="15"/>
  <c r="AD16" i="15"/>
  <c r="AB16" i="15"/>
  <c r="Z16" i="15"/>
  <c r="X16" i="15"/>
  <c r="V16" i="15"/>
  <c r="V26" i="15" s="1"/>
  <c r="T16" i="15"/>
  <c r="T26" i="15" s="1"/>
  <c r="R16" i="15"/>
  <c r="P16" i="15"/>
  <c r="N16" i="15"/>
  <c r="L16" i="15"/>
  <c r="J16" i="15"/>
  <c r="H16" i="15"/>
  <c r="DM68" i="15"/>
  <c r="BJ68" i="15"/>
  <c r="FH26" i="15"/>
  <c r="EZ26" i="15"/>
  <c r="EX26" i="15"/>
  <c r="ER26" i="15"/>
  <c r="EJ26" i="15"/>
  <c r="EH26" i="15"/>
  <c r="EB26" i="15"/>
  <c r="DT26" i="15"/>
  <c r="DR26" i="15"/>
  <c r="DE26" i="15"/>
  <c r="CW26" i="15"/>
  <c r="CU26" i="15"/>
  <c r="CO26" i="15"/>
  <c r="CG26" i="15"/>
  <c r="CE26" i="15"/>
  <c r="BQ26" i="15"/>
  <c r="BO26" i="15"/>
  <c r="AT26" i="15"/>
  <c r="AR26" i="15"/>
  <c r="AD26" i="15"/>
  <c r="AB26" i="15"/>
  <c r="N26" i="15"/>
  <c r="L26" i="15"/>
  <c r="FU14" i="15"/>
  <c r="FR14" i="15"/>
  <c r="FH14" i="15"/>
  <c r="FF14" i="15"/>
  <c r="FD14" i="15"/>
  <c r="FB14" i="15"/>
  <c r="EZ14" i="15"/>
  <c r="EX14" i="15"/>
  <c r="EV14" i="15"/>
  <c r="ET14" i="15"/>
  <c r="ER14" i="15"/>
  <c r="EP14" i="15"/>
  <c r="EN14" i="15"/>
  <c r="EL14" i="15"/>
  <c r="EJ14" i="15"/>
  <c r="EH14" i="15"/>
  <c r="EF14" i="15"/>
  <c r="ED14" i="15"/>
  <c r="EB14" i="15"/>
  <c r="DZ14" i="15"/>
  <c r="DX14" i="15"/>
  <c r="DV14" i="15"/>
  <c r="DT14" i="15"/>
  <c r="DR14" i="15"/>
  <c r="DP14" i="15"/>
  <c r="DN14" i="15"/>
  <c r="DE14" i="15"/>
  <c r="DC14" i="15"/>
  <c r="DA14" i="15"/>
  <c r="CY14" i="15"/>
  <c r="CW14" i="15"/>
  <c r="CU14" i="15"/>
  <c r="CS14" i="15"/>
  <c r="CQ14" i="15"/>
  <c r="CO14" i="15"/>
  <c r="CM14" i="15"/>
  <c r="CK14" i="15"/>
  <c r="CI14" i="15"/>
  <c r="CG14" i="15"/>
  <c r="CE14" i="15"/>
  <c r="CC14" i="15"/>
  <c r="CA14" i="15"/>
  <c r="BY14" i="15"/>
  <c r="BW14" i="15"/>
  <c r="BU14" i="15"/>
  <c r="BS14" i="15"/>
  <c r="BQ14" i="15"/>
  <c r="BO14" i="15"/>
  <c r="BM14" i="15"/>
  <c r="BK14" i="15"/>
  <c r="BB14" i="15"/>
  <c r="AZ14" i="15"/>
  <c r="AX14" i="15"/>
  <c r="AV14" i="15"/>
  <c r="AT14" i="15"/>
  <c r="AR14" i="15"/>
  <c r="AP14" i="15"/>
  <c r="AN14" i="15"/>
  <c r="AL14" i="15"/>
  <c r="AJ14" i="15"/>
  <c r="AH14" i="15"/>
  <c r="AF14" i="15"/>
  <c r="AD14" i="15"/>
  <c r="AB14" i="15"/>
  <c r="Z14" i="15"/>
  <c r="X14" i="15"/>
  <c r="V14" i="15"/>
  <c r="T14" i="15"/>
  <c r="R14" i="15"/>
  <c r="P14" i="15"/>
  <c r="N14" i="15"/>
  <c r="L14" i="15"/>
  <c r="J14" i="15"/>
  <c r="H14" i="15"/>
  <c r="FE1" i="15"/>
  <c r="DB1" i="15"/>
  <c r="FU19" i="14"/>
  <c r="FR19" i="14"/>
  <c r="FH19" i="14"/>
  <c r="FF19" i="14"/>
  <c r="FD19" i="14"/>
  <c r="FB19" i="14"/>
  <c r="EZ19" i="14"/>
  <c r="EX19" i="14"/>
  <c r="EV19" i="14"/>
  <c r="ET19" i="14"/>
  <c r="ER19" i="14"/>
  <c r="EP19" i="14"/>
  <c r="EN19" i="14"/>
  <c r="EL19" i="14"/>
  <c r="EJ19" i="14"/>
  <c r="EH19" i="14"/>
  <c r="EF19" i="14"/>
  <c r="ED19" i="14"/>
  <c r="EB19" i="14"/>
  <c r="DZ19" i="14"/>
  <c r="DX19" i="14"/>
  <c r="DV19" i="14"/>
  <c r="DT19" i="14"/>
  <c r="DR19" i="14"/>
  <c r="DP19" i="14"/>
  <c r="DN19" i="14"/>
  <c r="DE19" i="14"/>
  <c r="DC19" i="14"/>
  <c r="DA19" i="14"/>
  <c r="CY19" i="14"/>
  <c r="CW19" i="14"/>
  <c r="CU19" i="14"/>
  <c r="CS19" i="14"/>
  <c r="CQ19" i="14"/>
  <c r="CO19" i="14"/>
  <c r="CM19" i="14"/>
  <c r="CK19" i="14"/>
  <c r="CI19" i="14"/>
  <c r="CG19" i="14"/>
  <c r="CE19" i="14"/>
  <c r="CC19" i="14"/>
  <c r="CA19" i="14"/>
  <c r="BY19" i="14"/>
  <c r="BW19" i="14"/>
  <c r="BU19" i="14"/>
  <c r="BS19" i="14"/>
  <c r="BQ19" i="14"/>
  <c r="BO19" i="14"/>
  <c r="BM19" i="14"/>
  <c r="BK19" i="14"/>
  <c r="BB19" i="14"/>
  <c r="AZ19" i="14"/>
  <c r="AX19" i="14"/>
  <c r="AV19" i="14"/>
  <c r="AT19" i="14"/>
  <c r="AR19" i="14"/>
  <c r="AP19" i="14"/>
  <c r="AN19" i="14"/>
  <c r="AL19" i="14"/>
  <c r="AJ19" i="14"/>
  <c r="AH19" i="14"/>
  <c r="AF19" i="14"/>
  <c r="AD19" i="14"/>
  <c r="AB19" i="14"/>
  <c r="Z19" i="14"/>
  <c r="X19" i="14"/>
  <c r="V19" i="14"/>
  <c r="T19" i="14"/>
  <c r="R19" i="14"/>
  <c r="P19" i="14"/>
  <c r="N19" i="14"/>
  <c r="L19" i="14"/>
  <c r="J19" i="14"/>
  <c r="H19" i="14"/>
  <c r="FU18" i="14"/>
  <c r="FR18" i="14"/>
  <c r="FH18" i="14"/>
  <c r="FF18" i="14"/>
  <c r="FD18" i="14"/>
  <c r="FB18" i="14"/>
  <c r="EZ18" i="14"/>
  <c r="EX18" i="14"/>
  <c r="EV18" i="14"/>
  <c r="ET18" i="14"/>
  <c r="ER18" i="14"/>
  <c r="EP18" i="14"/>
  <c r="EN18" i="14"/>
  <c r="EL18" i="14"/>
  <c r="EJ18" i="14"/>
  <c r="EH18" i="14"/>
  <c r="EF18" i="14"/>
  <c r="ED18" i="14"/>
  <c r="EB18" i="14"/>
  <c r="DZ18" i="14"/>
  <c r="DX18" i="14"/>
  <c r="DV18" i="14"/>
  <c r="DT18" i="14"/>
  <c r="DR18" i="14"/>
  <c r="DP18" i="14"/>
  <c r="DN18" i="14"/>
  <c r="DE18" i="14"/>
  <c r="DC18" i="14"/>
  <c r="DA18" i="14"/>
  <c r="CY18" i="14"/>
  <c r="CW18" i="14"/>
  <c r="CU18" i="14"/>
  <c r="CS18" i="14"/>
  <c r="CQ18" i="14"/>
  <c r="CO18" i="14"/>
  <c r="CM18" i="14"/>
  <c r="CK18" i="14"/>
  <c r="CI18" i="14"/>
  <c r="CG18" i="14"/>
  <c r="CE18" i="14"/>
  <c r="CC18" i="14"/>
  <c r="CA18" i="14"/>
  <c r="BY18" i="14"/>
  <c r="BW18" i="14"/>
  <c r="BU18" i="14"/>
  <c r="BS18" i="14"/>
  <c r="BQ18" i="14"/>
  <c r="BO18" i="14"/>
  <c r="BM18" i="14"/>
  <c r="BK18" i="14"/>
  <c r="BB18" i="14"/>
  <c r="AZ18" i="14"/>
  <c r="AX18" i="14"/>
  <c r="AV18" i="14"/>
  <c r="AT18" i="14"/>
  <c r="AR18" i="14"/>
  <c r="AP18" i="14"/>
  <c r="AN18" i="14"/>
  <c r="AL18" i="14"/>
  <c r="AJ18" i="14"/>
  <c r="AH18" i="14"/>
  <c r="AF18" i="14"/>
  <c r="AD18" i="14"/>
  <c r="AB18" i="14"/>
  <c r="Z18" i="14"/>
  <c r="X18" i="14"/>
  <c r="V18" i="14"/>
  <c r="T18" i="14"/>
  <c r="R18" i="14"/>
  <c r="P18" i="14"/>
  <c r="N18" i="14"/>
  <c r="L18" i="14"/>
  <c r="J18" i="14"/>
  <c r="H18" i="14"/>
  <c r="FH10" i="14"/>
  <c r="FF10" i="14"/>
  <c r="FD10" i="14"/>
  <c r="FB10" i="14"/>
  <c r="EZ10" i="14"/>
  <c r="EX10" i="14"/>
  <c r="EV10" i="14"/>
  <c r="ET10" i="14"/>
  <c r="ER10" i="14"/>
  <c r="EP10" i="14"/>
  <c r="EN10" i="14"/>
  <c r="EL10" i="14"/>
  <c r="EJ10" i="14"/>
  <c r="EH10" i="14"/>
  <c r="EF10" i="14"/>
  <c r="ED10" i="14"/>
  <c r="EB10" i="14"/>
  <c r="DZ10" i="14"/>
  <c r="DX10" i="14"/>
  <c r="DV10" i="14"/>
  <c r="DT10" i="14"/>
  <c r="DR10" i="14"/>
  <c r="DP10" i="14"/>
  <c r="DN10" i="14"/>
  <c r="DE10" i="14"/>
  <c r="DC10" i="14"/>
  <c r="DA10" i="14"/>
  <c r="CY10" i="14"/>
  <c r="CW10" i="14"/>
  <c r="CU10" i="14"/>
  <c r="CS10" i="14"/>
  <c r="CQ10" i="14"/>
  <c r="CO10" i="14"/>
  <c r="CM10" i="14"/>
  <c r="CK10" i="14"/>
  <c r="CI10" i="14"/>
  <c r="CG10" i="14"/>
  <c r="CE10" i="14"/>
  <c r="CC10" i="14"/>
  <c r="CA10" i="14"/>
  <c r="BY10" i="14"/>
  <c r="BW10" i="14"/>
  <c r="BU10" i="14"/>
  <c r="BS10" i="14"/>
  <c r="BQ10" i="14"/>
  <c r="BO10" i="14"/>
  <c r="BM10" i="14"/>
  <c r="BK10" i="14"/>
  <c r="BB10" i="14"/>
  <c r="AZ10" i="14"/>
  <c r="AX10" i="14"/>
  <c r="AV10" i="14"/>
  <c r="AT10" i="14"/>
  <c r="AR10" i="14"/>
  <c r="AP10" i="14"/>
  <c r="AN10" i="14"/>
  <c r="AL10" i="14"/>
  <c r="AJ10" i="14"/>
  <c r="AH10" i="14"/>
  <c r="AF10" i="14"/>
  <c r="AD10" i="14"/>
  <c r="AB10" i="14"/>
  <c r="Z10" i="14"/>
  <c r="X10" i="14"/>
  <c r="V10" i="14"/>
  <c r="T10" i="14"/>
  <c r="R10" i="14"/>
  <c r="P10" i="14"/>
  <c r="N10" i="14"/>
  <c r="L10" i="14"/>
  <c r="J10" i="14"/>
  <c r="H10" i="14"/>
  <c r="D10" i="14"/>
  <c r="FU17" i="14"/>
  <c r="FR17" i="14"/>
  <c r="FH17" i="14"/>
  <c r="FH26" i="14" s="1"/>
  <c r="FF17" i="14"/>
  <c r="FD17" i="14"/>
  <c r="FB17" i="14"/>
  <c r="EZ17" i="14"/>
  <c r="EX17" i="14"/>
  <c r="EV17" i="14"/>
  <c r="ET17" i="14"/>
  <c r="ER17" i="14"/>
  <c r="EP17" i="14"/>
  <c r="EN17" i="14"/>
  <c r="EL17" i="14"/>
  <c r="EJ17" i="14"/>
  <c r="EH17" i="14"/>
  <c r="EF17" i="14"/>
  <c r="ED17" i="14"/>
  <c r="EB17" i="14"/>
  <c r="DZ17" i="14"/>
  <c r="DX17" i="14"/>
  <c r="DV17" i="14"/>
  <c r="DT17" i="14"/>
  <c r="DR17" i="14"/>
  <c r="DP17" i="14"/>
  <c r="DN17" i="14"/>
  <c r="DE17" i="14"/>
  <c r="DC17" i="14"/>
  <c r="DA17" i="14"/>
  <c r="CY17" i="14"/>
  <c r="CW17" i="14"/>
  <c r="CU17" i="14"/>
  <c r="CS17" i="14"/>
  <c r="CQ17" i="14"/>
  <c r="CO17" i="14"/>
  <c r="CO26" i="14" s="1"/>
  <c r="CM17" i="14"/>
  <c r="CK17" i="14"/>
  <c r="CI17" i="14"/>
  <c r="CG17" i="14"/>
  <c r="CE17" i="14"/>
  <c r="CC17" i="14"/>
  <c r="CA17" i="14"/>
  <c r="BY17" i="14"/>
  <c r="BW17" i="14"/>
  <c r="BU17" i="14"/>
  <c r="BS17" i="14"/>
  <c r="BQ17" i="14"/>
  <c r="BO17" i="14"/>
  <c r="BM17" i="14"/>
  <c r="BK17" i="14"/>
  <c r="BB17" i="14"/>
  <c r="AZ17" i="14"/>
  <c r="AX17" i="14"/>
  <c r="AV17" i="14"/>
  <c r="AT17" i="14"/>
  <c r="AR17" i="14"/>
  <c r="AP17" i="14"/>
  <c r="AN17" i="14"/>
  <c r="AL17" i="14"/>
  <c r="AJ17" i="14"/>
  <c r="AH17" i="14"/>
  <c r="AF17" i="14"/>
  <c r="AD17" i="14"/>
  <c r="AB17" i="14"/>
  <c r="Z17" i="14"/>
  <c r="X17" i="14"/>
  <c r="V17" i="14"/>
  <c r="V26" i="14" s="1"/>
  <c r="T17" i="14"/>
  <c r="R17" i="14"/>
  <c r="P17" i="14"/>
  <c r="N17" i="14"/>
  <c r="L17" i="14"/>
  <c r="J17" i="14"/>
  <c r="H17" i="14"/>
  <c r="FU16" i="14"/>
  <c r="FR16" i="14"/>
  <c r="FH16" i="14"/>
  <c r="FF16" i="14"/>
  <c r="FD16" i="14"/>
  <c r="FB16" i="14"/>
  <c r="EZ16" i="14"/>
  <c r="EX16" i="14"/>
  <c r="EV16" i="14"/>
  <c r="EV26" i="14" s="1"/>
  <c r="ET16" i="14"/>
  <c r="ER16" i="14"/>
  <c r="EP16" i="14"/>
  <c r="EN16" i="14"/>
  <c r="EL16" i="14"/>
  <c r="EJ16" i="14"/>
  <c r="EH16" i="14"/>
  <c r="EF16" i="14"/>
  <c r="ED16" i="14"/>
  <c r="EB16" i="14"/>
  <c r="DZ16" i="14"/>
  <c r="DX16" i="14"/>
  <c r="DV16" i="14"/>
  <c r="DT16" i="14"/>
  <c r="DR16" i="14"/>
  <c r="DP16" i="14"/>
  <c r="DP26" i="14" s="1"/>
  <c r="DN16" i="14"/>
  <c r="DE16" i="14"/>
  <c r="DC16" i="14"/>
  <c r="DA16" i="14"/>
  <c r="CY16" i="14"/>
  <c r="CW16" i="14"/>
  <c r="CU16" i="14"/>
  <c r="CS16" i="14"/>
  <c r="CQ16" i="14"/>
  <c r="CO16" i="14"/>
  <c r="CM16" i="14"/>
  <c r="CK16" i="14"/>
  <c r="CI16" i="14"/>
  <c r="CG16" i="14"/>
  <c r="CE16" i="14"/>
  <c r="CC16" i="14"/>
  <c r="CC26" i="14" s="1"/>
  <c r="CA16" i="14"/>
  <c r="BY16" i="14"/>
  <c r="BW16" i="14"/>
  <c r="BU16" i="14"/>
  <c r="BS16" i="14"/>
  <c r="BQ16" i="14"/>
  <c r="BO16" i="14"/>
  <c r="BM16" i="14"/>
  <c r="BK16" i="14"/>
  <c r="BB16" i="14"/>
  <c r="AZ16" i="14"/>
  <c r="AX16" i="14"/>
  <c r="AV16" i="14"/>
  <c r="AT16" i="14"/>
  <c r="AR16" i="14"/>
  <c r="AP16" i="14"/>
  <c r="AP26" i="14" s="1"/>
  <c r="AN16" i="14"/>
  <c r="AL16" i="14"/>
  <c r="AJ16" i="14"/>
  <c r="AH16" i="14"/>
  <c r="AF16" i="14"/>
  <c r="AD16" i="14"/>
  <c r="AB16" i="14"/>
  <c r="Z16" i="14"/>
  <c r="X16" i="14"/>
  <c r="V16" i="14"/>
  <c r="T16" i="14"/>
  <c r="R16" i="14"/>
  <c r="P16" i="14"/>
  <c r="N16" i="14"/>
  <c r="L16" i="14"/>
  <c r="J16" i="14"/>
  <c r="J26" i="14" s="1"/>
  <c r="H16" i="14"/>
  <c r="DM68" i="14"/>
  <c r="BJ68" i="14"/>
  <c r="FU26" i="14"/>
  <c r="FR26" i="14"/>
  <c r="FD26" i="14"/>
  <c r="FB26" i="14"/>
  <c r="EZ26" i="14"/>
  <c r="ET26" i="14"/>
  <c r="ER26" i="14"/>
  <c r="EN26" i="14"/>
  <c r="EL26" i="14"/>
  <c r="EJ26" i="14"/>
  <c r="EF26" i="14"/>
  <c r="ED26" i="14"/>
  <c r="EB26" i="14"/>
  <c r="DX26" i="14"/>
  <c r="DV26" i="14"/>
  <c r="DT26" i="14"/>
  <c r="DN26" i="14"/>
  <c r="DE26" i="14"/>
  <c r="DA26" i="14"/>
  <c r="CY26" i="14"/>
  <c r="CW26" i="14"/>
  <c r="CS26" i="14"/>
  <c r="CQ26" i="14"/>
  <c r="CK26" i="14"/>
  <c r="CI26" i="14"/>
  <c r="CG26" i="14"/>
  <c r="CA26" i="14"/>
  <c r="BY26" i="14"/>
  <c r="BU26" i="14"/>
  <c r="BS26" i="14"/>
  <c r="BQ26" i="14"/>
  <c r="BM26" i="14"/>
  <c r="BK26" i="14"/>
  <c r="BB26" i="14"/>
  <c r="AX26" i="14"/>
  <c r="AV26" i="14"/>
  <c r="AT26" i="14"/>
  <c r="AN26" i="14"/>
  <c r="AL26" i="14"/>
  <c r="AH26" i="14"/>
  <c r="AF26" i="14"/>
  <c r="AD26" i="14"/>
  <c r="Z26" i="14"/>
  <c r="X26" i="14"/>
  <c r="R26" i="14"/>
  <c r="P26" i="14"/>
  <c r="N26" i="14"/>
  <c r="H26" i="14"/>
  <c r="FU14" i="14"/>
  <c r="FR14" i="14"/>
  <c r="FH14" i="14"/>
  <c r="FF14" i="14"/>
  <c r="FD14" i="14"/>
  <c r="FB14" i="14"/>
  <c r="EZ14" i="14"/>
  <c r="EX14" i="14"/>
  <c r="EV14" i="14"/>
  <c r="ET14" i="14"/>
  <c r="ER14" i="14"/>
  <c r="EP14" i="14"/>
  <c r="EN14" i="14"/>
  <c r="EL14" i="14"/>
  <c r="EJ14" i="14"/>
  <c r="EH14" i="14"/>
  <c r="EF14" i="14"/>
  <c r="ED14" i="14"/>
  <c r="EB14" i="14"/>
  <c r="DZ14" i="14"/>
  <c r="DX14" i="14"/>
  <c r="DV14" i="14"/>
  <c r="DT14" i="14"/>
  <c r="DR14" i="14"/>
  <c r="DP14" i="14"/>
  <c r="DN14" i="14"/>
  <c r="DE14" i="14"/>
  <c r="DC14" i="14"/>
  <c r="DA14" i="14"/>
  <c r="CY14" i="14"/>
  <c r="CW14" i="14"/>
  <c r="CU14" i="14"/>
  <c r="CS14" i="14"/>
  <c r="CQ14" i="14"/>
  <c r="CO14" i="14"/>
  <c r="CM14" i="14"/>
  <c r="CK14" i="14"/>
  <c r="CI14" i="14"/>
  <c r="CG14" i="14"/>
  <c r="CE14" i="14"/>
  <c r="CC14" i="14"/>
  <c r="CA14" i="14"/>
  <c r="BY14" i="14"/>
  <c r="BW14" i="14"/>
  <c r="BU14" i="14"/>
  <c r="BS14" i="14"/>
  <c r="BQ14" i="14"/>
  <c r="BO14" i="14"/>
  <c r="BM14" i="14"/>
  <c r="BK14" i="14"/>
  <c r="BB14" i="14"/>
  <c r="AZ14" i="14"/>
  <c r="AX14" i="14"/>
  <c r="AV14" i="14"/>
  <c r="AT14" i="14"/>
  <c r="AR14" i="14"/>
  <c r="AP14" i="14"/>
  <c r="AN14" i="14"/>
  <c r="AL14" i="14"/>
  <c r="AJ14" i="14"/>
  <c r="AH14" i="14"/>
  <c r="AF14" i="14"/>
  <c r="AD14" i="14"/>
  <c r="AB14" i="14"/>
  <c r="Z14" i="14"/>
  <c r="X14" i="14"/>
  <c r="V14" i="14"/>
  <c r="T14" i="14"/>
  <c r="R14" i="14"/>
  <c r="P14" i="14"/>
  <c r="N14" i="14"/>
  <c r="L14" i="14"/>
  <c r="J14" i="14"/>
  <c r="H14" i="14"/>
  <c r="FE1" i="14"/>
  <c r="DB1" i="14"/>
  <c r="FU20" i="13"/>
  <c r="FR20" i="13"/>
  <c r="FH20" i="13"/>
  <c r="FF20" i="13"/>
  <c r="FD20" i="13"/>
  <c r="FB20" i="13"/>
  <c r="EZ20" i="13"/>
  <c r="EX20" i="13"/>
  <c r="EV20" i="13"/>
  <c r="ET20" i="13"/>
  <c r="ER20" i="13"/>
  <c r="EP20" i="13"/>
  <c r="EN20" i="13"/>
  <c r="EL20" i="13"/>
  <c r="EJ20" i="13"/>
  <c r="EH20" i="13"/>
  <c r="EF20" i="13"/>
  <c r="ED20" i="13"/>
  <c r="EB20" i="13"/>
  <c r="DZ20" i="13"/>
  <c r="DX20" i="13"/>
  <c r="DV20" i="13"/>
  <c r="DT20" i="13"/>
  <c r="DR20" i="13"/>
  <c r="DP20" i="13"/>
  <c r="DN20" i="13"/>
  <c r="DE20" i="13"/>
  <c r="DC20" i="13"/>
  <c r="DA20" i="13"/>
  <c r="CY20" i="13"/>
  <c r="CW20" i="13"/>
  <c r="CU20" i="13"/>
  <c r="CS20" i="13"/>
  <c r="CQ20" i="13"/>
  <c r="CO20" i="13"/>
  <c r="CM20" i="13"/>
  <c r="CK20" i="13"/>
  <c r="CI20" i="13"/>
  <c r="CG20" i="13"/>
  <c r="CE20" i="13"/>
  <c r="CC20" i="13"/>
  <c r="CA20" i="13"/>
  <c r="BY20" i="13"/>
  <c r="BW20" i="13"/>
  <c r="BU20" i="13"/>
  <c r="BS20" i="13"/>
  <c r="BQ20" i="13"/>
  <c r="BO20" i="13"/>
  <c r="BM20" i="13"/>
  <c r="BK20" i="13"/>
  <c r="BB20" i="13"/>
  <c r="AZ20" i="13"/>
  <c r="AX20" i="13"/>
  <c r="AV20" i="13"/>
  <c r="AT20" i="13"/>
  <c r="AR20" i="13"/>
  <c r="AP20" i="13"/>
  <c r="AN20" i="13"/>
  <c r="AL20" i="13"/>
  <c r="AJ20" i="13"/>
  <c r="AH20" i="13"/>
  <c r="AF20" i="13"/>
  <c r="AD20" i="13"/>
  <c r="AB20" i="13"/>
  <c r="Z20" i="13"/>
  <c r="X20" i="13"/>
  <c r="V20" i="13"/>
  <c r="T20" i="13"/>
  <c r="R20" i="13"/>
  <c r="P20" i="13"/>
  <c r="N20" i="13"/>
  <c r="L20" i="13"/>
  <c r="J20" i="13"/>
  <c r="H20" i="13"/>
  <c r="FU19" i="13"/>
  <c r="FR19" i="13"/>
  <c r="FH19" i="13"/>
  <c r="FF19" i="13"/>
  <c r="FD19" i="13"/>
  <c r="FB19" i="13"/>
  <c r="EZ19" i="13"/>
  <c r="EX19" i="13"/>
  <c r="EV19" i="13"/>
  <c r="ET19" i="13"/>
  <c r="ER19" i="13"/>
  <c r="EP19" i="13"/>
  <c r="EN19" i="13"/>
  <c r="EL19" i="13"/>
  <c r="EJ19" i="13"/>
  <c r="EH19" i="13"/>
  <c r="EF19" i="13"/>
  <c r="ED19" i="13"/>
  <c r="EB19" i="13"/>
  <c r="DZ19" i="13"/>
  <c r="DX19" i="13"/>
  <c r="DV19" i="13"/>
  <c r="DT19" i="13"/>
  <c r="DR19" i="13"/>
  <c r="DP19" i="13"/>
  <c r="DN19" i="13"/>
  <c r="DE19" i="13"/>
  <c r="DC19" i="13"/>
  <c r="DA19" i="13"/>
  <c r="CY19" i="13"/>
  <c r="CW19" i="13"/>
  <c r="CU19" i="13"/>
  <c r="CS19" i="13"/>
  <c r="CQ19" i="13"/>
  <c r="CO19" i="13"/>
  <c r="CM19" i="13"/>
  <c r="CK19" i="13"/>
  <c r="CI19" i="13"/>
  <c r="CG19" i="13"/>
  <c r="CE19" i="13"/>
  <c r="CC19" i="13"/>
  <c r="CA19" i="13"/>
  <c r="BY19" i="13"/>
  <c r="BW19" i="13"/>
  <c r="BU19" i="13"/>
  <c r="BS19" i="13"/>
  <c r="BQ19" i="13"/>
  <c r="BO19" i="13"/>
  <c r="BM19" i="13"/>
  <c r="BK19" i="13"/>
  <c r="BB19" i="13"/>
  <c r="AZ19" i="13"/>
  <c r="AX19" i="13"/>
  <c r="AV19" i="13"/>
  <c r="AT19" i="13"/>
  <c r="AR19" i="13"/>
  <c r="AP19" i="13"/>
  <c r="AN19" i="13"/>
  <c r="AL19" i="13"/>
  <c r="AJ19" i="13"/>
  <c r="AH19" i="13"/>
  <c r="AF19" i="13"/>
  <c r="AD19" i="13"/>
  <c r="AB19" i="13"/>
  <c r="Z19" i="13"/>
  <c r="X19" i="13"/>
  <c r="V19" i="13"/>
  <c r="T19" i="13"/>
  <c r="R19" i="13"/>
  <c r="P19" i="13"/>
  <c r="N19" i="13"/>
  <c r="L19" i="13"/>
  <c r="J19" i="13"/>
  <c r="H19" i="13"/>
  <c r="FU18" i="13"/>
  <c r="FR18" i="13"/>
  <c r="FH18" i="13"/>
  <c r="FF18" i="13"/>
  <c r="FD18" i="13"/>
  <c r="FB18" i="13"/>
  <c r="EZ18" i="13"/>
  <c r="EX18" i="13"/>
  <c r="EV18" i="13"/>
  <c r="ET18" i="13"/>
  <c r="ER18" i="13"/>
  <c r="EP18" i="13"/>
  <c r="EN18" i="13"/>
  <c r="EL18" i="13"/>
  <c r="EJ18" i="13"/>
  <c r="EH18" i="13"/>
  <c r="EF18" i="13"/>
  <c r="ED18" i="13"/>
  <c r="EB18" i="13"/>
  <c r="DZ18" i="13"/>
  <c r="DX18" i="13"/>
  <c r="DV18" i="13"/>
  <c r="DT18" i="13"/>
  <c r="DR18" i="13"/>
  <c r="DP18" i="13"/>
  <c r="DN18" i="13"/>
  <c r="DE18" i="13"/>
  <c r="DC18" i="13"/>
  <c r="DA18" i="13"/>
  <c r="CY18" i="13"/>
  <c r="CW18" i="13"/>
  <c r="CU18" i="13"/>
  <c r="CS18" i="13"/>
  <c r="CQ18" i="13"/>
  <c r="CO18" i="13"/>
  <c r="CM18" i="13"/>
  <c r="CK18" i="13"/>
  <c r="CI18" i="13"/>
  <c r="CG18" i="13"/>
  <c r="CE18" i="13"/>
  <c r="CC18" i="13"/>
  <c r="CA18" i="13"/>
  <c r="BY18" i="13"/>
  <c r="BW18" i="13"/>
  <c r="BU18" i="13"/>
  <c r="BS18" i="13"/>
  <c r="BQ18" i="13"/>
  <c r="BO18" i="13"/>
  <c r="BM18" i="13"/>
  <c r="BK18" i="13"/>
  <c r="BB18" i="13"/>
  <c r="AZ18" i="13"/>
  <c r="AX18" i="13"/>
  <c r="AV18" i="13"/>
  <c r="AT18" i="13"/>
  <c r="AR18" i="13"/>
  <c r="AP18" i="13"/>
  <c r="AN18" i="13"/>
  <c r="AL18" i="13"/>
  <c r="AJ18" i="13"/>
  <c r="AH18" i="13"/>
  <c r="AF18" i="13"/>
  <c r="AD18" i="13"/>
  <c r="AB18" i="13"/>
  <c r="Z18" i="13"/>
  <c r="X18" i="13"/>
  <c r="V18" i="13"/>
  <c r="T18" i="13"/>
  <c r="R18" i="13"/>
  <c r="P18" i="13"/>
  <c r="N18" i="13"/>
  <c r="L18" i="13"/>
  <c r="J18" i="13"/>
  <c r="H18" i="13"/>
  <c r="FU17" i="13"/>
  <c r="FR17" i="13"/>
  <c r="FH17" i="13"/>
  <c r="FF17" i="13"/>
  <c r="FD17" i="13"/>
  <c r="FB17" i="13"/>
  <c r="EZ17" i="13"/>
  <c r="EX17" i="13"/>
  <c r="EV17" i="13"/>
  <c r="ET17" i="13"/>
  <c r="ET26" i="13" s="1"/>
  <c r="ER17" i="13"/>
  <c r="EP17" i="13"/>
  <c r="EN17" i="13"/>
  <c r="EL17" i="13"/>
  <c r="EJ17" i="13"/>
  <c r="EH17" i="13"/>
  <c r="EF17" i="13"/>
  <c r="ED17" i="13"/>
  <c r="ED26" i="13" s="1"/>
  <c r="EB17" i="13"/>
  <c r="DZ17" i="13"/>
  <c r="DX17" i="13"/>
  <c r="DV17" i="13"/>
  <c r="DT17" i="13"/>
  <c r="DR17" i="13"/>
  <c r="DP17" i="13"/>
  <c r="DN17" i="13"/>
  <c r="DN26" i="13" s="1"/>
  <c r="DE17" i="13"/>
  <c r="DC17" i="13"/>
  <c r="DA17" i="13"/>
  <c r="CY17" i="13"/>
  <c r="CW17" i="13"/>
  <c r="CU17" i="13"/>
  <c r="CS17" i="13"/>
  <c r="CQ17" i="13"/>
  <c r="CQ26" i="13" s="1"/>
  <c r="CO17" i="13"/>
  <c r="CM17" i="13"/>
  <c r="CK17" i="13"/>
  <c r="CI17" i="13"/>
  <c r="CG17" i="13"/>
  <c r="CE17" i="13"/>
  <c r="CC17" i="13"/>
  <c r="CA17" i="13"/>
  <c r="CA26" i="13" s="1"/>
  <c r="BY17" i="13"/>
  <c r="BW17" i="13"/>
  <c r="BU17" i="13"/>
  <c r="BS17" i="13"/>
  <c r="BQ17" i="13"/>
  <c r="BO17" i="13"/>
  <c r="BM17" i="13"/>
  <c r="BK17" i="13"/>
  <c r="BK26" i="13" s="1"/>
  <c r="BB17" i="13"/>
  <c r="AZ17" i="13"/>
  <c r="AX17" i="13"/>
  <c r="AV17" i="13"/>
  <c r="AT17" i="13"/>
  <c r="AR17" i="13"/>
  <c r="AP17" i="13"/>
  <c r="AN17" i="13"/>
  <c r="AN26" i="13" s="1"/>
  <c r="AL17" i="13"/>
  <c r="AJ17" i="13"/>
  <c r="AH17" i="13"/>
  <c r="AF17" i="13"/>
  <c r="AD17" i="13"/>
  <c r="AB17" i="13"/>
  <c r="Z17" i="13"/>
  <c r="X17" i="13"/>
  <c r="X26" i="13" s="1"/>
  <c r="V17" i="13"/>
  <c r="T17" i="13"/>
  <c r="R17" i="13"/>
  <c r="P17" i="13"/>
  <c r="N17" i="13"/>
  <c r="L17" i="13"/>
  <c r="J17" i="13"/>
  <c r="H17" i="13"/>
  <c r="H26" i="13" s="1"/>
  <c r="FU16" i="13"/>
  <c r="FR16" i="13"/>
  <c r="FH16" i="13"/>
  <c r="FF16" i="13"/>
  <c r="FF26" i="13" s="1"/>
  <c r="FD16" i="13"/>
  <c r="FB16" i="13"/>
  <c r="EZ16" i="13"/>
  <c r="EX16" i="13"/>
  <c r="EX26" i="13" s="1"/>
  <c r="EV16" i="13"/>
  <c r="ET16" i="13"/>
  <c r="ER16" i="13"/>
  <c r="EP16" i="13"/>
  <c r="EN16" i="13"/>
  <c r="EL16" i="13"/>
  <c r="EJ16" i="13"/>
  <c r="EH16" i="13"/>
  <c r="EH26" i="13" s="1"/>
  <c r="EF16" i="13"/>
  <c r="ED16" i="13"/>
  <c r="EB16" i="13"/>
  <c r="DZ16" i="13"/>
  <c r="DX16" i="13"/>
  <c r="DV16" i="13"/>
  <c r="DT16" i="13"/>
  <c r="DR16" i="13"/>
  <c r="DR26" i="13" s="1"/>
  <c r="DP16" i="13"/>
  <c r="DN16" i="13"/>
  <c r="DE16" i="13"/>
  <c r="DC16" i="13"/>
  <c r="DA16" i="13"/>
  <c r="CY16" i="13"/>
  <c r="CW16" i="13"/>
  <c r="CU16" i="13"/>
  <c r="CS16" i="13"/>
  <c r="CQ16" i="13"/>
  <c r="CO16" i="13"/>
  <c r="CM16" i="13"/>
  <c r="CK16" i="13"/>
  <c r="CI16" i="13"/>
  <c r="CG16" i="13"/>
  <c r="CE16" i="13"/>
  <c r="CE26" i="13" s="1"/>
  <c r="CC16" i="13"/>
  <c r="CA16" i="13"/>
  <c r="BY16" i="13"/>
  <c r="BW16" i="13"/>
  <c r="BU16" i="13"/>
  <c r="BS16" i="13"/>
  <c r="BQ16" i="13"/>
  <c r="BO16" i="13"/>
  <c r="BO26" i="13" s="1"/>
  <c r="BM16" i="13"/>
  <c r="BM26" i="13" s="1"/>
  <c r="BK16" i="13"/>
  <c r="BB16" i="13"/>
  <c r="AZ16" i="13"/>
  <c r="AX16" i="13"/>
  <c r="AV16" i="13"/>
  <c r="AT16" i="13"/>
  <c r="AR16" i="13"/>
  <c r="AR26" i="13" s="1"/>
  <c r="AP16" i="13"/>
  <c r="AP26" i="13" s="1"/>
  <c r="AN16" i="13"/>
  <c r="AL16" i="13"/>
  <c r="AJ16" i="13"/>
  <c r="AH16" i="13"/>
  <c r="AF16" i="13"/>
  <c r="AD16" i="13"/>
  <c r="AB16" i="13"/>
  <c r="AB26" i="13" s="1"/>
  <c r="Z16" i="13"/>
  <c r="X16" i="13"/>
  <c r="V16" i="13"/>
  <c r="T16" i="13"/>
  <c r="T26" i="13" s="1"/>
  <c r="R16" i="13"/>
  <c r="P16" i="13"/>
  <c r="N16" i="13"/>
  <c r="L16" i="13"/>
  <c r="L26" i="13" s="1"/>
  <c r="J16" i="13"/>
  <c r="H16" i="13"/>
  <c r="DM68" i="13"/>
  <c r="BJ68" i="13"/>
  <c r="FU26" i="13"/>
  <c r="FH26" i="13"/>
  <c r="FD26" i="13"/>
  <c r="FB26" i="13"/>
  <c r="EZ26" i="13"/>
  <c r="EV26" i="13"/>
  <c r="ER26" i="13"/>
  <c r="EP26" i="13"/>
  <c r="EN26" i="13"/>
  <c r="EL26" i="13"/>
  <c r="EJ26" i="13"/>
  <c r="EF26" i="13"/>
  <c r="EB26" i="13"/>
  <c r="DZ26" i="13"/>
  <c r="DX26" i="13"/>
  <c r="DV26" i="13"/>
  <c r="DT26" i="13"/>
  <c r="DP26" i="13"/>
  <c r="DE26" i="13"/>
  <c r="DC26" i="13"/>
  <c r="DA26" i="13"/>
  <c r="CY26" i="13"/>
  <c r="CW26" i="13"/>
  <c r="CU26" i="13"/>
  <c r="CS26" i="13"/>
  <c r="CO26" i="13"/>
  <c r="CM26" i="13"/>
  <c r="CK26" i="13"/>
  <c r="CI26" i="13"/>
  <c r="CG26" i="13"/>
  <c r="CC26" i="13"/>
  <c r="BY26" i="13"/>
  <c r="BW26" i="13"/>
  <c r="BU26" i="13"/>
  <c r="BS26" i="13"/>
  <c r="BQ26" i="13"/>
  <c r="BB26" i="13"/>
  <c r="AZ26" i="13"/>
  <c r="AX26" i="13"/>
  <c r="AV26" i="13"/>
  <c r="AT26" i="13"/>
  <c r="AL26" i="13"/>
  <c r="AJ26" i="13"/>
  <c r="AH26" i="13"/>
  <c r="AF26" i="13"/>
  <c r="AD26" i="13"/>
  <c r="Z26" i="13"/>
  <c r="V26" i="13"/>
  <c r="R26" i="13"/>
  <c r="P26" i="13"/>
  <c r="N26" i="13"/>
  <c r="J26" i="13"/>
  <c r="FU14" i="13"/>
  <c r="FR14" i="13"/>
  <c r="FH14" i="13"/>
  <c r="FF14" i="13"/>
  <c r="FD14" i="13"/>
  <c r="FB14" i="13"/>
  <c r="EZ14" i="13"/>
  <c r="EX14" i="13"/>
  <c r="EV14" i="13"/>
  <c r="ET14" i="13"/>
  <c r="ER14" i="13"/>
  <c r="EP14" i="13"/>
  <c r="EN14" i="13"/>
  <c r="EL14" i="13"/>
  <c r="EJ14" i="13"/>
  <c r="EH14" i="13"/>
  <c r="EF14" i="13"/>
  <c r="ED14" i="13"/>
  <c r="EB14" i="13"/>
  <c r="DZ14" i="13"/>
  <c r="DX14" i="13"/>
  <c r="DV14" i="13"/>
  <c r="DT14" i="13"/>
  <c r="DR14" i="13"/>
  <c r="DP14" i="13"/>
  <c r="DN14" i="13"/>
  <c r="DE14" i="13"/>
  <c r="DC14" i="13"/>
  <c r="DA14" i="13"/>
  <c r="CY14" i="13"/>
  <c r="CW14" i="13"/>
  <c r="CU14" i="13"/>
  <c r="CS14" i="13"/>
  <c r="CQ14" i="13"/>
  <c r="CO14" i="13"/>
  <c r="CM14" i="13"/>
  <c r="CK14" i="13"/>
  <c r="CI14" i="13"/>
  <c r="CG14" i="13"/>
  <c r="CE14" i="13"/>
  <c r="CC14" i="13"/>
  <c r="CA14" i="13"/>
  <c r="BY14" i="13"/>
  <c r="BW14" i="13"/>
  <c r="BU14" i="13"/>
  <c r="BS14" i="13"/>
  <c r="BQ14" i="13"/>
  <c r="BO14" i="13"/>
  <c r="BM14" i="13"/>
  <c r="BK14" i="13"/>
  <c r="BB14" i="13"/>
  <c r="AZ14" i="13"/>
  <c r="AX14" i="13"/>
  <c r="AV14" i="13"/>
  <c r="AT14" i="13"/>
  <c r="AR14" i="13"/>
  <c r="AP14" i="13"/>
  <c r="AN14" i="13"/>
  <c r="AL14" i="13"/>
  <c r="AJ14" i="13"/>
  <c r="AH14" i="13"/>
  <c r="AF14" i="13"/>
  <c r="AD14" i="13"/>
  <c r="AB14" i="13"/>
  <c r="Z14" i="13"/>
  <c r="X14" i="13"/>
  <c r="V14" i="13"/>
  <c r="T14" i="13"/>
  <c r="R14" i="13"/>
  <c r="P14" i="13"/>
  <c r="N14" i="13"/>
  <c r="L14" i="13"/>
  <c r="J14" i="13"/>
  <c r="H14" i="13"/>
  <c r="FE1" i="13"/>
  <c r="DB1" i="13"/>
  <c r="FU20" i="12"/>
  <c r="FR20" i="12"/>
  <c r="FH20" i="12"/>
  <c r="FF20" i="12"/>
  <c r="FD20" i="12"/>
  <c r="FB20" i="12"/>
  <c r="EZ20" i="12"/>
  <c r="EX20" i="12"/>
  <c r="EV20" i="12"/>
  <c r="ET20" i="12"/>
  <c r="ER20" i="12"/>
  <c r="EP20" i="12"/>
  <c r="EN20" i="12"/>
  <c r="EL20" i="12"/>
  <c r="EJ20" i="12"/>
  <c r="EH20" i="12"/>
  <c r="EF20" i="12"/>
  <c r="ED20" i="12"/>
  <c r="EB20" i="12"/>
  <c r="DZ20" i="12"/>
  <c r="DX20" i="12"/>
  <c r="DV20" i="12"/>
  <c r="DT20" i="12"/>
  <c r="DR20" i="12"/>
  <c r="DP20" i="12"/>
  <c r="DN20" i="12"/>
  <c r="DE20" i="12"/>
  <c r="DC20" i="12"/>
  <c r="DA20" i="12"/>
  <c r="CY20" i="12"/>
  <c r="CW20" i="12"/>
  <c r="CU20" i="12"/>
  <c r="CS20" i="12"/>
  <c r="CQ20" i="12"/>
  <c r="CO20" i="12"/>
  <c r="CM20" i="12"/>
  <c r="CK20" i="12"/>
  <c r="CI20" i="12"/>
  <c r="CG20" i="12"/>
  <c r="CE20" i="12"/>
  <c r="CC20" i="12"/>
  <c r="CA20" i="12"/>
  <c r="BY20" i="12"/>
  <c r="BW20" i="12"/>
  <c r="BU20" i="12"/>
  <c r="BS20" i="12"/>
  <c r="BQ20" i="12"/>
  <c r="BO20" i="12"/>
  <c r="BM20" i="12"/>
  <c r="BK20" i="12"/>
  <c r="BB20" i="12"/>
  <c r="AZ20" i="12"/>
  <c r="AX20" i="12"/>
  <c r="AV20" i="12"/>
  <c r="AT20" i="12"/>
  <c r="AR20" i="12"/>
  <c r="AP20" i="12"/>
  <c r="AN20" i="12"/>
  <c r="AL20" i="12"/>
  <c r="AJ20" i="12"/>
  <c r="AH20" i="12"/>
  <c r="AF20" i="12"/>
  <c r="AD20" i="12"/>
  <c r="AB20" i="12"/>
  <c r="Z20" i="12"/>
  <c r="X20" i="12"/>
  <c r="V20" i="12"/>
  <c r="T20" i="12"/>
  <c r="R20" i="12"/>
  <c r="P20" i="12"/>
  <c r="N20" i="12"/>
  <c r="L20" i="12"/>
  <c r="J20" i="12"/>
  <c r="H20" i="12"/>
  <c r="FU19" i="12"/>
  <c r="FR19" i="12"/>
  <c r="FH19" i="12"/>
  <c r="FF19" i="12"/>
  <c r="FD19" i="12"/>
  <c r="FB19" i="12"/>
  <c r="EZ19" i="12"/>
  <c r="EX19" i="12"/>
  <c r="EV19" i="12"/>
  <c r="ET19" i="12"/>
  <c r="ER19" i="12"/>
  <c r="EP19" i="12"/>
  <c r="EN19" i="12"/>
  <c r="EL19" i="12"/>
  <c r="EJ19" i="12"/>
  <c r="EH19" i="12"/>
  <c r="EF19" i="12"/>
  <c r="ED19" i="12"/>
  <c r="EB19" i="12"/>
  <c r="DZ19" i="12"/>
  <c r="DX19" i="12"/>
  <c r="DV19" i="12"/>
  <c r="DT19" i="12"/>
  <c r="DR19" i="12"/>
  <c r="DP19" i="12"/>
  <c r="DN19" i="12"/>
  <c r="DE19" i="12"/>
  <c r="DC19" i="12"/>
  <c r="DA19" i="12"/>
  <c r="CY19" i="12"/>
  <c r="CW19" i="12"/>
  <c r="CU19" i="12"/>
  <c r="CS19" i="12"/>
  <c r="CQ19" i="12"/>
  <c r="CO19" i="12"/>
  <c r="CM19" i="12"/>
  <c r="CK19" i="12"/>
  <c r="CI19" i="12"/>
  <c r="CG19" i="12"/>
  <c r="CE19" i="12"/>
  <c r="CC19" i="12"/>
  <c r="CA19" i="12"/>
  <c r="BY19" i="12"/>
  <c r="BW19" i="12"/>
  <c r="BU19" i="12"/>
  <c r="BS19" i="12"/>
  <c r="BQ19" i="12"/>
  <c r="BO19" i="12"/>
  <c r="BM19" i="12"/>
  <c r="BK19" i="12"/>
  <c r="BB19" i="12"/>
  <c r="AZ19" i="12"/>
  <c r="AX19" i="12"/>
  <c r="AV19" i="12"/>
  <c r="AT19" i="12"/>
  <c r="AR19" i="12"/>
  <c r="AP19" i="12"/>
  <c r="AN19" i="12"/>
  <c r="AL19" i="12"/>
  <c r="AJ19" i="12"/>
  <c r="AH19" i="12"/>
  <c r="AF19" i="12"/>
  <c r="AD19" i="12"/>
  <c r="AB19" i="12"/>
  <c r="Z19" i="12"/>
  <c r="X19" i="12"/>
  <c r="V19" i="12"/>
  <c r="T19" i="12"/>
  <c r="R19" i="12"/>
  <c r="P19" i="12"/>
  <c r="N19" i="12"/>
  <c r="L19" i="12"/>
  <c r="J19" i="12"/>
  <c r="H19" i="12"/>
  <c r="FU18" i="12"/>
  <c r="FR18" i="12"/>
  <c r="FH18" i="12"/>
  <c r="FF18" i="12"/>
  <c r="FD18" i="12"/>
  <c r="FB18" i="12"/>
  <c r="EZ18" i="12"/>
  <c r="EX18" i="12"/>
  <c r="EV18" i="12"/>
  <c r="ET18" i="12"/>
  <c r="ER18" i="12"/>
  <c r="EP18" i="12"/>
  <c r="EN18" i="12"/>
  <c r="EL18" i="12"/>
  <c r="EJ18" i="12"/>
  <c r="EH18" i="12"/>
  <c r="EF18" i="12"/>
  <c r="ED18" i="12"/>
  <c r="EB18" i="12"/>
  <c r="DZ18" i="12"/>
  <c r="DX18" i="12"/>
  <c r="DV18" i="12"/>
  <c r="DT18" i="12"/>
  <c r="DR18" i="12"/>
  <c r="DP18" i="12"/>
  <c r="DN18" i="12"/>
  <c r="DE18" i="12"/>
  <c r="DC18" i="12"/>
  <c r="DA18" i="12"/>
  <c r="CY18" i="12"/>
  <c r="CW18" i="12"/>
  <c r="CU18" i="12"/>
  <c r="CS18" i="12"/>
  <c r="CQ18" i="12"/>
  <c r="CO18" i="12"/>
  <c r="CM18" i="12"/>
  <c r="CK18" i="12"/>
  <c r="CI18" i="12"/>
  <c r="CG18" i="12"/>
  <c r="CE18" i="12"/>
  <c r="CC18" i="12"/>
  <c r="CA18" i="12"/>
  <c r="BY18" i="12"/>
  <c r="BW18" i="12"/>
  <c r="BU18" i="12"/>
  <c r="BS18" i="12"/>
  <c r="BQ18" i="12"/>
  <c r="BO18" i="12"/>
  <c r="BM18" i="12"/>
  <c r="BK18" i="12"/>
  <c r="BB18" i="12"/>
  <c r="AZ18" i="12"/>
  <c r="AX18" i="12"/>
  <c r="AV18" i="12"/>
  <c r="AT18" i="12"/>
  <c r="AR18" i="12"/>
  <c r="AP18" i="12"/>
  <c r="AN18" i="12"/>
  <c r="AL18" i="12"/>
  <c r="AJ18" i="12"/>
  <c r="AH18" i="12"/>
  <c r="AF18" i="12"/>
  <c r="AD18" i="12"/>
  <c r="AB18" i="12"/>
  <c r="Z18" i="12"/>
  <c r="X18" i="12"/>
  <c r="V18" i="12"/>
  <c r="T18" i="12"/>
  <c r="R18" i="12"/>
  <c r="P18" i="12"/>
  <c r="N18" i="12"/>
  <c r="L18" i="12"/>
  <c r="J18" i="12"/>
  <c r="H18" i="12"/>
  <c r="FU17" i="12"/>
  <c r="FR17" i="12"/>
  <c r="FH17" i="12"/>
  <c r="FF17" i="12"/>
  <c r="FD17" i="12"/>
  <c r="FB17" i="12"/>
  <c r="EZ17" i="12"/>
  <c r="EX17" i="12"/>
  <c r="EV17" i="12"/>
  <c r="ET17" i="12"/>
  <c r="ER17" i="12"/>
  <c r="EP17" i="12"/>
  <c r="EN17" i="12"/>
  <c r="EL17" i="12"/>
  <c r="EJ17" i="12"/>
  <c r="EH17" i="12"/>
  <c r="EF17" i="12"/>
  <c r="ED17" i="12"/>
  <c r="EB17" i="12"/>
  <c r="DZ17" i="12"/>
  <c r="DX17" i="12"/>
  <c r="DV17" i="12"/>
  <c r="DT17" i="12"/>
  <c r="DR17" i="12"/>
  <c r="DP17" i="12"/>
  <c r="DN17" i="12"/>
  <c r="DE17" i="12"/>
  <c r="DC17" i="12"/>
  <c r="DA17" i="12"/>
  <c r="CY17" i="12"/>
  <c r="CW17" i="12"/>
  <c r="CU17" i="12"/>
  <c r="CS17" i="12"/>
  <c r="CQ17" i="12"/>
  <c r="CO17" i="12"/>
  <c r="CM17" i="12"/>
  <c r="CK17" i="12"/>
  <c r="CI17" i="12"/>
  <c r="CG17" i="12"/>
  <c r="CE17" i="12"/>
  <c r="CC17" i="12"/>
  <c r="CA17" i="12"/>
  <c r="BY17" i="12"/>
  <c r="BW17" i="12"/>
  <c r="BU17" i="12"/>
  <c r="BS17" i="12"/>
  <c r="BQ17" i="12"/>
  <c r="BO17" i="12"/>
  <c r="BM17" i="12"/>
  <c r="BK17" i="12"/>
  <c r="BB17" i="12"/>
  <c r="AZ17" i="12"/>
  <c r="AX17" i="12"/>
  <c r="AV17" i="12"/>
  <c r="AT17" i="12"/>
  <c r="AR17" i="12"/>
  <c r="AP17" i="12"/>
  <c r="AN17" i="12"/>
  <c r="AL17" i="12"/>
  <c r="AJ17" i="12"/>
  <c r="AH17" i="12"/>
  <c r="AF17" i="12"/>
  <c r="AD17" i="12"/>
  <c r="AB17" i="12"/>
  <c r="Z17" i="12"/>
  <c r="X17" i="12"/>
  <c r="V17" i="12"/>
  <c r="T17" i="12"/>
  <c r="R17" i="12"/>
  <c r="P17" i="12"/>
  <c r="N17" i="12"/>
  <c r="L17" i="12"/>
  <c r="J17" i="12"/>
  <c r="H17" i="12"/>
  <c r="FU16" i="12"/>
  <c r="FR16" i="12"/>
  <c r="FH16" i="12"/>
  <c r="FF16" i="12"/>
  <c r="FD16" i="12"/>
  <c r="FB16" i="12"/>
  <c r="EZ16" i="12"/>
  <c r="EZ26" i="12" s="1"/>
  <c r="EX16" i="12"/>
  <c r="EX26" i="12" s="1"/>
  <c r="EV16" i="12"/>
  <c r="ET16" i="12"/>
  <c r="ER16" i="12"/>
  <c r="EP16" i="12"/>
  <c r="EN16" i="12"/>
  <c r="EL16" i="12"/>
  <c r="EJ16" i="12"/>
  <c r="EH16" i="12"/>
  <c r="EH26" i="12" s="1"/>
  <c r="EF16" i="12"/>
  <c r="ED16" i="12"/>
  <c r="EB16" i="12"/>
  <c r="DZ16" i="12"/>
  <c r="DX16" i="12"/>
  <c r="DV16" i="12"/>
  <c r="DT16" i="12"/>
  <c r="DR16" i="12"/>
  <c r="DR26" i="12" s="1"/>
  <c r="DP16" i="12"/>
  <c r="DN16" i="12"/>
  <c r="DE16" i="12"/>
  <c r="DC16" i="12"/>
  <c r="DA16" i="12"/>
  <c r="CY16" i="12"/>
  <c r="CW16" i="12"/>
  <c r="CU16" i="12"/>
  <c r="CU26" i="12" s="1"/>
  <c r="CS16" i="12"/>
  <c r="CQ16" i="12"/>
  <c r="CO16" i="12"/>
  <c r="CM16" i="12"/>
  <c r="CK16" i="12"/>
  <c r="CI16" i="12"/>
  <c r="CG16" i="12"/>
  <c r="CE16" i="12"/>
  <c r="CE26" i="12" s="1"/>
  <c r="CC16" i="12"/>
  <c r="CA16" i="12"/>
  <c r="BY16" i="12"/>
  <c r="BW16" i="12"/>
  <c r="BU16" i="12"/>
  <c r="BS16" i="12"/>
  <c r="BQ16" i="12"/>
  <c r="BO16" i="12"/>
  <c r="BO26" i="12" s="1"/>
  <c r="BM16" i="12"/>
  <c r="BK16" i="12"/>
  <c r="BB16" i="12"/>
  <c r="AZ16" i="12"/>
  <c r="AX16" i="12"/>
  <c r="AV16" i="12"/>
  <c r="AT16" i="12"/>
  <c r="AR16" i="12"/>
  <c r="AR26" i="12" s="1"/>
  <c r="AP16" i="12"/>
  <c r="AN16" i="12"/>
  <c r="AL16" i="12"/>
  <c r="AJ16" i="12"/>
  <c r="AH16" i="12"/>
  <c r="AF16" i="12"/>
  <c r="AD16" i="12"/>
  <c r="AB16" i="12"/>
  <c r="AB26" i="12" s="1"/>
  <c r="Z16" i="12"/>
  <c r="X16" i="12"/>
  <c r="V16" i="12"/>
  <c r="T16" i="12"/>
  <c r="R16" i="12"/>
  <c r="P16" i="12"/>
  <c r="N16" i="12"/>
  <c r="L16" i="12"/>
  <c r="L26" i="12" s="1"/>
  <c r="J16" i="12"/>
  <c r="H16" i="12"/>
  <c r="DM68" i="12"/>
  <c r="BJ68" i="12"/>
  <c r="FU26" i="12"/>
  <c r="FR26" i="12"/>
  <c r="FH26" i="12"/>
  <c r="FF26" i="12"/>
  <c r="FD26" i="12"/>
  <c r="FB26" i="12"/>
  <c r="EV26" i="12"/>
  <c r="ET26" i="12"/>
  <c r="ER26" i="12"/>
  <c r="EP26" i="12"/>
  <c r="EN26" i="12"/>
  <c r="EL26" i="12"/>
  <c r="EJ26" i="12"/>
  <c r="EF26" i="12"/>
  <c r="ED26" i="12"/>
  <c r="EB26" i="12"/>
  <c r="DZ26" i="12"/>
  <c r="DX26" i="12"/>
  <c r="DV26" i="12"/>
  <c r="DT26" i="12"/>
  <c r="DP26" i="12"/>
  <c r="DN26" i="12"/>
  <c r="DE26" i="12"/>
  <c r="DC26" i="12"/>
  <c r="DA26" i="12"/>
  <c r="CY26" i="12"/>
  <c r="CW26" i="12"/>
  <c r="CS26" i="12"/>
  <c r="CQ26" i="12"/>
  <c r="CO26" i="12"/>
  <c r="CM26" i="12"/>
  <c r="CK26" i="12"/>
  <c r="CI26" i="12"/>
  <c r="CG26" i="12"/>
  <c r="CC26" i="12"/>
  <c r="CA26" i="12"/>
  <c r="BY26" i="12"/>
  <c r="BW26" i="12"/>
  <c r="BU26" i="12"/>
  <c r="BS26" i="12"/>
  <c r="BQ26" i="12"/>
  <c r="BM26" i="12"/>
  <c r="BK26" i="12"/>
  <c r="BB26" i="12"/>
  <c r="AZ26" i="12"/>
  <c r="AX26" i="12"/>
  <c r="AV26" i="12"/>
  <c r="AT26" i="12"/>
  <c r="AP26" i="12"/>
  <c r="AN26" i="12"/>
  <c r="AL26" i="12"/>
  <c r="AJ26" i="12"/>
  <c r="AH26" i="12"/>
  <c r="AF26" i="12"/>
  <c r="AD26" i="12"/>
  <c r="Z26" i="12"/>
  <c r="X26" i="12"/>
  <c r="V26" i="12"/>
  <c r="T26" i="12"/>
  <c r="R26" i="12"/>
  <c r="P26" i="12"/>
  <c r="N26" i="12"/>
  <c r="J26" i="12"/>
  <c r="H26" i="12"/>
  <c r="FU14" i="12"/>
  <c r="FR14" i="12"/>
  <c r="FH14" i="12"/>
  <c r="FF14" i="12"/>
  <c r="FD14" i="12"/>
  <c r="FB14" i="12"/>
  <c r="EZ14" i="12"/>
  <c r="EX14" i="12"/>
  <c r="EV14" i="12"/>
  <c r="ET14" i="12"/>
  <c r="ER14" i="12"/>
  <c r="EP14" i="12"/>
  <c r="EN14" i="12"/>
  <c r="EL14" i="12"/>
  <c r="EJ14" i="12"/>
  <c r="EH14" i="12"/>
  <c r="EF14" i="12"/>
  <c r="ED14" i="12"/>
  <c r="EB14" i="12"/>
  <c r="DZ14" i="12"/>
  <c r="DX14" i="12"/>
  <c r="DV14" i="12"/>
  <c r="DT14" i="12"/>
  <c r="DR14" i="12"/>
  <c r="DP14" i="12"/>
  <c r="DN14" i="12"/>
  <c r="DE14" i="12"/>
  <c r="DC14" i="12"/>
  <c r="DA14" i="12"/>
  <c r="CY14" i="12"/>
  <c r="CW14" i="12"/>
  <c r="CU14" i="12"/>
  <c r="CS14" i="12"/>
  <c r="CQ14" i="12"/>
  <c r="CO14" i="12"/>
  <c r="CM14" i="12"/>
  <c r="CK14" i="12"/>
  <c r="CI14" i="12"/>
  <c r="CG14" i="12"/>
  <c r="CE14" i="12"/>
  <c r="CC14" i="12"/>
  <c r="CA14" i="12"/>
  <c r="BY14" i="12"/>
  <c r="BW14" i="12"/>
  <c r="BU14" i="12"/>
  <c r="BS14" i="12"/>
  <c r="BQ14" i="12"/>
  <c r="BO14" i="12"/>
  <c r="BM14" i="12"/>
  <c r="BK14" i="12"/>
  <c r="BB14" i="12"/>
  <c r="AZ14" i="12"/>
  <c r="AX14" i="12"/>
  <c r="AV14" i="12"/>
  <c r="AT14" i="12"/>
  <c r="AR14" i="12"/>
  <c r="AP14" i="12"/>
  <c r="AN14" i="12"/>
  <c r="AL14" i="12"/>
  <c r="AJ14" i="12"/>
  <c r="AH14" i="12"/>
  <c r="AF14" i="12"/>
  <c r="AD14" i="12"/>
  <c r="AB14" i="12"/>
  <c r="Z14" i="12"/>
  <c r="X14" i="12"/>
  <c r="V14" i="12"/>
  <c r="T14" i="12"/>
  <c r="R14" i="12"/>
  <c r="P14" i="12"/>
  <c r="N14" i="12"/>
  <c r="L14" i="12"/>
  <c r="J14" i="12"/>
  <c r="H14" i="12"/>
  <c r="FE1" i="12"/>
  <c r="DB1" i="12"/>
  <c r="C67" i="6"/>
  <c r="E67" i="6" s="1"/>
  <c r="G67" i="6" s="1"/>
  <c r="I67" i="6" s="1"/>
  <c r="K67" i="6" s="1"/>
  <c r="M67" i="6" s="1"/>
  <c r="C66" i="6"/>
  <c r="E66" i="6" s="1"/>
  <c r="G66" i="6" s="1"/>
  <c r="I66" i="6" s="1"/>
  <c r="K66" i="6" s="1"/>
  <c r="M66" i="6" s="1"/>
  <c r="C65" i="6"/>
  <c r="E65" i="6" s="1"/>
  <c r="G65" i="6" s="1"/>
  <c r="I65" i="6" s="1"/>
  <c r="K65" i="6" s="1"/>
  <c r="M65" i="6" s="1"/>
  <c r="C64" i="6"/>
  <c r="E64" i="6" s="1"/>
  <c r="G64" i="6" s="1"/>
  <c r="I64" i="6" s="1"/>
  <c r="K64" i="6" s="1"/>
  <c r="M64" i="6" s="1"/>
  <c r="C63" i="6"/>
  <c r="E63" i="6" s="1"/>
  <c r="G63" i="6" s="1"/>
  <c r="I63" i="6" s="1"/>
  <c r="K63" i="6" s="1"/>
  <c r="M63" i="6" s="1"/>
  <c r="C62" i="6"/>
  <c r="E62" i="6" s="1"/>
  <c r="G62" i="6" s="1"/>
  <c r="I62" i="6" s="1"/>
  <c r="K62" i="6" s="1"/>
  <c r="M62" i="6" s="1"/>
  <c r="C61" i="6"/>
  <c r="E61" i="6" s="1"/>
  <c r="G61" i="6" s="1"/>
  <c r="I61" i="6" s="1"/>
  <c r="K61" i="6" s="1"/>
  <c r="M61" i="6" s="1"/>
  <c r="C60" i="6"/>
  <c r="E60" i="6" s="1"/>
  <c r="G60" i="6" s="1"/>
  <c r="I60" i="6" s="1"/>
  <c r="K60" i="6" s="1"/>
  <c r="M60" i="6" s="1"/>
  <c r="C59" i="6"/>
  <c r="E59" i="6" s="1"/>
  <c r="G59" i="6" s="1"/>
  <c r="I59" i="6" s="1"/>
  <c r="K59" i="6" s="1"/>
  <c r="M59" i="6" s="1"/>
  <c r="C58" i="6"/>
  <c r="E58" i="6" s="1"/>
  <c r="G58" i="6" s="1"/>
  <c r="I58" i="6" s="1"/>
  <c r="K58" i="6" s="1"/>
  <c r="M58" i="6" s="1"/>
  <c r="C57" i="6"/>
  <c r="E57" i="6" s="1"/>
  <c r="G57" i="6" s="1"/>
  <c r="I57" i="6" s="1"/>
  <c r="K57" i="6" s="1"/>
  <c r="M57" i="6" s="1"/>
  <c r="C56" i="6"/>
  <c r="E56" i="6" s="1"/>
  <c r="G56" i="6" s="1"/>
  <c r="I56" i="6" s="1"/>
  <c r="K56" i="6" s="1"/>
  <c r="M56" i="6" s="1"/>
  <c r="C55" i="6"/>
  <c r="E55" i="6" s="1"/>
  <c r="G55" i="6" s="1"/>
  <c r="I55" i="6" s="1"/>
  <c r="K55" i="6" s="1"/>
  <c r="M55" i="6" s="1"/>
  <c r="C54" i="6"/>
  <c r="E54" i="6" s="1"/>
  <c r="G54" i="6" s="1"/>
  <c r="I54" i="6" s="1"/>
  <c r="K54" i="6" s="1"/>
  <c r="M54" i="6" s="1"/>
  <c r="C53" i="6"/>
  <c r="E53" i="6" s="1"/>
  <c r="G53" i="6" s="1"/>
  <c r="I53" i="6" s="1"/>
  <c r="K53" i="6" s="1"/>
  <c r="M53" i="6" s="1"/>
  <c r="C52" i="6"/>
  <c r="E52" i="6" s="1"/>
  <c r="G52" i="6" s="1"/>
  <c r="I52" i="6" s="1"/>
  <c r="K52" i="6" s="1"/>
  <c r="M52" i="6" s="1"/>
  <c r="C51" i="6"/>
  <c r="E51" i="6" s="1"/>
  <c r="G51" i="6" s="1"/>
  <c r="I51" i="6" s="1"/>
  <c r="K51" i="6" s="1"/>
  <c r="M51" i="6" s="1"/>
  <c r="C50" i="6"/>
  <c r="E50" i="6" s="1"/>
  <c r="G50" i="6" s="1"/>
  <c r="I50" i="6" s="1"/>
  <c r="K50" i="6" s="1"/>
  <c r="M50" i="6" s="1"/>
  <c r="C49" i="6"/>
  <c r="E49" i="6" s="1"/>
  <c r="G49" i="6" s="1"/>
  <c r="I49" i="6" s="1"/>
  <c r="K49" i="6" s="1"/>
  <c r="M49" i="6" s="1"/>
  <c r="C48" i="6"/>
  <c r="E48" i="6" s="1"/>
  <c r="G48" i="6" s="1"/>
  <c r="I48" i="6" s="1"/>
  <c r="K48" i="6" s="1"/>
  <c r="M48" i="6" s="1"/>
  <c r="C47" i="6"/>
  <c r="E47" i="6" s="1"/>
  <c r="G47" i="6" s="1"/>
  <c r="I47" i="6" s="1"/>
  <c r="K47" i="6" s="1"/>
  <c r="M47" i="6" s="1"/>
  <c r="C46" i="6"/>
  <c r="E46" i="6" s="1"/>
  <c r="G46" i="6" s="1"/>
  <c r="I46" i="6" s="1"/>
  <c r="K46" i="6" s="1"/>
  <c r="M46" i="6" s="1"/>
  <c r="C45" i="6"/>
  <c r="E45" i="6" s="1"/>
  <c r="G45" i="6" s="1"/>
  <c r="I45" i="6" s="1"/>
  <c r="K45" i="6" s="1"/>
  <c r="M45" i="6" s="1"/>
  <c r="C44" i="6"/>
  <c r="E44" i="6" s="1"/>
  <c r="G44" i="6" s="1"/>
  <c r="I44" i="6" s="1"/>
  <c r="K44" i="6" s="1"/>
  <c r="M44" i="6" s="1"/>
  <c r="C67" i="5"/>
  <c r="E67" i="5" s="1"/>
  <c r="G67" i="5" s="1"/>
  <c r="I67" i="5" s="1"/>
  <c r="K67" i="5" s="1"/>
  <c r="M67" i="5" s="1"/>
  <c r="C66" i="5"/>
  <c r="E66" i="5" s="1"/>
  <c r="G66" i="5" s="1"/>
  <c r="I66" i="5" s="1"/>
  <c r="K66" i="5" s="1"/>
  <c r="M66" i="5" s="1"/>
  <c r="C65" i="5"/>
  <c r="E65" i="5" s="1"/>
  <c r="G65" i="5" s="1"/>
  <c r="I65" i="5" s="1"/>
  <c r="K65" i="5" s="1"/>
  <c r="M65" i="5" s="1"/>
  <c r="C64" i="5"/>
  <c r="E64" i="5" s="1"/>
  <c r="G64" i="5" s="1"/>
  <c r="I64" i="5" s="1"/>
  <c r="K64" i="5" s="1"/>
  <c r="M64" i="5" s="1"/>
  <c r="C63" i="5"/>
  <c r="E63" i="5" s="1"/>
  <c r="G63" i="5" s="1"/>
  <c r="I63" i="5" s="1"/>
  <c r="K63" i="5" s="1"/>
  <c r="M63" i="5" s="1"/>
  <c r="C62" i="5"/>
  <c r="E62" i="5" s="1"/>
  <c r="G62" i="5" s="1"/>
  <c r="I62" i="5" s="1"/>
  <c r="K62" i="5" s="1"/>
  <c r="M62" i="5" s="1"/>
  <c r="C61" i="5"/>
  <c r="E61" i="5" s="1"/>
  <c r="G61" i="5" s="1"/>
  <c r="I61" i="5" s="1"/>
  <c r="K61" i="5" s="1"/>
  <c r="M61" i="5" s="1"/>
  <c r="C60" i="5"/>
  <c r="E60" i="5" s="1"/>
  <c r="G60" i="5" s="1"/>
  <c r="I60" i="5" s="1"/>
  <c r="K60" i="5" s="1"/>
  <c r="M60" i="5" s="1"/>
  <c r="C59" i="5"/>
  <c r="E59" i="5" s="1"/>
  <c r="G59" i="5" s="1"/>
  <c r="I59" i="5" s="1"/>
  <c r="K59" i="5" s="1"/>
  <c r="M59" i="5" s="1"/>
  <c r="C58" i="5"/>
  <c r="E58" i="5" s="1"/>
  <c r="G58" i="5" s="1"/>
  <c r="I58" i="5" s="1"/>
  <c r="K58" i="5" s="1"/>
  <c r="M58" i="5" s="1"/>
  <c r="C57" i="5"/>
  <c r="E57" i="5" s="1"/>
  <c r="G57" i="5" s="1"/>
  <c r="I57" i="5" s="1"/>
  <c r="K57" i="5" s="1"/>
  <c r="M57" i="5" s="1"/>
  <c r="C56" i="5"/>
  <c r="E56" i="5" s="1"/>
  <c r="G56" i="5" s="1"/>
  <c r="I56" i="5" s="1"/>
  <c r="K56" i="5" s="1"/>
  <c r="M56" i="5" s="1"/>
  <c r="C55" i="5"/>
  <c r="E55" i="5" s="1"/>
  <c r="G55" i="5" s="1"/>
  <c r="I55" i="5" s="1"/>
  <c r="K55" i="5" s="1"/>
  <c r="M55" i="5" s="1"/>
  <c r="C54" i="5"/>
  <c r="E54" i="5" s="1"/>
  <c r="G54" i="5" s="1"/>
  <c r="I54" i="5" s="1"/>
  <c r="K54" i="5" s="1"/>
  <c r="M54" i="5" s="1"/>
  <c r="C53" i="5"/>
  <c r="E53" i="5" s="1"/>
  <c r="G53" i="5" s="1"/>
  <c r="I53" i="5" s="1"/>
  <c r="K53" i="5" s="1"/>
  <c r="M53" i="5" s="1"/>
  <c r="C52" i="5"/>
  <c r="E52" i="5" s="1"/>
  <c r="G52" i="5" s="1"/>
  <c r="I52" i="5" s="1"/>
  <c r="K52" i="5" s="1"/>
  <c r="M52" i="5" s="1"/>
  <c r="C51" i="5"/>
  <c r="E51" i="5" s="1"/>
  <c r="G51" i="5" s="1"/>
  <c r="I51" i="5" s="1"/>
  <c r="K51" i="5" s="1"/>
  <c r="M51" i="5" s="1"/>
  <c r="C50" i="5"/>
  <c r="E50" i="5" s="1"/>
  <c r="G50" i="5" s="1"/>
  <c r="I50" i="5" s="1"/>
  <c r="K50" i="5" s="1"/>
  <c r="M50" i="5" s="1"/>
  <c r="C49" i="5"/>
  <c r="E49" i="5" s="1"/>
  <c r="G49" i="5" s="1"/>
  <c r="I49" i="5" s="1"/>
  <c r="K49" i="5" s="1"/>
  <c r="M49" i="5" s="1"/>
  <c r="C48" i="5"/>
  <c r="E48" i="5" s="1"/>
  <c r="G48" i="5" s="1"/>
  <c r="I48" i="5" s="1"/>
  <c r="K48" i="5" s="1"/>
  <c r="M48" i="5" s="1"/>
  <c r="C47" i="5"/>
  <c r="E47" i="5" s="1"/>
  <c r="G47" i="5" s="1"/>
  <c r="I47" i="5" s="1"/>
  <c r="K47" i="5" s="1"/>
  <c r="M47" i="5" s="1"/>
  <c r="C46" i="5"/>
  <c r="E46" i="5" s="1"/>
  <c r="G46" i="5" s="1"/>
  <c r="I46" i="5" s="1"/>
  <c r="K46" i="5" s="1"/>
  <c r="M46" i="5" s="1"/>
  <c r="C45" i="5"/>
  <c r="E45" i="5" s="1"/>
  <c r="G45" i="5" s="1"/>
  <c r="I45" i="5" s="1"/>
  <c r="K45" i="5" s="1"/>
  <c r="M45" i="5" s="1"/>
  <c r="C44" i="5"/>
  <c r="E44" i="5" s="1"/>
  <c r="G44" i="5" s="1"/>
  <c r="I44" i="5" s="1"/>
  <c r="K44" i="5" s="1"/>
  <c r="M44" i="5" s="1"/>
  <c r="C67" i="4"/>
  <c r="E67" i="4" s="1"/>
  <c r="G67" i="4" s="1"/>
  <c r="I67" i="4" s="1"/>
  <c r="K67" i="4" s="1"/>
  <c r="M67" i="4" s="1"/>
  <c r="C66" i="4"/>
  <c r="E66" i="4" s="1"/>
  <c r="G66" i="4" s="1"/>
  <c r="I66" i="4" s="1"/>
  <c r="K66" i="4" s="1"/>
  <c r="M66" i="4" s="1"/>
  <c r="C65" i="4"/>
  <c r="E65" i="4" s="1"/>
  <c r="G65" i="4" s="1"/>
  <c r="I65" i="4" s="1"/>
  <c r="K65" i="4" s="1"/>
  <c r="M65" i="4" s="1"/>
  <c r="C64" i="4"/>
  <c r="E64" i="4" s="1"/>
  <c r="G64" i="4" s="1"/>
  <c r="I64" i="4" s="1"/>
  <c r="K64" i="4" s="1"/>
  <c r="M64" i="4" s="1"/>
  <c r="C63" i="4"/>
  <c r="E63" i="4" s="1"/>
  <c r="G63" i="4" s="1"/>
  <c r="I63" i="4" s="1"/>
  <c r="K63" i="4" s="1"/>
  <c r="M63" i="4" s="1"/>
  <c r="C62" i="4"/>
  <c r="E62" i="4" s="1"/>
  <c r="G62" i="4" s="1"/>
  <c r="I62" i="4" s="1"/>
  <c r="K62" i="4" s="1"/>
  <c r="M62" i="4" s="1"/>
  <c r="C61" i="4"/>
  <c r="E61" i="4" s="1"/>
  <c r="G61" i="4" s="1"/>
  <c r="I61" i="4" s="1"/>
  <c r="K61" i="4" s="1"/>
  <c r="M61" i="4" s="1"/>
  <c r="C60" i="4"/>
  <c r="E60" i="4" s="1"/>
  <c r="G60" i="4" s="1"/>
  <c r="I60" i="4" s="1"/>
  <c r="K60" i="4" s="1"/>
  <c r="M60" i="4" s="1"/>
  <c r="C59" i="4"/>
  <c r="E59" i="4" s="1"/>
  <c r="G59" i="4" s="1"/>
  <c r="I59" i="4" s="1"/>
  <c r="K59" i="4" s="1"/>
  <c r="M59" i="4" s="1"/>
  <c r="C58" i="4"/>
  <c r="E58" i="4" s="1"/>
  <c r="G58" i="4" s="1"/>
  <c r="I58" i="4" s="1"/>
  <c r="K58" i="4" s="1"/>
  <c r="M58" i="4" s="1"/>
  <c r="C57" i="4"/>
  <c r="E57" i="4" s="1"/>
  <c r="G57" i="4" s="1"/>
  <c r="I57" i="4" s="1"/>
  <c r="K57" i="4" s="1"/>
  <c r="M57" i="4" s="1"/>
  <c r="C56" i="4"/>
  <c r="E56" i="4" s="1"/>
  <c r="G56" i="4" s="1"/>
  <c r="I56" i="4" s="1"/>
  <c r="K56" i="4" s="1"/>
  <c r="M56" i="4" s="1"/>
  <c r="C55" i="4"/>
  <c r="E55" i="4" s="1"/>
  <c r="G55" i="4" s="1"/>
  <c r="I55" i="4" s="1"/>
  <c r="K55" i="4" s="1"/>
  <c r="M55" i="4" s="1"/>
  <c r="C54" i="4"/>
  <c r="E54" i="4" s="1"/>
  <c r="G54" i="4" s="1"/>
  <c r="I54" i="4" s="1"/>
  <c r="K54" i="4" s="1"/>
  <c r="M54" i="4" s="1"/>
  <c r="C53" i="4"/>
  <c r="E53" i="4" s="1"/>
  <c r="G53" i="4" s="1"/>
  <c r="I53" i="4" s="1"/>
  <c r="K53" i="4" s="1"/>
  <c r="M53" i="4" s="1"/>
  <c r="C52" i="4"/>
  <c r="E52" i="4" s="1"/>
  <c r="G52" i="4" s="1"/>
  <c r="I52" i="4" s="1"/>
  <c r="K52" i="4" s="1"/>
  <c r="M52" i="4" s="1"/>
  <c r="C51" i="4"/>
  <c r="E51" i="4" s="1"/>
  <c r="G51" i="4" s="1"/>
  <c r="I51" i="4" s="1"/>
  <c r="K51" i="4" s="1"/>
  <c r="M51" i="4" s="1"/>
  <c r="C50" i="4"/>
  <c r="E50" i="4" s="1"/>
  <c r="G50" i="4" s="1"/>
  <c r="I50" i="4" s="1"/>
  <c r="K50" i="4" s="1"/>
  <c r="M50" i="4" s="1"/>
  <c r="C49" i="4"/>
  <c r="E49" i="4" s="1"/>
  <c r="G49" i="4" s="1"/>
  <c r="I49" i="4" s="1"/>
  <c r="K49" i="4" s="1"/>
  <c r="M49" i="4" s="1"/>
  <c r="C48" i="4"/>
  <c r="E48" i="4" s="1"/>
  <c r="G48" i="4" s="1"/>
  <c r="I48" i="4" s="1"/>
  <c r="K48" i="4" s="1"/>
  <c r="M48" i="4" s="1"/>
  <c r="C47" i="4"/>
  <c r="E47" i="4" s="1"/>
  <c r="G47" i="4" s="1"/>
  <c r="I47" i="4" s="1"/>
  <c r="K47" i="4" s="1"/>
  <c r="M47" i="4" s="1"/>
  <c r="C46" i="4"/>
  <c r="E46" i="4" s="1"/>
  <c r="G46" i="4" s="1"/>
  <c r="I46" i="4" s="1"/>
  <c r="K46" i="4" s="1"/>
  <c r="M46" i="4" s="1"/>
  <c r="C45" i="4"/>
  <c r="E45" i="4" s="1"/>
  <c r="G45" i="4" s="1"/>
  <c r="I45" i="4" s="1"/>
  <c r="K45" i="4" s="1"/>
  <c r="M45" i="4" s="1"/>
  <c r="C44" i="4"/>
  <c r="E44" i="4" s="1"/>
  <c r="G44" i="4" s="1"/>
  <c r="I44" i="4" s="1"/>
  <c r="K44" i="4" s="1"/>
  <c r="M44" i="4" s="1"/>
  <c r="L26" i="14" l="1"/>
  <c r="AB26" i="14"/>
  <c r="AR26" i="14"/>
  <c r="BO26" i="14"/>
  <c r="CE26" i="14"/>
  <c r="CU26" i="14"/>
  <c r="DR26" i="14"/>
  <c r="EH26" i="14"/>
  <c r="EX26" i="14"/>
  <c r="BK26" i="15"/>
  <c r="CA26" i="15"/>
  <c r="CQ26" i="15"/>
  <c r="DN26" i="15"/>
  <c r="ED26" i="15"/>
  <c r="ET26" i="15"/>
  <c r="FR26" i="15"/>
  <c r="AP26" i="15"/>
  <c r="BM26" i="15"/>
  <c r="CC26" i="15"/>
  <c r="CS26" i="15"/>
  <c r="DP26" i="15"/>
  <c r="EF26" i="15"/>
  <c r="EV26" i="15"/>
  <c r="FU26" i="15"/>
  <c r="T26" i="14"/>
  <c r="AJ26" i="14"/>
  <c r="AZ26" i="14"/>
  <c r="BW26" i="14"/>
  <c r="CM26" i="14"/>
  <c r="DC26" i="14"/>
  <c r="DZ26" i="14"/>
  <c r="EP26" i="14"/>
  <c r="FF26" i="14"/>
  <c r="BS26" i="15"/>
  <c r="CI26" i="15"/>
  <c r="CY26" i="15"/>
  <c r="DV26" i="15"/>
  <c r="EL26" i="15"/>
  <c r="FB26" i="15"/>
  <c r="FR26" i="13"/>
  <c r="R26" i="15"/>
  <c r="AH26" i="15"/>
  <c r="AX26" i="15"/>
  <c r="BU26" i="15"/>
  <c r="CK26" i="15"/>
  <c r="DA26" i="15"/>
  <c r="DX26" i="15"/>
  <c r="EN26" i="15"/>
  <c r="FD26" i="15"/>
  <c r="GE54" i="15" l="1"/>
  <c r="GE54" i="13"/>
  <c r="GA54" i="12"/>
  <c r="FY54" i="12"/>
  <c r="FY54" i="14" l="1"/>
  <c r="GA54" i="14"/>
  <c r="GE54" i="14"/>
  <c r="FW54" i="14"/>
  <c r="FY54" i="13"/>
  <c r="GA54" i="13"/>
  <c r="FW54" i="12"/>
  <c r="GC54" i="12"/>
  <c r="GE54" i="12"/>
  <c r="FY54" i="15" l="1"/>
  <c r="GA54" i="15"/>
  <c r="GC54" i="14"/>
  <c r="GC54" i="15" l="1"/>
  <c r="FW54" i="15"/>
  <c r="FW54" i="13"/>
  <c r="GC54" i="13"/>
</calcChain>
</file>

<file path=xl/comments1.xml><?xml version="1.0" encoding="utf-8"?>
<comments xmlns="http://schemas.openxmlformats.org/spreadsheetml/2006/main">
  <authors>
    <author>Bohra Staff</author>
  </authors>
  <commentList>
    <comment ref="N4" authorId="0" shapeId="0">
      <text>
        <r>
          <rPr>
            <sz val="9"/>
            <color indexed="81"/>
            <rFont val="Meiryo UI"/>
            <family val="3"/>
            <charset val="128"/>
          </rPr>
          <t>乾球温度：31.60[℃]
相対湿度：60[％]
比エンタルピ：76.8[kJ/kg]
絶対湿度：0.0176[kg/kg]
湿球温度：25.1[℃]</t>
        </r>
      </text>
    </comment>
    <comment ref="N5" authorId="0" shapeId="0">
      <text>
        <r>
          <rPr>
            <sz val="9"/>
            <color indexed="81"/>
            <rFont val="Meiryo UI"/>
            <family val="3"/>
            <charset val="128"/>
          </rPr>
          <t>乾球温度：13.69[℃]
相対湿度：95[％]
比エンタルピ：37.3[kJ/kg]
絶対湿度：0.0093[kg/kg]
湿球温度：13.2[℃]</t>
        </r>
      </text>
    </comment>
    <comment ref="N6" authorId="0" shapeId="0">
      <text>
        <r>
          <rPr>
            <sz val="9"/>
            <color indexed="81"/>
            <rFont val="Meiryo UI"/>
            <family val="3"/>
            <charset val="128"/>
          </rPr>
          <t>乾球温度：15.07[℃]
相対湿度：87[％]
比エンタルピ：38.7[kJ/kg]
絶対湿度：0.0093[kg/kg]
湿球温度：13.7[℃]</t>
        </r>
      </text>
    </comment>
    <comment ref="N7" authorId="0" shapeId="0">
      <text>
        <r>
          <rPr>
            <sz val="9"/>
            <color indexed="81"/>
            <rFont val="Meiryo UI"/>
            <family val="3"/>
            <charset val="128"/>
          </rPr>
          <t>乾球温度：21.66[℃]
相対湿度：58[％]
比エンタルピ：45.5[kJ/kg]
絶対湿度：0.0093[kg/kg]
湿球温度：16.3[℃]</t>
        </r>
      </text>
    </comment>
    <comment ref="N9" authorId="0" shapeId="0">
      <text>
        <r>
          <rPr>
            <sz val="9"/>
            <color indexed="81"/>
            <rFont val="Meiryo UI"/>
            <family val="3"/>
            <charset val="128"/>
          </rPr>
          <t>乾球温度：24.00[℃]
相対湿度：50[％]
比エンタルピ：47.9[kJ/kg]
絶対湿度：0.0093[kg/kg]
湿球温度：17.0[℃]</t>
        </r>
      </text>
    </comment>
    <comment ref="N11" authorId="0" shapeId="0">
      <text>
        <r>
          <rPr>
            <sz val="9"/>
            <color indexed="81"/>
            <rFont val="Meiryo UI"/>
            <family val="3"/>
            <charset val="128"/>
          </rPr>
          <t>乾球温度：21.94[℃]
相対湿度：57[％]
比エンタルピ：45.8[kJ/kg]
絶対湿度：0.0093[kg/kg]
湿球温度：16.4[℃]</t>
        </r>
      </text>
    </comment>
    <comment ref="N13" authorId="0" shapeId="0">
      <text>
        <r>
          <rPr>
            <sz val="9"/>
            <color indexed="81"/>
            <rFont val="Meiryo UI"/>
            <family val="3"/>
            <charset val="128"/>
          </rPr>
          <t>乾球温度：-6.90[℃]
相対湿度：71[％]
比エンタルピ：-3.2[kJ/kg]
絶対湿度：0.0015[kg/kg]
湿球温度：-8.1[℃]</t>
        </r>
      </text>
    </comment>
    <comment ref="N14" authorId="0" shapeId="0">
      <text>
        <r>
          <rPr>
            <sz val="9"/>
            <color indexed="81"/>
            <rFont val="Meiryo UI"/>
            <family val="3"/>
            <charset val="128"/>
          </rPr>
          <t>乾球温度：3.00[℃]
相対湿度：32[％]
比エンタルピ：6.8[kJ/kg]
絶対湿度：0.0015[kg/kg]
湿球温度：-1.9[℃]</t>
        </r>
      </text>
    </comment>
    <comment ref="N15" authorId="0" shapeId="0">
      <text>
        <r>
          <rPr>
            <sz val="9"/>
            <color indexed="81"/>
            <rFont val="Meiryo UI"/>
            <family val="3"/>
            <charset val="128"/>
          </rPr>
          <t>乾球温度：22.99[℃]
相対湿度：9[％]
比エンタルピ：26.9[kJ/kg]
絶対湿度：0.0015[kg/kg]
湿球温度：9.0[℃]</t>
        </r>
      </text>
    </comment>
    <comment ref="N16" authorId="0" shapeId="0">
      <text>
        <r>
          <rPr>
            <sz val="9"/>
            <color indexed="81"/>
            <rFont val="Meiryo UI"/>
            <family val="3"/>
            <charset val="128"/>
          </rPr>
          <t>乾球温度：24.00[℃]
相対湿度：50[％]
比エンタルピ：47.9[kJ/kg]
絶対湿度：0.0093[kg/kg]
湿球温度：17.0[℃]</t>
        </r>
      </text>
    </comment>
    <comment ref="N17" authorId="0" shapeId="0">
      <text>
        <r>
          <rPr>
            <sz val="9"/>
            <color indexed="81"/>
            <rFont val="Meiryo UI"/>
            <family val="3"/>
            <charset val="128"/>
          </rPr>
          <t>乾球温度：24.00[℃]
相対湿度：50[％]
比エンタルピ：47.9[kJ/kg]
絶対湿度：0.0093[kg/kg]
湿球温度：17.0[℃]</t>
        </r>
      </text>
    </comment>
  </commentList>
</comments>
</file>

<file path=xl/comments2.xml><?xml version="1.0" encoding="utf-8"?>
<comments xmlns="http://schemas.openxmlformats.org/spreadsheetml/2006/main">
  <authors>
    <author>Bohra Staff</author>
  </authors>
  <commentList>
    <comment ref="N4" authorId="0" shapeId="0">
      <text>
        <r>
          <rPr>
            <sz val="9"/>
            <color indexed="81"/>
            <rFont val="Meiryo UI"/>
            <family val="3"/>
            <charset val="128"/>
          </rPr>
          <t>乾球温度：31.60[℃]
相対湿度：60[％]
比エンタルピ：76.8[kJ/kg]
絶対湿度：0.0176[kg/kg]
湿球温度：25.1[℃]</t>
        </r>
      </text>
    </comment>
    <comment ref="N5" authorId="0" shapeId="0">
      <text>
        <r>
          <rPr>
            <sz val="9"/>
            <color indexed="81"/>
            <rFont val="Meiryo UI"/>
            <family val="3"/>
            <charset val="128"/>
          </rPr>
          <t>乾球温度：11.47[℃]
相対湿度：95[％]
比エンタルピ：31.8[kJ/kg]
絶対湿度：0.0080[kg/kg]
湿球温度：11.0[℃]</t>
        </r>
      </text>
    </comment>
    <comment ref="N6" authorId="0" shapeId="0">
      <text>
        <r>
          <rPr>
            <sz val="9"/>
            <color indexed="81"/>
            <rFont val="Meiryo UI"/>
            <family val="3"/>
            <charset val="128"/>
          </rPr>
          <t>乾球温度：12.16[℃]
相対湿度：91[％]
比エンタルピ：32.5[kJ/kg]
絶対湿度：0.0080[kg/kg]
湿球温度：11.3[℃]</t>
        </r>
      </text>
    </comment>
    <comment ref="N7" authorId="0" shapeId="0">
      <text>
        <r>
          <rPr>
            <sz val="9"/>
            <color indexed="81"/>
            <rFont val="Meiryo UI"/>
            <family val="3"/>
            <charset val="128"/>
          </rPr>
          <t>乾球温度：15.30[℃]
相対湿度：93[％]
比エンタルピ：40.9[kJ/kg]
絶対湿度：0.0101[kg/kg]
湿球温度：14.6[℃]</t>
        </r>
      </text>
    </comment>
    <comment ref="N9" authorId="0" shapeId="0">
      <text>
        <r>
          <rPr>
            <sz val="9"/>
            <color indexed="81"/>
            <rFont val="Meiryo UI"/>
            <family val="3"/>
            <charset val="128"/>
          </rPr>
          <t>乾球温度：28.00[℃]
相対湿度：45[％]
比エンタルピ：55.3[kJ/kg]
絶対湿度：0.0106[kg/kg]
湿球温度：19.4[℃]</t>
        </r>
      </text>
    </comment>
    <comment ref="N11" authorId="0" shapeId="0">
      <text>
        <r>
          <rPr>
            <sz val="9"/>
            <color indexed="81"/>
            <rFont val="Meiryo UI"/>
            <family val="3"/>
            <charset val="128"/>
          </rPr>
          <t>乾球温度：15.72[℃]
相対湿度：95[％]
比エンタルピ：42.7[kJ/kg]
絶対湿度：0.0106[kg/kg]
湿球温度：15.2[℃]</t>
        </r>
      </text>
    </comment>
    <comment ref="N12" authorId="0" shapeId="0">
      <text>
        <r>
          <rPr>
            <sz val="9"/>
            <color indexed="81"/>
            <rFont val="Meiryo UI"/>
            <family val="3"/>
            <charset val="128"/>
          </rPr>
          <t>乾球温度：16.14[℃]
相対湿度：93[％]
比エンタルピ：43.2[kJ/kg]
絶対湿度：0.0106[kg/kg]
湿球温度：15.4[℃]</t>
        </r>
      </text>
    </comment>
    <comment ref="N14" authorId="0" shapeId="0">
      <text>
        <r>
          <rPr>
            <sz val="9"/>
            <color indexed="81"/>
            <rFont val="Meiryo UI"/>
            <family val="3"/>
            <charset val="128"/>
          </rPr>
          <t>乾球温度：-3.50[℃]
相対湿度：53[％]
比エンタルピ：0.2[kJ/kg]
絶対湿度：0.0015[kg/kg]
湿球温度：-5.8[℃]</t>
        </r>
      </text>
    </comment>
    <comment ref="N15" authorId="0" shapeId="0">
      <text>
        <r>
          <rPr>
            <sz val="9"/>
            <color indexed="81"/>
            <rFont val="Meiryo UI"/>
            <family val="3"/>
            <charset val="128"/>
          </rPr>
          <t>乾球温度：42.00[℃]
相対湿度：3[％]
比エンタルピ：46.1[kJ/kg]
絶対湿度：0.0015[kg/kg]
湿球温度：16.7[℃]</t>
        </r>
      </text>
    </comment>
    <comment ref="N16" authorId="0" shapeId="0">
      <text>
        <r>
          <rPr>
            <sz val="9"/>
            <color indexed="81"/>
            <rFont val="Meiryo UI"/>
            <family val="3"/>
            <charset val="128"/>
          </rPr>
          <t>乾球温度：31.34[℃]
相対湿度：20[％]
比エンタルピ：46.4[kJ/kg]
絶対湿度：0.0058[kg/kg]
湿球温度：16.7[℃]</t>
        </r>
      </text>
    </comment>
    <comment ref="N17" authorId="0" shapeId="0">
      <text>
        <r>
          <rPr>
            <sz val="9"/>
            <color indexed="81"/>
            <rFont val="Meiryo UI"/>
            <family val="3"/>
            <charset val="128"/>
          </rPr>
          <t>乾球温度：20.00[℃]
相対湿度：40[％]
比エンタルピ：34.9[kJ/kg]
絶対湿度：0.0058[kg/kg]
湿球温度：12.4[℃]</t>
        </r>
      </text>
    </comment>
    <comment ref="N19" authorId="0" shapeId="0">
      <text>
        <r>
          <rPr>
            <sz val="9"/>
            <color indexed="81"/>
            <rFont val="Meiryo UI"/>
            <family val="3"/>
            <charset val="128"/>
          </rPr>
          <t>乾球温度：29.80[℃]
相対湿度：22[％]
比エンタルピ：44.9[kJ/kg]
絶対湿度：0.0058[kg/kg]
湿球温度：16.1[℃]</t>
        </r>
      </text>
    </comment>
    <comment ref="N21" authorId="0" shapeId="0">
      <text>
        <r>
          <rPr>
            <sz val="9"/>
            <color indexed="81"/>
            <rFont val="Meiryo UI"/>
            <family val="3"/>
            <charset val="128"/>
          </rPr>
          <t>乾球温度：30.12[℃]
相対湿度：22[％]
比エンタルピ：45.2[kJ/kg]
絶対湿度：0.0058[kg/kg]
湿球温度：16.2[℃]</t>
        </r>
      </text>
    </comment>
  </commentList>
</comments>
</file>

<file path=xl/sharedStrings.xml><?xml version="1.0" encoding="utf-8"?>
<sst xmlns="http://schemas.openxmlformats.org/spreadsheetml/2006/main" count="9251" uniqueCount="989">
  <si>
    <t>負荷仕切紙</t>
  </si>
  <si>
    <t>計算用外界条件等</t>
  </si>
  <si>
    <t xml:space="preserve">  1.建物の位置、太陽位置などを示しています。</t>
  </si>
  <si>
    <t>位置情報・建物方位角など</t>
    <rPh sb="0" eb="2">
      <t>イチ</t>
    </rPh>
    <rPh sb="2" eb="4">
      <t>ジョウホウ</t>
    </rPh>
    <rPh sb="5" eb="7">
      <t>タテモノ</t>
    </rPh>
    <rPh sb="7" eb="9">
      <t>ホウイ</t>
    </rPh>
    <rPh sb="9" eb="10">
      <t>カク</t>
    </rPh>
    <phoneticPr fontId="10"/>
  </si>
  <si>
    <t>地点情報</t>
    <rPh sb="0" eb="2">
      <t>チテン</t>
    </rPh>
    <rPh sb="2" eb="4">
      <t>ジョウホウ</t>
    </rPh>
    <phoneticPr fontId="13"/>
  </si>
  <si>
    <t>斜面（壁面）方位角</t>
    <rPh sb="0" eb="2">
      <t>シャメン</t>
    </rPh>
    <rPh sb="3" eb="5">
      <t>ヘキメン</t>
    </rPh>
    <rPh sb="6" eb="8">
      <t>ホウイ</t>
    </rPh>
    <rPh sb="8" eb="9">
      <t>カク</t>
    </rPh>
    <phoneticPr fontId="13"/>
  </si>
  <si>
    <t>地点名称</t>
    <rPh sb="0" eb="2">
      <t>チテン</t>
    </rPh>
    <rPh sb="2" eb="4">
      <t>メイショウ</t>
    </rPh>
    <phoneticPr fontId="13"/>
  </si>
  <si>
    <t>緯度[°]</t>
    <rPh sb="0" eb="2">
      <t>イド</t>
    </rPh>
    <phoneticPr fontId="13"/>
  </si>
  <si>
    <t>経度[°]</t>
    <rPh sb="0" eb="2">
      <t>ケイド</t>
    </rPh>
    <phoneticPr fontId="13"/>
  </si>
  <si>
    <t>標準子午線経度[°]</t>
    <rPh sb="0" eb="2">
      <t>ヒョウジュン</t>
    </rPh>
    <rPh sb="2" eb="5">
      <t>シゴセン</t>
    </rPh>
    <rPh sb="5" eb="7">
      <t>ケイド</t>
    </rPh>
    <phoneticPr fontId="13"/>
  </si>
  <si>
    <t>斜面方位表示</t>
    <rPh sb="0" eb="2">
      <t>シャメン</t>
    </rPh>
    <rPh sb="2" eb="4">
      <t>ホウイ</t>
    </rPh>
    <rPh sb="4" eb="6">
      <t>ヒョウジ</t>
    </rPh>
    <phoneticPr fontId="13"/>
  </si>
  <si>
    <t>N</t>
    <phoneticPr fontId="13"/>
  </si>
  <si>
    <t>E</t>
    <phoneticPr fontId="13"/>
  </si>
  <si>
    <t>S</t>
    <phoneticPr fontId="13"/>
  </si>
  <si>
    <t>W</t>
    <phoneticPr fontId="13"/>
  </si>
  <si>
    <t>斜面方位角 α[°]</t>
    <rPh sb="0" eb="2">
      <t>シャメン</t>
    </rPh>
    <phoneticPr fontId="13"/>
  </si>
  <si>
    <t>太陽位置</t>
    <rPh sb="0" eb="2">
      <t>タイヨウ</t>
    </rPh>
    <rPh sb="2" eb="4">
      <t>イチ</t>
    </rPh>
    <phoneticPr fontId="13"/>
  </si>
  <si>
    <t>h-t基準</t>
    <phoneticPr fontId="13"/>
  </si>
  <si>
    <t>Jc-t基準</t>
    <phoneticPr fontId="13"/>
  </si>
  <si>
    <t>Js-t基準</t>
    <phoneticPr fontId="13"/>
  </si>
  <si>
    <t>太陽高度角 φ[°]</t>
    <rPh sb="4" eb="5">
      <t>カク</t>
    </rPh>
    <phoneticPr fontId="13"/>
  </si>
  <si>
    <t>太陽方位角 γ[°]</t>
    <phoneticPr fontId="13"/>
  </si>
  <si>
    <t>太陽方位角 γ[°]</t>
    <phoneticPr fontId="13"/>
  </si>
  <si>
    <t>白河</t>
  </si>
  <si>
    <t>太陽位置計算日 ： 8月1日</t>
  </si>
  <si>
    <t>太陽位置計算日 ： 9月15日</t>
  </si>
  <si>
    <t xml:space="preserve">  2.設計用外気温湿度、地中温度などを示しています。</t>
  </si>
  <si>
    <t>外気条件・地中温度</t>
    <rPh sb="2" eb="4">
      <t>ジョウケン</t>
    </rPh>
    <phoneticPr fontId="10"/>
  </si>
  <si>
    <t>参照地点名</t>
    <rPh sb="0" eb="2">
      <t>サンショウ</t>
    </rPh>
    <rPh sb="2" eb="4">
      <t>チテン</t>
    </rPh>
    <rPh sb="4" eb="5">
      <t>メイ</t>
    </rPh>
    <phoneticPr fontId="13"/>
  </si>
  <si>
    <t>冷房設計用外気条件</t>
    <rPh sb="0" eb="2">
      <t>レイボウ</t>
    </rPh>
    <rPh sb="2" eb="5">
      <t>セッケイヨウ</t>
    </rPh>
    <rPh sb="5" eb="7">
      <t>ガイキ</t>
    </rPh>
    <rPh sb="7" eb="9">
      <t>ジョウケン</t>
    </rPh>
    <phoneticPr fontId="13"/>
  </si>
  <si>
    <t>h-t基準</t>
    <phoneticPr fontId="13"/>
  </si>
  <si>
    <t>注記：下線部は8時-18時運転時の、太字は24時間運転時の空調機外気負荷設計用外気条件</t>
    <rPh sb="0" eb="2">
      <t>チュウキ</t>
    </rPh>
    <rPh sb="3" eb="6">
      <t>カセンブ</t>
    </rPh>
    <rPh sb="8" eb="9">
      <t>ジ</t>
    </rPh>
    <rPh sb="12" eb="13">
      <t>ジ</t>
    </rPh>
    <rPh sb="13" eb="15">
      <t>ウンテン</t>
    </rPh>
    <rPh sb="15" eb="16">
      <t>ジ</t>
    </rPh>
    <rPh sb="18" eb="20">
      <t>フトジ</t>
    </rPh>
    <rPh sb="23" eb="25">
      <t>ジカン</t>
    </rPh>
    <rPh sb="25" eb="27">
      <t>ウンテン</t>
    </rPh>
    <rPh sb="27" eb="28">
      <t>ジ</t>
    </rPh>
    <rPh sb="29" eb="32">
      <t>クウチョウキ</t>
    </rPh>
    <rPh sb="32" eb="34">
      <t>ガイキ</t>
    </rPh>
    <rPh sb="34" eb="36">
      <t>フカ</t>
    </rPh>
    <rPh sb="36" eb="39">
      <t>セッケイヨウ</t>
    </rPh>
    <rPh sb="39" eb="41">
      <t>ガイキ</t>
    </rPh>
    <rPh sb="41" eb="43">
      <t>ジョウケン</t>
    </rPh>
    <phoneticPr fontId="13"/>
  </si>
  <si>
    <t>乾球温度[℃]</t>
    <rPh sb="0" eb="2">
      <t>カンキュウ</t>
    </rPh>
    <rPh sb="2" eb="4">
      <t>オンド</t>
    </rPh>
    <phoneticPr fontId="13"/>
  </si>
  <si>
    <t>絶対湿度[g/kg]</t>
    <rPh sb="0" eb="2">
      <t>ゼッタイ</t>
    </rPh>
    <rPh sb="2" eb="4">
      <t>シツド</t>
    </rPh>
    <phoneticPr fontId="13"/>
  </si>
  <si>
    <t>比エンタルピ [kJ/kg]</t>
    <phoneticPr fontId="13"/>
  </si>
  <si>
    <t>Jc-t基準</t>
    <phoneticPr fontId="13"/>
  </si>
  <si>
    <t>Js-t基準</t>
    <phoneticPr fontId="13"/>
  </si>
  <si>
    <t>暖房設計用外気条件</t>
    <rPh sb="0" eb="2">
      <t>ダンボウ</t>
    </rPh>
    <rPh sb="2" eb="5">
      <t>セッケイヨウ</t>
    </rPh>
    <rPh sb="5" eb="7">
      <t>ガイキ</t>
    </rPh>
    <rPh sb="7" eb="9">
      <t>ジョウケン</t>
    </rPh>
    <phoneticPr fontId="13"/>
  </si>
  <si>
    <t>t-x基準</t>
    <phoneticPr fontId="13"/>
  </si>
  <si>
    <t>室負荷計算用外気条件</t>
    <rPh sb="0" eb="1">
      <t>シツ</t>
    </rPh>
    <rPh sb="1" eb="3">
      <t>フカ</t>
    </rPh>
    <rPh sb="3" eb="6">
      <t>ケイサンヨウ</t>
    </rPh>
    <rPh sb="6" eb="8">
      <t>ガイキ</t>
    </rPh>
    <rPh sb="8" eb="10">
      <t>ジョウケン</t>
    </rPh>
    <phoneticPr fontId="13"/>
  </si>
  <si>
    <t>左記外気条件を与える時刻における相当外気温度</t>
    <rPh sb="0" eb="2">
      <t>サキ</t>
    </rPh>
    <rPh sb="2" eb="4">
      <t>ガイキ</t>
    </rPh>
    <rPh sb="4" eb="6">
      <t>ジョウケン</t>
    </rPh>
    <rPh sb="7" eb="8">
      <t>アタ</t>
    </rPh>
    <rPh sb="10" eb="12">
      <t>ジコク</t>
    </rPh>
    <rPh sb="16" eb="18">
      <t>ソウトウ</t>
    </rPh>
    <rPh sb="18" eb="20">
      <t>ガイキ</t>
    </rPh>
    <rPh sb="20" eb="22">
      <t>オンド</t>
    </rPh>
    <phoneticPr fontId="13"/>
  </si>
  <si>
    <t>外気負荷設計用外気条件</t>
    <rPh sb="0" eb="2">
      <t>ガイキ</t>
    </rPh>
    <rPh sb="2" eb="4">
      <t>フカ</t>
    </rPh>
    <rPh sb="4" eb="7">
      <t>セッケイヨウ</t>
    </rPh>
    <rPh sb="7" eb="9">
      <t>ガイキ</t>
    </rPh>
    <rPh sb="9" eb="11">
      <t>ジョウケン</t>
    </rPh>
    <phoneticPr fontId="13"/>
  </si>
  <si>
    <t>9-18時用</t>
    <rPh sb="4" eb="5">
      <t>ジ</t>
    </rPh>
    <rPh sb="5" eb="6">
      <t>ヨウ</t>
    </rPh>
    <phoneticPr fontId="13"/>
  </si>
  <si>
    <t>24時間用</t>
    <rPh sb="2" eb="4">
      <t>ジカン</t>
    </rPh>
    <rPh sb="4" eb="5">
      <t>ヨウ</t>
    </rPh>
    <phoneticPr fontId="13"/>
  </si>
  <si>
    <t>上向き水平面</t>
    <rPh sb="0" eb="2">
      <t>ウエム</t>
    </rPh>
    <rPh sb="3" eb="6">
      <t>スイヘイメン</t>
    </rPh>
    <phoneticPr fontId="13"/>
  </si>
  <si>
    <t>垂直面</t>
    <rPh sb="0" eb="2">
      <t>スイチョク</t>
    </rPh>
    <rPh sb="2" eb="3">
      <t>メン</t>
    </rPh>
    <phoneticPr fontId="13"/>
  </si>
  <si>
    <t>下向き水平面</t>
    <rPh sb="0" eb="2">
      <t>シタム</t>
    </rPh>
    <rPh sb="3" eb="6">
      <t>スイヘイメン</t>
    </rPh>
    <phoneticPr fontId="13"/>
  </si>
  <si>
    <t>時刻</t>
    <rPh sb="0" eb="2">
      <t>ジコク</t>
    </rPh>
    <phoneticPr fontId="13"/>
  </si>
  <si>
    <t>設計値</t>
    <rPh sb="0" eb="3">
      <t>セッケイチ</t>
    </rPh>
    <phoneticPr fontId="13"/>
  </si>
  <si>
    <t>t-Jh基準</t>
    <phoneticPr fontId="13"/>
  </si>
  <si>
    <t>比エンタルピ [kJ/kg]</t>
    <phoneticPr fontId="13"/>
  </si>
  <si>
    <t>注記</t>
    <rPh sb="0" eb="2">
      <t>チュウキ</t>
    </rPh>
    <phoneticPr fontId="13"/>
  </si>
  <si>
    <t>暖房設計用土間床、地中壁設計条件</t>
    <rPh sb="0" eb="2">
      <t>ダンボウ</t>
    </rPh>
    <rPh sb="2" eb="4">
      <t>セッケイ</t>
    </rPh>
    <rPh sb="4" eb="5">
      <t>ヨウ</t>
    </rPh>
    <rPh sb="5" eb="7">
      <t>ドマ</t>
    </rPh>
    <rPh sb="7" eb="8">
      <t>ユカ</t>
    </rPh>
    <rPh sb="9" eb="11">
      <t>チチュウ</t>
    </rPh>
    <rPh sb="11" eb="12">
      <t>ヘキ</t>
    </rPh>
    <rPh sb="12" eb="14">
      <t>セッケイ</t>
    </rPh>
    <rPh sb="14" eb="16">
      <t>ジョウケン</t>
    </rPh>
    <phoneticPr fontId="13"/>
  </si>
  <si>
    <t>赤坂・坂井の方法により算出するときの地下実効温度差</t>
    <rPh sb="11" eb="13">
      <t>サンシュツ</t>
    </rPh>
    <rPh sb="18" eb="20">
      <t>チカ</t>
    </rPh>
    <rPh sb="20" eb="22">
      <t>ジッコウ</t>
    </rPh>
    <rPh sb="22" eb="25">
      <t>オンドサ</t>
    </rPh>
    <phoneticPr fontId="19"/>
  </si>
  <si>
    <t>地中温度[℃]</t>
    <phoneticPr fontId="10"/>
  </si>
  <si>
    <t>赤坂・坂井の方法により算出する場合は使用しません。</t>
    <rPh sb="11" eb="13">
      <t>サンシュツ</t>
    </rPh>
    <rPh sb="15" eb="17">
      <t>バアイ</t>
    </rPh>
    <rPh sb="18" eb="20">
      <t>シヨウ</t>
    </rPh>
    <phoneticPr fontId="19"/>
  </si>
  <si>
    <t>基準値[K]</t>
    <rPh sb="0" eb="3">
      <t>キジュンチ</t>
    </rPh>
    <phoneticPr fontId="13"/>
  </si>
  <si>
    <t>平均気温[℃]</t>
    <rPh sb="0" eb="2">
      <t>ヘイキン</t>
    </rPh>
    <rPh sb="2" eb="4">
      <t>キオン</t>
    </rPh>
    <phoneticPr fontId="13"/>
  </si>
  <si>
    <t>東京の平均気温[℃]</t>
    <rPh sb="0" eb="2">
      <t>トウキョウ</t>
    </rPh>
    <rPh sb="3" eb="5">
      <t>ヘイキン</t>
    </rPh>
    <rPh sb="5" eb="7">
      <t>キオン</t>
    </rPh>
    <phoneticPr fontId="13"/>
  </si>
  <si>
    <t>決定値[K]</t>
    <rPh sb="0" eb="2">
      <t>ケッテイ</t>
    </rPh>
    <rPh sb="2" eb="3">
      <t>チ</t>
    </rPh>
    <phoneticPr fontId="13"/>
  </si>
  <si>
    <t>深度</t>
    <phoneticPr fontId="10"/>
  </si>
  <si>
    <t>t-x基準</t>
  </si>
  <si>
    <t>t-Jh基準</t>
  </si>
  <si>
    <t>平均気温はHASPEEデータの1時～24時までの暖房設計用外気温度の平均値です。</t>
    <rPh sb="0" eb="2">
      <t>ヘイキン</t>
    </rPh>
    <rPh sb="2" eb="4">
      <t>キオン</t>
    </rPh>
    <rPh sb="16" eb="17">
      <t>ジ</t>
    </rPh>
    <rPh sb="20" eb="21">
      <t>ジ</t>
    </rPh>
    <rPh sb="24" eb="26">
      <t>ダンボウ</t>
    </rPh>
    <rPh sb="26" eb="28">
      <t>セッケイ</t>
    </rPh>
    <rPh sb="28" eb="29">
      <t>ヨウ</t>
    </rPh>
    <rPh sb="29" eb="31">
      <t>ガイキ</t>
    </rPh>
    <rPh sb="31" eb="33">
      <t>オンド</t>
    </rPh>
    <rPh sb="34" eb="37">
      <t>ヘイキンチ</t>
    </rPh>
    <phoneticPr fontId="13"/>
  </si>
  <si>
    <t>白河</t>
    <phoneticPr fontId="13"/>
  </si>
  <si>
    <t>本設計（計算）においては夜間放射量（赤外放射熱損失）は考慮していません。</t>
  </si>
  <si>
    <t>したがって、暖房設計用相当外気温度はすべて外気温度に等しくなります。</t>
  </si>
  <si>
    <t>地中温度は渡辺要の方法で計算した値です。</t>
  </si>
  <si>
    <t>実効温度差　ETD[K]</t>
    <rPh sb="0" eb="5">
      <t>ジッコウオンドサ</t>
    </rPh>
    <phoneticPr fontId="13"/>
  </si>
  <si>
    <t>水平</t>
  </si>
  <si>
    <t>N</t>
  </si>
  <si>
    <t>NE</t>
  </si>
  <si>
    <t>E</t>
  </si>
  <si>
    <t>SE</t>
  </si>
  <si>
    <t>S</t>
  </si>
  <si>
    <t>SW</t>
  </si>
  <si>
    <t>W</t>
  </si>
  <si>
    <t>NW</t>
  </si>
  <si>
    <t>実効温度差計算用無次元化貫流応答係数 yj = 貫流応答係数 Yj / 熱貫流率 U</t>
    <rPh sb="0" eb="2">
      <t>ジッコウ</t>
    </rPh>
    <rPh sb="2" eb="5">
      <t>オンドサ</t>
    </rPh>
    <rPh sb="5" eb="8">
      <t>ケイサンヨウ</t>
    </rPh>
    <rPh sb="8" eb="11">
      <t>ムジゲン</t>
    </rPh>
    <rPh sb="11" eb="12">
      <t>カ</t>
    </rPh>
    <rPh sb="12" eb="14">
      <t>カンリュウ</t>
    </rPh>
    <rPh sb="14" eb="18">
      <t>オウトウケイスウ</t>
    </rPh>
    <rPh sb="24" eb="26">
      <t>カンリュウ</t>
    </rPh>
    <rPh sb="26" eb="28">
      <t>オウトウ</t>
    </rPh>
    <rPh sb="28" eb="30">
      <t>ケイスウ</t>
    </rPh>
    <rPh sb="36" eb="37">
      <t>ネツ</t>
    </rPh>
    <rPh sb="37" eb="39">
      <t>カンリュウ</t>
    </rPh>
    <rPh sb="39" eb="40">
      <t>リツ</t>
    </rPh>
    <phoneticPr fontId="13"/>
  </si>
  <si>
    <t>ｊ</t>
    <phoneticPr fontId="13"/>
  </si>
  <si>
    <t>yj</t>
  </si>
  <si>
    <t>ｊ</t>
  </si>
  <si>
    <t>日陰</t>
    <phoneticPr fontId="4"/>
  </si>
  <si>
    <t>日陰</t>
    <phoneticPr fontId="4"/>
  </si>
  <si>
    <t>日陰</t>
    <phoneticPr fontId="4"/>
  </si>
  <si>
    <t>1.イタリック表示の部分は計算値です。</t>
  </si>
  <si>
    <t>2.実効温度差は室温26[℃]の時の値です。</t>
  </si>
  <si>
    <t xml:space="preserve">  また、各方位の値は斜面傾斜角（壁面の水平面に対する角度）が90[°]の時の値です。</t>
  </si>
  <si>
    <t>3.日射吸収率：0.7</t>
  </si>
  <si>
    <t>4.夜間放射量は考慮していません。</t>
  </si>
  <si>
    <t>5.外表面熱伝達率：23[W/(㎡・K)]</t>
  </si>
  <si>
    <t xml:space="preserve">  （上記の外表面熱伝達率は、相当外気温度の計算のみに使用しています。</t>
  </si>
  <si>
    <t xml:space="preserve">  　応答係数計算時の外表面熱伝達率は、壁タイプⅠ～Ⅳの場合は常に23[W/(㎡・K)]、</t>
  </si>
  <si>
    <t xml:space="preserve">  　壁タイプによらず個別に計算する場合は、熱貫流率データで指定された値です。）</t>
  </si>
  <si>
    <t>6.建物方位角：15[°]</t>
  </si>
  <si>
    <t xml:space="preserve">  （各方位の実効温度差は建物方位角を考慮して計算しなおしています。）</t>
  </si>
  <si>
    <t>実効温度差及び無次元化貫流応答係数 (外壁 OW1・壁タイプⅢ)</t>
    <phoneticPr fontId="13"/>
  </si>
  <si>
    <t>日陰</t>
    <phoneticPr fontId="4"/>
  </si>
  <si>
    <t>実効温度差及び無次元化貫流応答係数 (外壁 OW2・壁タイプⅡ)</t>
    <phoneticPr fontId="13"/>
  </si>
  <si>
    <t>上向日陰</t>
    <phoneticPr fontId="4"/>
  </si>
  <si>
    <t>---</t>
  </si>
  <si>
    <t>上向日陰</t>
    <phoneticPr fontId="4"/>
  </si>
  <si>
    <t>上向日陰</t>
    <phoneticPr fontId="4"/>
  </si>
  <si>
    <t>6.上向日陰の相当外気温度計算用の日射量を計算する際、</t>
  </si>
  <si>
    <t xml:space="preserve">  太陽方向の高輝度成分を考慮せず、直散分離後の値をそのまま用いています｡</t>
  </si>
  <si>
    <t>実効温度差 (屋根 OR1・壁タイプⅣ)</t>
    <phoneticPr fontId="13"/>
  </si>
  <si>
    <t xml:space="preserve">  3.外壁・屋根などの実効温度差を示しています。</t>
  </si>
  <si>
    <t xml:space="preserve">  4.非空調室の温度条件を示しています。</t>
  </si>
  <si>
    <t>非空調室などの温度条件</t>
    <rPh sb="0" eb="1">
      <t>ヒ</t>
    </rPh>
    <rPh sb="1" eb="3">
      <t>クウチョウ</t>
    </rPh>
    <rPh sb="3" eb="4">
      <t>シツ</t>
    </rPh>
    <rPh sb="7" eb="9">
      <t>オンド</t>
    </rPh>
    <rPh sb="9" eb="11">
      <t>ジョウケン</t>
    </rPh>
    <phoneticPr fontId="13"/>
  </si>
  <si>
    <t>中間季の値は参考値です</t>
    <rPh sb="0" eb="2">
      <t>チュウカン</t>
    </rPh>
    <rPh sb="2" eb="3">
      <t>キ</t>
    </rPh>
    <rPh sb="4" eb="5">
      <t>アタイ</t>
    </rPh>
    <rPh sb="6" eb="8">
      <t>サンコウ</t>
    </rPh>
    <rPh sb="8" eb="9">
      <t>チ</t>
    </rPh>
    <phoneticPr fontId="13"/>
  </si>
  <si>
    <t>隣室記号</t>
    <rPh sb="0" eb="2">
      <t>リンシツ</t>
    </rPh>
    <rPh sb="2" eb="4">
      <t>キゴウ</t>
    </rPh>
    <phoneticPr fontId="13"/>
  </si>
  <si>
    <t>室名</t>
    <rPh sb="0" eb="2">
      <t>シツメイ</t>
    </rPh>
    <phoneticPr fontId="13"/>
  </si>
  <si>
    <t>温度条件</t>
    <rPh sb="0" eb="2">
      <t>オンド</t>
    </rPh>
    <rPh sb="2" eb="4">
      <t>ジョウケン</t>
    </rPh>
    <phoneticPr fontId="13"/>
  </si>
  <si>
    <t>夏季</t>
    <rPh sb="0" eb="2">
      <t>カキ</t>
    </rPh>
    <phoneticPr fontId="13"/>
  </si>
  <si>
    <t>冬季</t>
    <rPh sb="0" eb="2">
      <t>トウキ</t>
    </rPh>
    <phoneticPr fontId="13"/>
  </si>
  <si>
    <t>中間季</t>
    <rPh sb="0" eb="2">
      <t>チュウカン</t>
    </rPh>
    <rPh sb="2" eb="3">
      <t>キ</t>
    </rPh>
    <phoneticPr fontId="13"/>
  </si>
  <si>
    <t>廊下</t>
  </si>
  <si>
    <t>廊下等</t>
  </si>
  <si>
    <t>隣室温度差係数=0.3</t>
  </si>
  <si>
    <t>階段</t>
  </si>
  <si>
    <t>階段室等</t>
  </si>
  <si>
    <t>隣室温度差係数=0.4</t>
  </si>
  <si>
    <t>WC</t>
  </si>
  <si>
    <t>トイレ</t>
  </si>
  <si>
    <t>風除室</t>
  </si>
  <si>
    <t>風除室等</t>
  </si>
  <si>
    <t>隣室温度差係数=1</t>
  </si>
  <si>
    <t>物置</t>
  </si>
  <si>
    <t>物置・倉庫</t>
  </si>
  <si>
    <t>厨房</t>
  </si>
  <si>
    <t>厨房等</t>
  </si>
  <si>
    <t>外気温度+2[K]</t>
  </si>
  <si>
    <t>倉庫</t>
  </si>
  <si>
    <t>倉庫（サーモ付換気扇）</t>
  </si>
  <si>
    <t>室温=40[℃]</t>
  </si>
  <si>
    <t>外気温度+5[K]</t>
  </si>
  <si>
    <t>機械室</t>
  </si>
  <si>
    <t>機械Ｓ</t>
  </si>
  <si>
    <t>機械室（サーモ付換気扇）</t>
  </si>
  <si>
    <t>電気室</t>
  </si>
  <si>
    <t>電気室（サーモ付換気扇）</t>
  </si>
  <si>
    <t>ボイラ</t>
  </si>
  <si>
    <t>ボイラー室</t>
  </si>
  <si>
    <t>外気温度+10[K]</t>
  </si>
  <si>
    <t>コンプ</t>
  </si>
  <si>
    <t>コンプレッサー室（サーモ付換気扇）</t>
  </si>
  <si>
    <t>凍-20℃</t>
  </si>
  <si>
    <t>冷凍庫（-20[℃]）</t>
  </si>
  <si>
    <t>室温=-20[℃]</t>
  </si>
  <si>
    <t>冷5℃</t>
  </si>
  <si>
    <t>冷蔵庫（5[℃]）</t>
  </si>
  <si>
    <t>室温=5[℃]</t>
  </si>
  <si>
    <t>28℃</t>
  </si>
  <si>
    <t>事務室</t>
  </si>
  <si>
    <t>室温=28[℃]</t>
  </si>
  <si>
    <t>参照地点名</t>
    <rPh sb="2" eb="4">
      <t>チテン</t>
    </rPh>
    <phoneticPr fontId="10"/>
  </si>
  <si>
    <t>注記</t>
    <rPh sb="0" eb="2">
      <t>チュウキ</t>
    </rPh>
    <phoneticPr fontId="10"/>
  </si>
  <si>
    <t>日陰コード</t>
    <rPh sb="0" eb="2">
      <t>ヒカゲ</t>
    </rPh>
    <phoneticPr fontId="10"/>
  </si>
  <si>
    <t>各部寸法[mm]</t>
  </si>
  <si>
    <t>V</t>
  </si>
  <si>
    <t>B</t>
  </si>
  <si>
    <t>b</t>
  </si>
  <si>
    <t>H</t>
  </si>
  <si>
    <t>h</t>
  </si>
  <si>
    <t>h'</t>
  </si>
  <si>
    <t>断面図</t>
    <rPh sb="0" eb="3">
      <t>ダンメンズ</t>
    </rPh>
    <phoneticPr fontId="10"/>
  </si>
  <si>
    <t>平面図</t>
    <rPh sb="0" eb="3">
      <t>ヘイメンズ</t>
    </rPh>
    <phoneticPr fontId="10"/>
  </si>
  <si>
    <t>h-t基準</t>
    <phoneticPr fontId="13"/>
  </si>
  <si>
    <t>上向日陰</t>
    <rPh sb="0" eb="2">
      <t>ウエム</t>
    </rPh>
    <rPh sb="2" eb="4">
      <t>ヒカゲ</t>
    </rPh>
    <phoneticPr fontId="10"/>
  </si>
  <si>
    <t>水平面拡散日射熱取得IGSh</t>
    <rPh sb="0" eb="2">
      <t>スイヘイ</t>
    </rPh>
    <rPh sb="2" eb="3">
      <t>メン</t>
    </rPh>
    <rPh sb="3" eb="5">
      <t>カクサン</t>
    </rPh>
    <rPh sb="5" eb="7">
      <t>ニッシャ</t>
    </rPh>
    <rPh sb="7" eb="8">
      <t>ネツ</t>
    </rPh>
    <rPh sb="8" eb="10">
      <t>シュトク</t>
    </rPh>
    <phoneticPr fontId="10"/>
  </si>
  <si>
    <t>日陰</t>
    <phoneticPr fontId="10"/>
  </si>
  <si>
    <t>垂直面拡散日射熱取得IGS</t>
    <rPh sb="0" eb="2">
      <t>スイチョク</t>
    </rPh>
    <rPh sb="2" eb="3">
      <t>メン</t>
    </rPh>
    <rPh sb="3" eb="5">
      <t>カクサン</t>
    </rPh>
    <rPh sb="5" eb="7">
      <t>ニッシャ</t>
    </rPh>
    <rPh sb="7" eb="8">
      <t>ネツ</t>
    </rPh>
    <rPh sb="8" eb="10">
      <t>シュトク</t>
    </rPh>
    <phoneticPr fontId="10"/>
  </si>
  <si>
    <t>水平面全日射熱取得IG</t>
    <rPh sb="0" eb="3">
      <t>スイヘイメン</t>
    </rPh>
    <rPh sb="3" eb="4">
      <t>ゼン</t>
    </rPh>
    <rPh sb="4" eb="6">
      <t>ニッシャ</t>
    </rPh>
    <rPh sb="6" eb="7">
      <t>ネツ</t>
    </rPh>
    <rPh sb="7" eb="9">
      <t>シュトク</t>
    </rPh>
    <phoneticPr fontId="10"/>
  </si>
  <si>
    <t>直達日射熱取得IGD</t>
    <rPh sb="0" eb="2">
      <t>チョクタツ</t>
    </rPh>
    <rPh sb="2" eb="4">
      <t>ニッシャ</t>
    </rPh>
    <rPh sb="4" eb="5">
      <t>ネツ</t>
    </rPh>
    <rPh sb="5" eb="7">
      <t>シュトク</t>
    </rPh>
    <phoneticPr fontId="10"/>
  </si>
  <si>
    <t>日照面積率SG</t>
    <phoneticPr fontId="10"/>
  </si>
  <si>
    <t>全日射熱取得IG=IGD･SG+IGS</t>
    <rPh sb="0" eb="1">
      <t>ゼン</t>
    </rPh>
    <rPh sb="1" eb="3">
      <t>ニッシャ</t>
    </rPh>
    <rPh sb="3" eb="4">
      <t>ネツ</t>
    </rPh>
    <rPh sb="4" eb="6">
      <t>シュトク</t>
    </rPh>
    <phoneticPr fontId="10"/>
  </si>
  <si>
    <t>水平日陰</t>
    <rPh sb="0" eb="2">
      <t>スイヘイ</t>
    </rPh>
    <phoneticPr fontId="10"/>
  </si>
  <si>
    <t>外部遮蔽計算用寸法と各時刻における日照面積率及びガラス透過日射熱取得[W/㎡]（外部遮蔽無し）</t>
    <phoneticPr fontId="13"/>
  </si>
  <si>
    <t>外部遮蔽無し</t>
  </si>
  <si>
    <t>1.日射熱取得単位は[W/㎡]</t>
  </si>
  <si>
    <t>2.イタリック表示の部分は計算値です。</t>
  </si>
  <si>
    <t>3.直散分離には渡辺モデルを使用しています｡</t>
  </si>
  <si>
    <t>4.真近点離角を求める際の太陽位置は</t>
  </si>
  <si>
    <t xml:space="preserve">  山崎の方法(計算年=1990年)で計算しています。</t>
  </si>
  <si>
    <t>5.入射角特性はJIS A 2103(附属書G)で計算しています。</t>
  </si>
  <si>
    <t xml:space="preserve">  5.ガラス透過日射熱取得の値を示しています。</t>
  </si>
  <si>
    <t>熱貫流率計算表</t>
  </si>
  <si>
    <t xml:space="preserve">  構造体の熱貫流率を計算しています。</t>
  </si>
  <si>
    <t>熱貫流率の計算</t>
    <rPh sb="0" eb="1">
      <t>ネツ</t>
    </rPh>
    <rPh sb="1" eb="3">
      <t>カンリュウ</t>
    </rPh>
    <rPh sb="3" eb="4">
      <t>リツ</t>
    </rPh>
    <rPh sb="5" eb="7">
      <t>ケイサン</t>
    </rPh>
    <phoneticPr fontId="10"/>
  </si>
  <si>
    <t>略　　図</t>
    <rPh sb="0" eb="1">
      <t>リャク</t>
    </rPh>
    <rPh sb="3" eb="4">
      <t>ズ</t>
    </rPh>
    <phoneticPr fontId="10"/>
  </si>
  <si>
    <t>番号</t>
    <phoneticPr fontId="10"/>
  </si>
  <si>
    <t>材　料　名</t>
    <rPh sb="0" eb="1">
      <t>ザイ</t>
    </rPh>
    <rPh sb="2" eb="3">
      <t>リョウ</t>
    </rPh>
    <rPh sb="4" eb="5">
      <t>メイ</t>
    </rPh>
    <phoneticPr fontId="10"/>
  </si>
  <si>
    <t>厚さ
t
[m]</t>
    <phoneticPr fontId="10"/>
  </si>
  <si>
    <t>熱伝導率
λ
[W/(m･K)]</t>
    <phoneticPr fontId="10"/>
  </si>
  <si>
    <t>t/λ
[㎡･K/W]</t>
    <phoneticPr fontId="10"/>
  </si>
  <si>
    <t>厚さ
t
[m]</t>
  </si>
  <si>
    <t>熱伝導率
λ
[W/(m･K)]</t>
  </si>
  <si>
    <t>t/λ
[㎡･K/W]</t>
  </si>
  <si>
    <t>１行目</t>
  </si>
  <si>
    <t>外壁</t>
  </si>
  <si>
    <t>OW1</t>
  </si>
  <si>
    <t>壁タイプ=Ⅲ</t>
  </si>
  <si>
    <t>日射吸収率=0.7</t>
  </si>
  <si>
    <t>外壁外表面熱伝達率</t>
  </si>
  <si>
    <t>-</t>
  </si>
  <si>
    <t>(23[W/(㎡・K])</t>
  </si>
  <si>
    <t>気泡コンクリート（ALC）</t>
  </si>
  <si>
    <t>吹付け硬質ウレタンフォームＡ種3</t>
  </si>
  <si>
    <t>非密閉空気層</t>
  </si>
  <si>
    <t>鋼</t>
  </si>
  <si>
    <t>硬質ウレタンフォーム　保温板　2種1号</t>
  </si>
  <si>
    <t>室内表面熱伝達率</t>
  </si>
  <si>
    <t>(9[W/(㎡・K])</t>
  </si>
  <si>
    <t>熱抵抗(ｔ／λ合計)</t>
  </si>
  <si>
    <t>熱貫流率　U = 1/2.659≒0.38[W/(㎡･K)]</t>
  </si>
  <si>
    <t>OW2</t>
  </si>
  <si>
    <t>壁タイプ=Ⅱ</t>
  </si>
  <si>
    <t>せっこうボード</t>
  </si>
  <si>
    <t>熱貫流率　U = 1/0.977≒1.02[W/(㎡･K)]</t>
  </si>
  <si>
    <t>外壁ｶﾞﾗｽ</t>
  </si>
  <si>
    <t>OG1</t>
  </si>
  <si>
    <t>熱反シルバー+透明 6mm (空気層12mm)</t>
  </si>
  <si>
    <t>(明色ブラインド付)</t>
  </si>
  <si>
    <t>ガラス面積比率=0.85</t>
  </si>
  <si>
    <t>遮蔽係数 = 0.46→0.7</t>
  </si>
  <si>
    <t>熱貫流率 U = 2.4|2.8[W/(㎡･K)]</t>
  </si>
  <si>
    <t>屋根</t>
  </si>
  <si>
    <t>OR1</t>
  </si>
  <si>
    <t>壁タイプ=Ⅳ</t>
  </si>
  <si>
    <t>軽量コンクリート（軽量2種）</t>
  </si>
  <si>
    <t>アスファルト類</t>
  </si>
  <si>
    <t>押出法ポリスチレンフォーム　保温板　2種</t>
  </si>
  <si>
    <t>コンクリート</t>
  </si>
  <si>
    <t>熱貫流率　U = 1/2.143≒0.47[W/(㎡･K)]</t>
  </si>
  <si>
    <t>内壁</t>
  </si>
  <si>
    <t>IW1</t>
  </si>
  <si>
    <t>熱貫流率　U = 1/1.961≒0.51[W/(㎡･K)]</t>
  </si>
  <si>
    <t>IW2</t>
  </si>
  <si>
    <t>熱貫流率　U = 1/0.426≒2.35[W/(㎡･K)]</t>
  </si>
  <si>
    <t>天井･床</t>
  </si>
  <si>
    <t>C1</t>
  </si>
  <si>
    <t xml:space="preserve">ビニル系床材  </t>
  </si>
  <si>
    <t>セメント・モルタル</t>
  </si>
  <si>
    <t>熱貫流率　U = 1/2.162≒0.46[W/(㎡･K)]</t>
  </si>
  <si>
    <t>C2</t>
  </si>
  <si>
    <t>ケイ酸カルシウム板　0.8mm</t>
  </si>
  <si>
    <t>熱貫流率　U = 1/0.499≒2.00[W/(㎡･K)]</t>
  </si>
  <si>
    <t>各室熱負荷計算書</t>
  </si>
  <si>
    <t xml:space="preserve">  各室の構造体負荷、内部負荷および外気負荷を計算しています。</t>
  </si>
  <si>
    <t>空調使用時間：</t>
    <rPh sb="0" eb="2">
      <t>クウチョウ</t>
    </rPh>
    <rPh sb="2" eb="4">
      <t>シヨウ</t>
    </rPh>
    <rPh sb="4" eb="6">
      <t>ジカン</t>
    </rPh>
    <phoneticPr fontId="6"/>
  </si>
  <si>
    <t>負荷計算用紙J24h</t>
    <rPh sb="0" eb="2">
      <t>フカ</t>
    </rPh>
    <rPh sb="2" eb="4">
      <t>ケイサン</t>
    </rPh>
    <rPh sb="4" eb="6">
      <t>ヨウシ</t>
    </rPh>
    <phoneticPr fontId="6"/>
  </si>
  <si>
    <t>面積</t>
  </si>
  <si>
    <t>外壁面積法による分</t>
  </si>
  <si>
    <t>隙間風合計：</t>
  </si>
  <si>
    <t>明記なき単位は以下のとおり
 日射量ig：[W/㎡]、熱貫流率U：[W/(㎡・K)]、温度差⊿t：[K]</t>
    <rPh sb="0" eb="2">
      <t>メイキ</t>
    </rPh>
    <rPh sb="4" eb="6">
      <t>タンイ</t>
    </rPh>
    <rPh sb="7" eb="9">
      <t>イカ</t>
    </rPh>
    <phoneticPr fontId="6"/>
  </si>
  <si>
    <t>h-t基準　冷房負荷[W]</t>
    <rPh sb="3" eb="5">
      <t>キジュン</t>
    </rPh>
    <phoneticPr fontId="6"/>
  </si>
  <si>
    <t>Jc-t基準　冷房負荷[W]</t>
    <rPh sb="4" eb="6">
      <t>キジュン</t>
    </rPh>
    <phoneticPr fontId="6"/>
  </si>
  <si>
    <t>Js-t基準　冷房負荷[W]</t>
    <rPh sb="4" eb="6">
      <t>キジュン</t>
    </rPh>
    <phoneticPr fontId="6"/>
  </si>
  <si>
    <t>暖房負荷[W]</t>
    <rPh sb="0" eb="2">
      <t>ダンボウ</t>
    </rPh>
    <phoneticPr fontId="6"/>
  </si>
  <si>
    <t>最大負荷[W]</t>
    <rPh sb="0" eb="2">
      <t>サイダイ</t>
    </rPh>
    <rPh sb="2" eb="4">
      <t>フカ</t>
    </rPh>
    <phoneticPr fontId="6"/>
  </si>
  <si>
    <t>t-x基準</t>
    <rPh sb="3" eb="5">
      <t>キジュン</t>
    </rPh>
    <phoneticPr fontId="6"/>
  </si>
  <si>
    <t>t-Jh基準</t>
    <rPh sb="4" eb="6">
      <t>キジュン</t>
    </rPh>
    <phoneticPr fontId="6"/>
  </si>
  <si>
    <t>ガラス透過負荷</t>
    <rPh sb="3" eb="5">
      <t>トウカ</t>
    </rPh>
    <rPh sb="5" eb="7">
      <t>フカ</t>
    </rPh>
    <phoneticPr fontId="6"/>
  </si>
  <si>
    <t>壁体記号</t>
  </si>
  <si>
    <t>方位</t>
  </si>
  <si>
    <t>面積S[m2]</t>
    <phoneticPr fontId="6"/>
  </si>
  <si>
    <t>遮蔽係数SC</t>
    <phoneticPr fontId="13"/>
  </si>
  <si>
    <t>日陰コード</t>
    <rPh sb="0" eb="2">
      <t>ヒカゲ</t>
    </rPh>
    <phoneticPr fontId="6"/>
  </si>
  <si>
    <t>ig</t>
    <phoneticPr fontId="6"/>
  </si>
  <si>
    <t>S・S.C.・ig</t>
    <phoneticPr fontId="13"/>
  </si>
  <si>
    <t>ig</t>
  </si>
  <si>
    <t>S・S.C.・ig</t>
  </si>
  <si>
    <t>時刻</t>
    <rPh sb="0" eb="2">
      <t>ジコク</t>
    </rPh>
    <phoneticPr fontId="6"/>
  </si>
  <si>
    <t>-</t>
    <phoneticPr fontId="6"/>
  </si>
  <si>
    <t>h-t基準
設計最大負荷
↓
↓
↓</t>
    <rPh sb="3" eb="5">
      <t>キジュン</t>
    </rPh>
    <rPh sb="6" eb="8">
      <t>セッケイ</t>
    </rPh>
    <rPh sb="8" eb="10">
      <t>サイダイ</t>
    </rPh>
    <phoneticPr fontId="6"/>
  </si>
  <si>
    <t>Jc-t基準
設計最大負荷
↓
↓
↓</t>
    <rPh sb="4" eb="6">
      <t>キジュン</t>
    </rPh>
    <rPh sb="9" eb="11">
      <t>サイダイ</t>
    </rPh>
    <phoneticPr fontId="6"/>
  </si>
  <si>
    <t>Js-t基準
設計最大負荷
↓
↓
↓</t>
    <rPh sb="4" eb="6">
      <t>キジュン</t>
    </rPh>
    <rPh sb="9" eb="11">
      <t>サイダイ</t>
    </rPh>
    <phoneticPr fontId="6"/>
  </si>
  <si>
    <t>①顕熱負荷1 [W]</t>
    <phoneticPr fontId="6"/>
  </si>
  <si>
    <t>壁体貫流負荷</t>
    <rPh sb="0" eb="1">
      <t>ヘキ</t>
    </rPh>
    <rPh sb="1" eb="2">
      <t>タイ</t>
    </rPh>
    <rPh sb="2" eb="4">
      <t>カンリュウ</t>
    </rPh>
    <rPh sb="4" eb="6">
      <t>フカ</t>
    </rPh>
    <phoneticPr fontId="6"/>
  </si>
  <si>
    <t>面積S[m2]</t>
    <phoneticPr fontId="6"/>
  </si>
  <si>
    <t>熱貫流率U</t>
  </si>
  <si>
    <t>隣室記号</t>
    <rPh sb="0" eb="2">
      <t>リンシツ</t>
    </rPh>
    <rPh sb="2" eb="4">
      <t>キゴウ</t>
    </rPh>
    <phoneticPr fontId="6"/>
  </si>
  <si>
    <t>⊿t</t>
    <phoneticPr fontId="6"/>
  </si>
  <si>
    <t>S・U・⊿t</t>
    <phoneticPr fontId="6"/>
  </si>
  <si>
    <t>⊿t</t>
  </si>
  <si>
    <t>S・U・⊿t</t>
    <phoneticPr fontId="6"/>
  </si>
  <si>
    <t>S・U・⊿t</t>
  </si>
  <si>
    <t>②顕熱負荷2 [W]</t>
    <phoneticPr fontId="6"/>
  </si>
  <si>
    <t>②顕熱負荷2 [W]</t>
    <phoneticPr fontId="6"/>
  </si>
  <si>
    <t>取得熱量</t>
  </si>
  <si>
    <t>損失熱量</t>
    <rPh sb="0" eb="2">
      <t>ソンシツ</t>
    </rPh>
    <phoneticPr fontId="6"/>
  </si>
  <si>
    <t>顕熱負荷</t>
  </si>
  <si>
    <t>④顕熱負荷4[W]</t>
    <phoneticPr fontId="6"/>
  </si>
  <si>
    <t>[W/㎡]</t>
    <phoneticPr fontId="6"/>
  </si>
  <si>
    <t>L・U・⊿t</t>
    <phoneticPr fontId="6"/>
  </si>
  <si>
    <t>⊿t</t>
    <phoneticPr fontId="6"/>
  </si>
  <si>
    <t>熱損失係数 Kt</t>
    <phoneticPr fontId="6"/>
  </si>
  <si>
    <t>⑤顕熱負荷5 [W]</t>
    <phoneticPr fontId="6"/>
  </si>
  <si>
    <t>⑥顕熱負荷6 [W]</t>
    <phoneticPr fontId="6"/>
  </si>
  <si>
    <t>h-t基準
設計顕熱負荷
↓
↓</t>
    <rPh sb="8" eb="10">
      <t>ケンネツ</t>
    </rPh>
    <phoneticPr fontId="13"/>
  </si>
  <si>
    <t>Jc-t基準
設計顕熱負荷
↓
↓</t>
    <rPh sb="9" eb="11">
      <t>ケンネツ</t>
    </rPh>
    <phoneticPr fontId="13"/>
  </si>
  <si>
    <t>Js-t基準
設計顕熱負荷
↓
↓</t>
    <rPh sb="9" eb="11">
      <t>ケンネツ</t>
    </rPh>
    <phoneticPr fontId="13"/>
  </si>
  <si>
    <t>冷房設計
最大顕熱負荷
↓
↓</t>
    <rPh sb="7" eb="9">
      <t>ケンネツ</t>
    </rPh>
    <phoneticPr fontId="13"/>
  </si>
  <si>
    <t>暖房設計
最大顕熱負荷
↓
↓</t>
    <rPh sb="7" eb="9">
      <t>ケンネツ</t>
    </rPh>
    <phoneticPr fontId="13"/>
  </si>
  <si>
    <t>[℃]</t>
    <phoneticPr fontId="6"/>
  </si>
  <si>
    <t>⑧余裕係数×送風機負荷係数</t>
    <phoneticPr fontId="6"/>
  </si>
  <si>
    <t>⑧余裕係数</t>
    <phoneticPr fontId="6"/>
  </si>
  <si>
    <t xml:space="preserve"> (A)顕熱負荷 ⑦×⑧ [W]</t>
    <phoneticPr fontId="6"/>
  </si>
  <si>
    <t>h-t基準
設計潜熱負荷
↓
↓</t>
  </si>
  <si>
    <t>Jc-t基準
設計潜熱負荷
↓
↓</t>
  </si>
  <si>
    <t>Js-t基準
設計潜熱負荷
↓
↓</t>
  </si>
  <si>
    <t>冷房設計
最大潜熱負荷
↓
↓</t>
  </si>
  <si>
    <t>暖房設計
最大潜熱負荷
↓
↓</t>
  </si>
  <si>
    <t>Cj0</t>
    <phoneticPr fontId="6"/>
  </si>
  <si>
    <t>(B)潜熱負荷合計 [W]</t>
    <phoneticPr fontId="6"/>
  </si>
  <si>
    <t>(C)室内全熱負荷　(A)+(B) [W]</t>
    <phoneticPr fontId="6"/>
  </si>
  <si>
    <t>単位負荷（室内全熱負荷(C)／室面積） [W/m2]</t>
    <phoneticPr fontId="6"/>
  </si>
  <si>
    <t xml:space="preserve">
外気負荷、過冷却負荷及び全負荷</t>
    <rPh sb="1" eb="5">
      <t>ガイキフカ</t>
    </rPh>
    <rPh sb="6" eb="9">
      <t>カレイキャク</t>
    </rPh>
    <rPh sb="9" eb="11">
      <t>フカ</t>
    </rPh>
    <rPh sb="11" eb="12">
      <t>オヨ</t>
    </rPh>
    <rPh sb="13" eb="14">
      <t>ゼン</t>
    </rPh>
    <rPh sb="14" eb="16">
      <t>フカ</t>
    </rPh>
    <phoneticPr fontId="6"/>
  </si>
  <si>
    <t xml:space="preserve">
外気負荷及び全負荷</t>
    <rPh sb="1" eb="5">
      <t>ガイキフカ</t>
    </rPh>
    <rPh sb="5" eb="6">
      <t>オヨ</t>
    </rPh>
    <rPh sb="7" eb="8">
      <t>ゼン</t>
    </rPh>
    <rPh sb="8" eb="10">
      <t>フカ</t>
    </rPh>
    <phoneticPr fontId="6"/>
  </si>
  <si>
    <t>t-x基準</t>
    <phoneticPr fontId="6"/>
  </si>
  <si>
    <t>h-t基準</t>
    <rPh sb="3" eb="5">
      <t>キジュン</t>
    </rPh>
    <phoneticPr fontId="6"/>
  </si>
  <si>
    <t>Jc-t基準</t>
    <rPh sb="4" eb="6">
      <t>キジュン</t>
    </rPh>
    <phoneticPr fontId="6"/>
  </si>
  <si>
    <t>Js-t基準</t>
    <rPh sb="4" eb="6">
      <t>キジュン</t>
    </rPh>
    <phoneticPr fontId="6"/>
  </si>
  <si>
    <t>冷房最大</t>
    <rPh sb="0" eb="2">
      <t>レイボウ</t>
    </rPh>
    <rPh sb="2" eb="4">
      <t>サイダイ</t>
    </rPh>
    <phoneticPr fontId="6"/>
  </si>
  <si>
    <t>暖房最大</t>
    <rPh sb="0" eb="2">
      <t>ダンボウ</t>
    </rPh>
    <rPh sb="2" eb="4">
      <t>サイダイ</t>
    </rPh>
    <phoneticPr fontId="6"/>
  </si>
  <si>
    <t>⊿h</t>
  </si>
  <si>
    <t>　　その他の負荷</t>
    <rPh sb="4" eb="5">
      <t>タ</t>
    </rPh>
    <rPh sb="6" eb="8">
      <t>フカ</t>
    </rPh>
    <phoneticPr fontId="6"/>
  </si>
  <si>
    <t>その他の負荷</t>
    <rPh sb="2" eb="3">
      <t>タ</t>
    </rPh>
    <rPh sb="4" eb="6">
      <t>フカ</t>
    </rPh>
    <phoneticPr fontId="6"/>
  </si>
  <si>
    <t>t-x基準</t>
    <phoneticPr fontId="6"/>
  </si>
  <si>
    <t>負荷量</t>
  </si>
  <si>
    <t>⊿x</t>
  </si>
  <si>
    <t>　　備考</t>
    <rPh sb="2" eb="4">
      <t>ビコウ</t>
    </rPh>
    <phoneticPr fontId="6"/>
  </si>
  <si>
    <t>クリーンルームA</t>
  </si>
  <si>
    <t>AC-1</t>
  </si>
  <si>
    <t>(C)室内全熱負荷以降の外気負荷等は、熱源容量計算用の基準別、時刻別の値です。外気負荷を含めた空調機の容量の計算等は別紙「AC-1系統 空調機容量の計算」をご参照ください。</t>
  </si>
  <si>
    <t>24時間</t>
  </si>
  <si>
    <t>24時間</t>
    <phoneticPr fontId="6"/>
  </si>
  <si>
    <t>Jc-t</t>
  </si>
  <si>
    <t>冷房設計
最大負荷
(顕熱負荷
により決定、
Jc-t基準
採用)
↓
↓
↓</t>
    <phoneticPr fontId="6"/>
  </si>
  <si>
    <t>t-x</t>
  </si>
  <si>
    <t>暖房設計
最大負荷
(顕熱負荷
により決定、
t-x基準
採用)
↓
↓
↓</t>
    <phoneticPr fontId="6"/>
  </si>
  <si>
    <t>室NO</t>
  </si>
  <si>
    <t>室NO</t>
    <phoneticPr fontId="6"/>
  </si>
  <si>
    <t>室名</t>
  </si>
  <si>
    <t>室名</t>
    <phoneticPr fontId="6"/>
  </si>
  <si>
    <t>クリーンルームA</t>
    <phoneticPr fontId="4"/>
  </si>
  <si>
    <t>設計外気風量[m3/h]</t>
    <phoneticPr fontId="6"/>
  </si>
  <si>
    <t>夜間外気風量[m3/h]</t>
    <phoneticPr fontId="6"/>
  </si>
  <si>
    <t>系統記号</t>
    <phoneticPr fontId="6"/>
  </si>
  <si>
    <t>室NO</t>
    <phoneticPr fontId="6"/>
  </si>
  <si>
    <t>設計外気風量[m3/h]</t>
    <phoneticPr fontId="6"/>
  </si>
  <si>
    <t>夜間外気風量[m3/h]</t>
    <phoneticPr fontId="6"/>
  </si>
  <si>
    <t>系統記号</t>
    <phoneticPr fontId="6"/>
  </si>
  <si>
    <t>室NO</t>
    <phoneticPr fontId="6"/>
  </si>
  <si>
    <t>夜間外気風量[m3/h]</t>
    <phoneticPr fontId="6"/>
  </si>
  <si>
    <t>乾球温度</t>
    <phoneticPr fontId="4"/>
  </si>
  <si>
    <t>相対湿度</t>
    <phoneticPr fontId="23"/>
  </si>
  <si>
    <t>比エンタルピ</t>
    <phoneticPr fontId="23"/>
  </si>
  <si>
    <t>絶対湿度</t>
    <phoneticPr fontId="6"/>
  </si>
  <si>
    <t>AC-1</t>
    <phoneticPr fontId="4"/>
  </si>
  <si>
    <t>乾球温度</t>
    <phoneticPr fontId="4"/>
  </si>
  <si>
    <t>比エンタルピ</t>
    <phoneticPr fontId="23"/>
  </si>
  <si>
    <t>絶対湿度</t>
    <phoneticPr fontId="6"/>
  </si>
  <si>
    <t>階</t>
  </si>
  <si>
    <t>階</t>
    <phoneticPr fontId="6"/>
  </si>
  <si>
    <t>面積</t>
    <phoneticPr fontId="4"/>
  </si>
  <si>
    <t>天井高</t>
    <phoneticPr fontId="6"/>
  </si>
  <si>
    <t>容積</t>
    <phoneticPr fontId="6"/>
  </si>
  <si>
    <t>階</t>
    <phoneticPr fontId="6"/>
  </si>
  <si>
    <t>天井高</t>
    <phoneticPr fontId="6"/>
  </si>
  <si>
    <t>隙間風→→</t>
    <phoneticPr fontId="6"/>
  </si>
  <si>
    <t>サッシより： -</t>
  </si>
  <si>
    <t>ドアより： -</t>
  </si>
  <si>
    <t>外壁面積法による分</t>
    <phoneticPr fontId="6"/>
  </si>
  <si>
    <t>隙間風合計：</t>
    <phoneticPr fontId="6"/>
  </si>
  <si>
    <t>h-t基準</t>
  </si>
  <si>
    <t>h-t基準</t>
    <phoneticPr fontId="13"/>
  </si>
  <si>
    <t>隙間風→→</t>
    <phoneticPr fontId="6"/>
  </si>
  <si>
    <t>Jc-t基準</t>
  </si>
  <si>
    <t>Js-t基準</t>
  </si>
  <si>
    <t>隙間風→→</t>
    <phoneticPr fontId="13"/>
  </si>
  <si>
    <t>外壁面積法による分</t>
    <phoneticPr fontId="4"/>
  </si>
  <si>
    <t>隙間風合計：</t>
    <phoneticPr fontId="4"/>
  </si>
  <si>
    <t>内部負荷</t>
    <phoneticPr fontId="6"/>
  </si>
  <si>
    <t>r</t>
    <phoneticPr fontId="6"/>
  </si>
  <si>
    <t>取得熱量</t>
    <phoneticPr fontId="4"/>
  </si>
  <si>
    <t>r</t>
    <phoneticPr fontId="6"/>
  </si>
  <si>
    <t>r</t>
    <phoneticPr fontId="6"/>
  </si>
  <si>
    <t>取得熱量</t>
    <phoneticPr fontId="4"/>
  </si>
  <si>
    <t>内部負荷</t>
    <phoneticPr fontId="6"/>
  </si>
  <si>
    <t>時刻</t>
    <phoneticPr fontId="6"/>
  </si>
  <si>
    <t>損失熱量</t>
    <phoneticPr fontId="6"/>
  </si>
  <si>
    <t>人間</t>
    <phoneticPr fontId="6"/>
  </si>
  <si>
    <t>×稼働率r</t>
  </si>
  <si>
    <t>人間</t>
    <phoneticPr fontId="6"/>
  </si>
  <si>
    <t>照明</t>
    <phoneticPr fontId="6"/>
  </si>
  <si>
    <t>照明</t>
    <phoneticPr fontId="6"/>
  </si>
  <si>
    <t>OA機器</t>
    <phoneticPr fontId="4"/>
  </si>
  <si>
    <t>大形事務器、生産装置</t>
    <phoneticPr fontId="6"/>
  </si>
  <si>
    <t>大形事務器、生産装置</t>
    <phoneticPr fontId="6"/>
  </si>
  <si>
    <t>その他の顕熱負荷</t>
    <phoneticPr fontId="6"/>
  </si>
  <si>
    <t>その他の顕熱負荷</t>
    <phoneticPr fontId="6"/>
  </si>
  <si>
    <t>③顕熱負荷3 [W]</t>
    <phoneticPr fontId="6"/>
  </si>
  <si>
    <t>隙間風</t>
    <phoneticPr fontId="6"/>
  </si>
  <si>
    <t>⊿t</t>
    <phoneticPr fontId="4"/>
  </si>
  <si>
    <t>⊿t</t>
    <phoneticPr fontId="4"/>
  </si>
  <si>
    <t>隙間風</t>
    <phoneticPr fontId="6"/>
  </si>
  <si>
    <t>時刻</t>
    <phoneticPr fontId="6"/>
  </si>
  <si>
    <t>損失熱量</t>
    <phoneticPr fontId="6"/>
  </si>
  <si>
    <t>顕熱負荷</t>
    <phoneticPr fontId="4"/>
  </si>
  <si>
    <t>④顕熱負荷4[W]</t>
    <phoneticPr fontId="6"/>
  </si>
  <si>
    <t>地中構造体</t>
    <phoneticPr fontId="6"/>
  </si>
  <si>
    <t>外気に接する長さL[m]</t>
    <phoneticPr fontId="13"/>
  </si>
  <si>
    <t>周長基準熱貫流率U</t>
    <phoneticPr fontId="13"/>
  </si>
  <si>
    <t>L・U・⊿t</t>
    <phoneticPr fontId="6"/>
  </si>
  <si>
    <t>L・U・⊿t</t>
    <phoneticPr fontId="4"/>
  </si>
  <si>
    <t>L・U・⊿t</t>
    <phoneticPr fontId="4"/>
  </si>
  <si>
    <t>外気に接する長さL[m]</t>
    <phoneticPr fontId="13"/>
  </si>
  <si>
    <t>周長基準熱貫流率U</t>
    <phoneticPr fontId="13"/>
  </si>
  <si>
    <t>地中構造体</t>
    <phoneticPr fontId="6"/>
  </si>
  <si>
    <t>⊿t</t>
    <phoneticPr fontId="6"/>
  </si>
  <si>
    <t>土間床</t>
  </si>
  <si>
    <t>土間床</t>
    <phoneticPr fontId="13"/>
  </si>
  <si>
    <t>地中壁</t>
  </si>
  <si>
    <t>地中壁</t>
    <phoneticPr fontId="13"/>
  </si>
  <si>
    <t>⑤顕熱負荷5 [W]</t>
    <phoneticPr fontId="6"/>
  </si>
  <si>
    <t>蓄熱負荷</t>
    <phoneticPr fontId="6"/>
  </si>
  <si>
    <t>蓄熱負荷</t>
    <phoneticPr fontId="6"/>
  </si>
  <si>
    <t>地上（HASPEEの方法による分）</t>
    <phoneticPr fontId="13"/>
  </si>
  <si>
    <t>地上（HASPEEの方法による分）</t>
    <phoneticPr fontId="13"/>
  </si>
  <si>
    <t>地中（井上の方法による分）</t>
    <phoneticPr fontId="13"/>
  </si>
  <si>
    <t>地中（井上の方法による分）</t>
    <phoneticPr fontId="13"/>
  </si>
  <si>
    <t>⑦顕熱負荷小計　①+②+③+④+⑤+⑥ [W]</t>
    <phoneticPr fontId="6"/>
  </si>
  <si>
    <t>⑦顕熱負荷小計　①+②+③+④+⑤+⑥ [W]</t>
    <phoneticPr fontId="6"/>
  </si>
  <si>
    <t>⑧余裕係数×送風機負荷係数</t>
    <phoneticPr fontId="6"/>
  </si>
  <si>
    <t>1.00×1.05</t>
  </si>
  <si>
    <t>⑧余裕係数</t>
    <phoneticPr fontId="6"/>
  </si>
  <si>
    <t xml:space="preserve"> (A)顕熱負荷 ⑦×⑧ [W]</t>
    <phoneticPr fontId="6"/>
  </si>
  <si>
    <t>潜熱負荷</t>
    <phoneticPr fontId="6"/>
  </si>
  <si>
    <t>絶対湿度差⊿xの単位：[g/kg]</t>
    <phoneticPr fontId="35"/>
  </si>
  <si>
    <t>r,⊿x</t>
    <phoneticPr fontId="4"/>
  </si>
  <si>
    <t>r,⊿x</t>
    <phoneticPr fontId="4"/>
  </si>
  <si>
    <t>絶対湿度差⊿xの単位：[g/kg]</t>
    <phoneticPr fontId="35"/>
  </si>
  <si>
    <t>潜熱負荷</t>
    <phoneticPr fontId="6"/>
  </si>
  <si>
    <t>その他の潜熱負荷</t>
    <phoneticPr fontId="6"/>
  </si>
  <si>
    <t>その他の潜熱負荷</t>
    <phoneticPr fontId="6"/>
  </si>
  <si>
    <t>(B)潜熱負荷合計 [W]</t>
    <phoneticPr fontId="6"/>
  </si>
  <si>
    <t>(C)室内全熱負荷　(A)+(B) [W]</t>
    <phoneticPr fontId="6"/>
  </si>
  <si>
    <t>空調使用時間：</t>
    <phoneticPr fontId="6"/>
  </si>
  <si>
    <t>冷暖</t>
    <phoneticPr fontId="4"/>
  </si>
  <si>
    <t>冷房設計用蓄熱負荷の計算</t>
    <phoneticPr fontId="6"/>
  </si>
  <si>
    <t>暖房設計用蓄熱負荷の計算</t>
    <phoneticPr fontId="6"/>
  </si>
  <si>
    <t>本室の冷房蓄熱負荷の扱い</t>
    <phoneticPr fontId="6"/>
  </si>
  <si>
    <t>休日分のみ考慮</t>
    <phoneticPr fontId="6"/>
  </si>
  <si>
    <t>本室の暖房蓄熱負荷の扱い</t>
    <phoneticPr fontId="6"/>
  </si>
  <si>
    <t>休日分のみ考慮</t>
    <phoneticPr fontId="6"/>
  </si>
  <si>
    <t>予冷時間</t>
    <phoneticPr fontId="6"/>
  </si>
  <si>
    <t>予熱時間</t>
    <phoneticPr fontId="6"/>
  </si>
  <si>
    <t>予冷終了後の負荷変動に対する公比 r</t>
    <phoneticPr fontId="6"/>
  </si>
  <si>
    <t>予熱時間補正係数 Cp</t>
    <phoneticPr fontId="6"/>
  </si>
  <si>
    <t xml:space="preserve"> 表1　窓方位係数 Csr と予冷時間補正係数 Cp 窓面積比 Ag/Afの計算</t>
    <phoneticPr fontId="6"/>
  </si>
  <si>
    <t xml:space="preserve"> 表2　窓方位係数 Csr の計算</t>
    <phoneticPr fontId="6"/>
  </si>
  <si>
    <t>方位</t>
    <phoneticPr fontId="6"/>
  </si>
  <si>
    <t>窓面積Ag</t>
    <phoneticPr fontId="6"/>
  </si>
  <si>
    <t>Csr</t>
    <phoneticPr fontId="6"/>
  </si>
  <si>
    <t>Cp</t>
    <phoneticPr fontId="6"/>
  </si>
  <si>
    <t>Ag×Csr</t>
    <phoneticPr fontId="6"/>
  </si>
  <si>
    <t>Ag×Cp</t>
    <phoneticPr fontId="6"/>
  </si>
  <si>
    <t>方位</t>
    <phoneticPr fontId="6"/>
  </si>
  <si>
    <t>窓面積Ag×SG</t>
    <phoneticPr fontId="6"/>
  </si>
  <si>
    <t>Ag×SG×Csr</t>
    <phoneticPr fontId="6"/>
  </si>
  <si>
    <t>合計</t>
    <phoneticPr fontId="6"/>
  </si>
  <si>
    <t>合計</t>
    <phoneticPr fontId="6"/>
  </si>
  <si>
    <t>加重平均</t>
    <phoneticPr fontId="6"/>
  </si>
  <si>
    <t>床面積Af=</t>
    <phoneticPr fontId="6"/>
  </si>
  <si>
    <t>[㎡]</t>
    <phoneticPr fontId="6"/>
  </si>
  <si>
    <t>注：SGは対象の窓ガラスの1月30日9時における日照面積率</t>
    <phoneticPr fontId="6"/>
  </si>
  <si>
    <t>窓面積比=Ag/Af=</t>
    <phoneticPr fontId="6"/>
  </si>
  <si>
    <t>t-x基準12時の水平面全天日射量</t>
    <phoneticPr fontId="6"/>
  </si>
  <si>
    <t>[W/㎡]</t>
    <phoneticPr fontId="6"/>
  </si>
  <si>
    <t>上記による軽減係数</t>
    <phoneticPr fontId="6"/>
  </si>
  <si>
    <t>地域と設計室温の補正係数　Ct　の計算</t>
    <phoneticPr fontId="34"/>
  </si>
  <si>
    <t>Csrの決定値</t>
    <phoneticPr fontId="6"/>
  </si>
  <si>
    <t>Jc-t基準気象データの6時の外気温度 to6Jct</t>
    <phoneticPr fontId="6"/>
  </si>
  <si>
    <t>[℃]</t>
    <phoneticPr fontId="6"/>
  </si>
  <si>
    <t>冷房室内設計温度 tr</t>
    <phoneticPr fontId="6"/>
  </si>
  <si>
    <t>表3　熱損失係数 Kt および</t>
    <phoneticPr fontId="6"/>
  </si>
  <si>
    <t xml:space="preserve">⊿t=to6Jct-tr= 23.1 [℃]- 24.0 [℃]= </t>
  </si>
  <si>
    <t>基準負荷(連日運転) qbase0、基準負荷(休日成分) qbase1 の計算</t>
    <phoneticPr fontId="6"/>
  </si>
  <si>
    <t xml:space="preserve">Ct=0.22×(⊿t-1.3) = 0.22×(-0.9 -1.3)= </t>
  </si>
  <si>
    <t>1Kあたりの熱損失[W/K]</t>
    <phoneticPr fontId="6"/>
  </si>
  <si>
    <t>床面積Af
[㎡]</t>
    <phoneticPr fontId="6"/>
  </si>
  <si>
    <t>Ct決定値　</t>
  </si>
  <si>
    <t>窓
ΣU・A</t>
    <phoneticPr fontId="6"/>
  </si>
  <si>
    <t>外壁・屋根
ΣU・A</t>
    <phoneticPr fontId="6"/>
  </si>
  <si>
    <t>内壁・天井
・床
ΣU・Aj</t>
    <phoneticPr fontId="6"/>
  </si>
  <si>
    <t>隙間風
cρV</t>
    <phoneticPr fontId="6"/>
  </si>
  <si>
    <t>連日運転の実用蓄熱負荷 qst0　の計算</t>
    <phoneticPr fontId="6"/>
  </si>
  <si>
    <t>連日運転分は考慮しません</t>
  </si>
  <si>
    <t>実用蓄熱負荷の休日成分 qst1 の計算</t>
    <phoneticPr fontId="6"/>
  </si>
  <si>
    <t xml:space="preserve">qst1=47(1+0.6Ct)Ag/Af+10=47×(1+0.6×(-0.48))×0.00 +10 = </t>
  </si>
  <si>
    <t>冷房設計用実用蓄熱負荷の各値の計算</t>
    <phoneticPr fontId="6"/>
  </si>
  <si>
    <t>連日運転分
[W/㎡]</t>
    <phoneticPr fontId="6"/>
  </si>
  <si>
    <t>休日成分
[W/㎡]</t>
    <phoneticPr fontId="6"/>
  </si>
  <si>
    <t>合計
[W/㎡]</t>
    <phoneticPr fontId="6"/>
  </si>
  <si>
    <t>予冷終了時</t>
    <phoneticPr fontId="6"/>
  </si>
  <si>
    <t>考慮しない</t>
  </si>
  <si>
    <t>1.0×qst1=</t>
  </si>
  <si>
    <t>予冷終了後</t>
    <phoneticPr fontId="6"/>
  </si>
  <si>
    <t>0.65×qst1=</t>
  </si>
  <si>
    <t>t-Jh基準気象データの9時の外気温度 to9Jh</t>
    <phoneticPr fontId="6"/>
  </si>
  <si>
    <t>暖房室内設計温度 tr</t>
    <phoneticPr fontId="6"/>
  </si>
  <si>
    <t xml:space="preserve">⊿T=tr-to9Jh= 24.0 [℃]- (-3.9) [℃]= </t>
  </si>
  <si>
    <t>注記</t>
  </si>
  <si>
    <t xml:space="preserve">Ct=0.05×(⊿t-20.5) = 0.05×(27.9 -20.5)= </t>
  </si>
  <si>
    <t>1.　予冷終了時とは部屋使用開始時刻（通常9時）を示します。</t>
  </si>
  <si>
    <t>2.　予冷終了後とは上記の次の時刻（通常10時）以降を示します。</t>
  </si>
  <si>
    <t>3.　各時刻の蓄熱負荷は下記のようになります。</t>
  </si>
  <si>
    <t>経過時間
j [h]</t>
    <phoneticPr fontId="6"/>
  </si>
  <si>
    <t>Cj0</t>
    <phoneticPr fontId="6"/>
  </si>
  <si>
    <t>連日分
[W/㎡]</t>
    <phoneticPr fontId="6"/>
  </si>
  <si>
    <t>合計
[W/㎡]</t>
    <phoneticPr fontId="6"/>
  </si>
  <si>
    <t>実用蓄熱負荷の休日成分 qst1 の計算</t>
    <phoneticPr fontId="6"/>
  </si>
  <si>
    <t xml:space="preserve">qst1=(1+1.8Ct-Csr)qbase1=(1+1.8× 0.37 - 0.00 )× 26.4 = </t>
  </si>
  <si>
    <t>暖房設計用実用蓄熱負荷合計値　qst</t>
    <phoneticPr fontId="6"/>
  </si>
  <si>
    <r>
      <t>qbase0=90(1-e</t>
    </r>
    <r>
      <rPr>
        <vertAlign val="superscript"/>
        <sz val="9"/>
        <rFont val="ＭＳ Ｐゴシック"/>
        <family val="3"/>
        <charset val="128"/>
      </rPr>
      <t>-0.31Kt</t>
    </r>
    <r>
      <rPr>
        <sz val="9"/>
        <rFont val="ＭＳ Ｐゴシック"/>
        <family val="3"/>
        <charset val="128"/>
      </rPr>
      <t>)[W/㎡]</t>
    </r>
    <phoneticPr fontId="6"/>
  </si>
  <si>
    <r>
      <t>qbase1=43(1-e</t>
    </r>
    <r>
      <rPr>
        <vertAlign val="superscript"/>
        <sz val="9"/>
        <rFont val="ＭＳ Ｐゴシック"/>
        <family val="3"/>
        <charset val="128"/>
      </rPr>
      <t>-0.70Kt</t>
    </r>
    <r>
      <rPr>
        <sz val="9"/>
        <rFont val="ＭＳ Ｐゴシック"/>
        <family val="3"/>
        <charset val="128"/>
      </rPr>
      <t>)[W/㎡]</t>
    </r>
    <phoneticPr fontId="6"/>
  </si>
  <si>
    <t>相対湿度</t>
    <phoneticPr fontId="23"/>
  </si>
  <si>
    <t>面積S[m2]</t>
    <phoneticPr fontId="6"/>
  </si>
  <si>
    <t>遮蔽係数SC</t>
    <phoneticPr fontId="13"/>
  </si>
  <si>
    <t>ig</t>
    <phoneticPr fontId="6"/>
  </si>
  <si>
    <t>S・S.C.・ig</t>
    <phoneticPr fontId="13"/>
  </si>
  <si>
    <t>-</t>
    <phoneticPr fontId="6"/>
  </si>
  <si>
    <t>-</t>
    <phoneticPr fontId="6"/>
  </si>
  <si>
    <t>-</t>
    <phoneticPr fontId="6"/>
  </si>
  <si>
    <t>①顕熱負荷1 [W]</t>
    <phoneticPr fontId="6"/>
  </si>
  <si>
    <t>①顕熱負荷1 [W]</t>
    <phoneticPr fontId="6"/>
  </si>
  <si>
    <t>⊿t</t>
    <phoneticPr fontId="6"/>
  </si>
  <si>
    <t>S・U・⊿t</t>
    <phoneticPr fontId="6"/>
  </si>
  <si>
    <t>S・U・⊿t</t>
    <phoneticPr fontId="6"/>
  </si>
  <si>
    <t>S・U・⊿t</t>
    <phoneticPr fontId="6"/>
  </si>
  <si>
    <t>面積S[m2]</t>
    <phoneticPr fontId="6"/>
  </si>
  <si>
    <t>⊿t</t>
    <phoneticPr fontId="6"/>
  </si>
  <si>
    <t>S・U・⊿t</t>
    <phoneticPr fontId="6"/>
  </si>
  <si>
    <t>面積S[m2]</t>
    <phoneticPr fontId="6"/>
  </si>
  <si>
    <t>②顕熱負荷2 [W]</t>
    <phoneticPr fontId="6"/>
  </si>
  <si>
    <t>t-x基準</t>
    <phoneticPr fontId="6"/>
  </si>
  <si>
    <t>クリーンルームB</t>
  </si>
  <si>
    <t>24時間</t>
    <phoneticPr fontId="6"/>
  </si>
  <si>
    <t>冷房設計
最大負荷
(顕熱負荷
により決定、
Jc-t基準
採用)
↓
↓
↓</t>
    <phoneticPr fontId="6"/>
  </si>
  <si>
    <t>暖房設計
最大負荷
(顕熱負荷
により決定、
t-x基準
採用)
↓
↓
↓</t>
    <phoneticPr fontId="6"/>
  </si>
  <si>
    <t>室NO</t>
    <phoneticPr fontId="6"/>
  </si>
  <si>
    <t>室名</t>
    <phoneticPr fontId="6"/>
  </si>
  <si>
    <t>クリーンルームB</t>
    <phoneticPr fontId="4"/>
  </si>
  <si>
    <t>AC-1</t>
    <phoneticPr fontId="4"/>
  </si>
  <si>
    <t>面積</t>
    <phoneticPr fontId="4"/>
  </si>
  <si>
    <t>容積</t>
    <phoneticPr fontId="6"/>
  </si>
  <si>
    <t>隙間風→→</t>
    <phoneticPr fontId="6"/>
  </si>
  <si>
    <t>外壁面積法による分</t>
    <phoneticPr fontId="6"/>
  </si>
  <si>
    <t>隙間風合計：</t>
    <phoneticPr fontId="6"/>
  </si>
  <si>
    <t>隙間風→→</t>
    <phoneticPr fontId="13"/>
  </si>
  <si>
    <t>外壁面積法による分</t>
    <phoneticPr fontId="4"/>
  </si>
  <si>
    <t>隙間風合計：</t>
    <phoneticPr fontId="4"/>
  </si>
  <si>
    <t>r</t>
    <phoneticPr fontId="6"/>
  </si>
  <si>
    <t>OA機器</t>
    <phoneticPr fontId="4"/>
  </si>
  <si>
    <t>③顕熱負荷3 [W]</t>
    <phoneticPr fontId="6"/>
  </si>
  <si>
    <t>顕熱負荷</t>
    <phoneticPr fontId="4"/>
  </si>
  <si>
    <t>土間床</t>
    <phoneticPr fontId="13"/>
  </si>
  <si>
    <t>⑥顕熱負荷6 [W]</t>
    <phoneticPr fontId="6"/>
  </si>
  <si>
    <t>単位負荷（室内全熱負荷(C)／室面積） [W/m2]</t>
    <phoneticPr fontId="6"/>
  </si>
  <si>
    <t>冷暖</t>
    <phoneticPr fontId="4"/>
  </si>
  <si>
    <t>暖房設計用蓄熱負荷の計算</t>
    <phoneticPr fontId="6"/>
  </si>
  <si>
    <t>本室の冷房蓄熱負荷の扱い</t>
    <phoneticPr fontId="6"/>
  </si>
  <si>
    <t>予冷時間</t>
    <phoneticPr fontId="6"/>
  </si>
  <si>
    <t>予熱時間</t>
    <phoneticPr fontId="6"/>
  </si>
  <si>
    <t>予熱時間補正係数 Cp</t>
    <phoneticPr fontId="6"/>
  </si>
  <si>
    <t xml:space="preserve"> 表1　窓方位係数 Csr と予冷時間補正係数 Cp 窓面積比 Ag/Afの計算</t>
    <phoneticPr fontId="6"/>
  </si>
  <si>
    <t xml:space="preserve"> 表2　窓方位係数 Csr の計算</t>
    <phoneticPr fontId="6"/>
  </si>
  <si>
    <t>窓面積Ag</t>
    <phoneticPr fontId="6"/>
  </si>
  <si>
    <t>Ag×Csr</t>
    <phoneticPr fontId="6"/>
  </si>
  <si>
    <t>Ag×Cp</t>
    <phoneticPr fontId="6"/>
  </si>
  <si>
    <t>窓面積Ag×SG</t>
    <phoneticPr fontId="6"/>
  </si>
  <si>
    <t>Csr</t>
    <phoneticPr fontId="6"/>
  </si>
  <si>
    <t>床面積Af=</t>
    <phoneticPr fontId="6"/>
  </si>
  <si>
    <t>[㎡]</t>
    <phoneticPr fontId="6"/>
  </si>
  <si>
    <t>注：SGは対象の窓ガラスの1月30日9時における日照面積率</t>
    <phoneticPr fontId="6"/>
  </si>
  <si>
    <t>窓面積比=Ag/Af=</t>
    <phoneticPr fontId="6"/>
  </si>
  <si>
    <t>地域と設計室温の補正係数　Ct　の計算</t>
    <phoneticPr fontId="34"/>
  </si>
  <si>
    <t>Csrの決定値</t>
    <phoneticPr fontId="6"/>
  </si>
  <si>
    <t>表3　熱損失係数 Kt および</t>
    <phoneticPr fontId="6"/>
  </si>
  <si>
    <t>窓
ΣU・A</t>
    <phoneticPr fontId="6"/>
  </si>
  <si>
    <t>連日運転分
[W/㎡]</t>
    <phoneticPr fontId="6"/>
  </si>
  <si>
    <t>休日成分
[W/㎡]</t>
    <phoneticPr fontId="6"/>
  </si>
  <si>
    <t>予冷終了時</t>
    <phoneticPr fontId="6"/>
  </si>
  <si>
    <t>t-Jh基準気象データの9時の外気温度 to9Jh</t>
    <phoneticPr fontId="6"/>
  </si>
  <si>
    <t>暖房室内設計温度 tr</t>
    <phoneticPr fontId="6"/>
  </si>
  <si>
    <t>経過時間
j [h]</t>
    <phoneticPr fontId="6"/>
  </si>
  <si>
    <t xml:space="preserve">qst1=(1+1.8Ct-Csr)qbase1=(1+1.8× 0.37 - 0.00 )× 26.7 = </t>
  </si>
  <si>
    <r>
      <t>qbase0=90(1-e</t>
    </r>
    <r>
      <rPr>
        <vertAlign val="superscript"/>
        <sz val="9"/>
        <rFont val="ＭＳ Ｐゴシック"/>
        <family val="3"/>
        <charset val="128"/>
      </rPr>
      <t>-0.31Kt</t>
    </r>
    <r>
      <rPr>
        <sz val="9"/>
        <rFont val="ＭＳ Ｐゴシック"/>
        <family val="3"/>
        <charset val="128"/>
      </rPr>
      <t>)[W/㎡]</t>
    </r>
    <phoneticPr fontId="6"/>
  </si>
  <si>
    <t>面積S[m2]</t>
    <phoneticPr fontId="6"/>
  </si>
  <si>
    <t>遮蔽係数SC</t>
    <phoneticPr fontId="13"/>
  </si>
  <si>
    <t>ig</t>
    <phoneticPr fontId="6"/>
  </si>
  <si>
    <t>S・S.C.・ig</t>
    <phoneticPr fontId="13"/>
  </si>
  <si>
    <t>-</t>
    <phoneticPr fontId="6"/>
  </si>
  <si>
    <t>①顕熱負荷1 [W]</t>
    <phoneticPr fontId="6"/>
  </si>
  <si>
    <t>①顕熱負荷1 [W]</t>
    <phoneticPr fontId="6"/>
  </si>
  <si>
    <t>⊿t</t>
    <phoneticPr fontId="6"/>
  </si>
  <si>
    <t>S・U・⊿t</t>
    <phoneticPr fontId="6"/>
  </si>
  <si>
    <t>S・U・⊿t</t>
    <phoneticPr fontId="6"/>
  </si>
  <si>
    <t>面積S[m2]</t>
    <phoneticPr fontId="6"/>
  </si>
  <si>
    <t>⊿t</t>
    <phoneticPr fontId="6"/>
  </si>
  <si>
    <t>②顕熱負荷2 [W]</t>
    <phoneticPr fontId="6"/>
  </si>
  <si>
    <t>②顕熱負荷2 [W]</t>
    <phoneticPr fontId="6"/>
  </si>
  <si>
    <t>事務室A</t>
  </si>
  <si>
    <t>AC-2</t>
  </si>
  <si>
    <t>2.40|2.80</t>
  </si>
  <si>
    <t>0.46→0.70</t>
  </si>
  <si>
    <t>連日分、休日分の両方を考慮</t>
    <phoneticPr fontId="6"/>
  </si>
  <si>
    <t>(C)室内全熱負荷以降の外気負荷等は、熱源容量計算用の基準別、時刻別の値です。外気負荷を含めた空調機の容量の計算等は別紙「AC-2系統 空調機容量の計算」をご参照ください。</t>
  </si>
  <si>
    <t>9時-18時</t>
  </si>
  <si>
    <t>9時-18時</t>
    <phoneticPr fontId="6"/>
  </si>
  <si>
    <t>Js-t</t>
  </si>
  <si>
    <t>冷房設計
最大負荷
(顕熱負荷
により決定、
Js-t基準
採用)
↓
↓
↓</t>
    <phoneticPr fontId="6"/>
  </si>
  <si>
    <t>t-Jh</t>
  </si>
  <si>
    <t>暖房設計
最大負荷
(顕熱負荷
により決定、
t-Jh基準
採用)
↓
↓
↓</t>
    <phoneticPr fontId="6"/>
  </si>
  <si>
    <t>室名</t>
    <phoneticPr fontId="6"/>
  </si>
  <si>
    <t>事務室A</t>
    <phoneticPr fontId="4"/>
  </si>
  <si>
    <t>AC-2</t>
    <phoneticPr fontId="4"/>
  </si>
  <si>
    <t>AC-2</t>
    <phoneticPr fontId="4"/>
  </si>
  <si>
    <t>外壁面積法による分</t>
    <phoneticPr fontId="6"/>
  </si>
  <si>
    <t>地中壁</t>
    <phoneticPr fontId="13"/>
  </si>
  <si>
    <t>1.00×1.00</t>
  </si>
  <si>
    <t>⑧余裕係数×送風機負荷係数</t>
    <phoneticPr fontId="6"/>
  </si>
  <si>
    <t>冷房設計用蓄熱負荷の計算</t>
    <phoneticPr fontId="6"/>
  </si>
  <si>
    <t>連日分、休日分の両方を考慮</t>
    <phoneticPr fontId="6"/>
  </si>
  <si>
    <t>一般方位</t>
    <phoneticPr fontId="4"/>
  </si>
  <si>
    <t>SE,S,SW</t>
    <phoneticPr fontId="4"/>
  </si>
  <si>
    <t>加重平均</t>
    <phoneticPr fontId="6"/>
  </si>
  <si>
    <t>t-x基準12時の水平面全天日射量</t>
    <phoneticPr fontId="6"/>
  </si>
  <si>
    <t>Jc-t基準気象データの6時の外気温度 to6Jct</t>
    <phoneticPr fontId="6"/>
  </si>
  <si>
    <t>冷房室内設計温度 tr</t>
    <phoneticPr fontId="6"/>
  </si>
  <si>
    <t xml:space="preserve">⊿t=to6Jct-tr= 23.1 [℃]- 28.0 [℃]= </t>
  </si>
  <si>
    <t>基準負荷(連日運転) qbase0、基準負荷(休日成分) qbase1 の計算</t>
    <phoneticPr fontId="6"/>
  </si>
  <si>
    <t xml:space="preserve">Ct=0.22×(⊿t-1.3) = 0.22×(-4.9 -1.3)= </t>
  </si>
  <si>
    <t>1Kあたりの熱損失[W/K]</t>
    <phoneticPr fontId="6"/>
  </si>
  <si>
    <t>床面積Af
[㎡]</t>
    <phoneticPr fontId="6"/>
  </si>
  <si>
    <t>Ct決定値　(Ct&lt;-1なのでCt=-1とする)</t>
  </si>
  <si>
    <t>内壁・天井
・床
ΣU・Aj</t>
    <phoneticPr fontId="6"/>
  </si>
  <si>
    <t>隙間風
cρV</t>
    <phoneticPr fontId="6"/>
  </si>
  <si>
    <t>連日運転の実用蓄熱負荷 qst0　の計算</t>
    <phoneticPr fontId="6"/>
  </si>
  <si>
    <t xml:space="preserve">qst0=13(1+Ct+Csr)Ag/Af+7=13×(1+ (-1.00)+0.00)×0.11 +7 = </t>
  </si>
  <si>
    <t xml:space="preserve">qst1=47(1+0.6Ct)Ag/Af+10=47×(1+0.6×(-1.00))×0.11 +10 = </t>
  </si>
  <si>
    <t>熱損失係数 Kt</t>
    <phoneticPr fontId="6"/>
  </si>
  <si>
    <t>Cp×1.0×qst0=</t>
  </si>
  <si>
    <t>0.65×qst0=</t>
  </si>
  <si>
    <t xml:space="preserve">⊿T=tr-to9Jh= 20.0 [℃]- (-3.9) [℃]= </t>
  </si>
  <si>
    <t xml:space="preserve">1.　Cp= 1.00 （表1にて計算済） </t>
  </si>
  <si>
    <t xml:space="preserve">Ct=0.05×(⊿t-20.5) = 0.05×(23.9 -20.5)= </t>
  </si>
  <si>
    <t>2.　予冷終了時とは部屋使用開始時刻（通常9時）を示します。</t>
  </si>
  <si>
    <t>3.　予冷終了後とは上記の次の時刻（通常10時）以降を示します。</t>
  </si>
  <si>
    <t xml:space="preserve">4.　予冷終了後の蓄熱負荷は公比 0.92 により下記のように計算します。 </t>
  </si>
  <si>
    <t xml:space="preserve">qst0=Cp(1+Ct)qbase0-20=1.00× (1+ 0.17 )× 25.8 -20= </t>
  </si>
  <si>
    <t>連日分
[W/㎡]</t>
    <phoneticPr fontId="6"/>
  </si>
  <si>
    <t>qst0 の決定値　</t>
  </si>
  <si>
    <t xml:space="preserve">qst1=(1+1.8Ct-Csr)qbase1=(1+1.8× 0.17 - 0.65 )× 23.0 = </t>
  </si>
  <si>
    <r>
      <t>qbase0=90(1-e</t>
    </r>
    <r>
      <rPr>
        <vertAlign val="superscript"/>
        <sz val="9"/>
        <rFont val="ＭＳ Ｐゴシック"/>
        <family val="3"/>
        <charset val="128"/>
      </rPr>
      <t>-0.31Kt</t>
    </r>
    <r>
      <rPr>
        <sz val="9"/>
        <rFont val="ＭＳ Ｐゴシック"/>
        <family val="3"/>
        <charset val="128"/>
      </rPr>
      <t>)[W/㎡]</t>
    </r>
    <phoneticPr fontId="6"/>
  </si>
  <si>
    <r>
      <t>qbase1=43(1-e</t>
    </r>
    <r>
      <rPr>
        <vertAlign val="superscript"/>
        <sz val="9"/>
        <rFont val="ＭＳ Ｐゴシック"/>
        <family val="3"/>
        <charset val="128"/>
      </rPr>
      <t>-0.70Kt</t>
    </r>
    <r>
      <rPr>
        <sz val="9"/>
        <rFont val="ＭＳ Ｐゴシック"/>
        <family val="3"/>
        <charset val="128"/>
      </rPr>
      <t>)[W/㎡]</t>
    </r>
    <phoneticPr fontId="6"/>
  </si>
  <si>
    <t>面積S[m2]</t>
    <phoneticPr fontId="6"/>
  </si>
  <si>
    <t>遮蔽係数SC</t>
    <phoneticPr fontId="13"/>
  </si>
  <si>
    <t>ig</t>
    <phoneticPr fontId="6"/>
  </si>
  <si>
    <t>S・S.C.・ig</t>
    <phoneticPr fontId="13"/>
  </si>
  <si>
    <t>-</t>
    <phoneticPr fontId="6"/>
  </si>
  <si>
    <t>①顕熱負荷1 [W]</t>
    <phoneticPr fontId="6"/>
  </si>
  <si>
    <t>S・U・⊿t</t>
    <phoneticPr fontId="6"/>
  </si>
  <si>
    <t>⊿t</t>
    <phoneticPr fontId="6"/>
  </si>
  <si>
    <t>S・U・⊿t</t>
    <phoneticPr fontId="6"/>
  </si>
  <si>
    <t>⊿t</t>
    <phoneticPr fontId="6"/>
  </si>
  <si>
    <t>②顕熱負荷2 [W]</t>
    <phoneticPr fontId="6"/>
  </si>
  <si>
    <t>事務室B</t>
  </si>
  <si>
    <t>9時-18時</t>
    <phoneticPr fontId="6"/>
  </si>
  <si>
    <t>冷房設計
最大負荷
(顕熱負荷
により決定、
Js-t基準
採用)
↓
↓
↓</t>
    <phoneticPr fontId="6"/>
  </si>
  <si>
    <t>暖房設計
最大負荷
(顕熱負荷
により決定、
t-Jh基準
採用)
↓
↓
↓</t>
    <phoneticPr fontId="6"/>
  </si>
  <si>
    <t>室NO</t>
    <phoneticPr fontId="6"/>
  </si>
  <si>
    <t>室名</t>
    <phoneticPr fontId="6"/>
  </si>
  <si>
    <t>事務室B</t>
    <phoneticPr fontId="4"/>
  </si>
  <si>
    <t>Jc-t基準</t>
    <phoneticPr fontId="13"/>
  </si>
  <si>
    <t>Js-t基準</t>
    <phoneticPr fontId="13"/>
  </si>
  <si>
    <t>内部負荷</t>
    <phoneticPr fontId="6"/>
  </si>
  <si>
    <t>⑧余裕係数</t>
    <phoneticPr fontId="6"/>
  </si>
  <si>
    <t>本室の暖房蓄熱負荷の扱い</t>
    <phoneticPr fontId="6"/>
  </si>
  <si>
    <t>予冷終了後の負荷変動に対する公比 r</t>
    <phoneticPr fontId="6"/>
  </si>
  <si>
    <t>Cp</t>
    <phoneticPr fontId="6"/>
  </si>
  <si>
    <t>SE,S,SW</t>
    <phoneticPr fontId="4"/>
  </si>
  <si>
    <t xml:space="preserve">qst0=13(1+Ct+Csr)Ag/Af+7=13×(1+ (-1.00)+0.00)×0.09 +7 = </t>
  </si>
  <si>
    <t xml:space="preserve">qst1=47(1+0.6Ct)Ag/Af+10=47×(1+0.6×(-1.00))×0.09 +10 = </t>
  </si>
  <si>
    <t xml:space="preserve">qst0=Cp(1+Ct)qbase0-20=1.00× (1+ 0.17 )× 25.6 -20= </t>
  </si>
  <si>
    <t xml:space="preserve">qst1=(1+1.8Ct-Csr)qbase1=(1+1.8× 0.17 - 0.65 )× 22.8 = </t>
  </si>
  <si>
    <t>暖房設計用実用蓄熱負荷合計値　qst</t>
    <phoneticPr fontId="6"/>
  </si>
  <si>
    <r>
      <t>qbase0=90(1-e</t>
    </r>
    <r>
      <rPr>
        <vertAlign val="superscript"/>
        <sz val="9"/>
        <rFont val="ＭＳ Ｐゴシック"/>
        <family val="3"/>
        <charset val="128"/>
      </rPr>
      <t>-0.31Kt</t>
    </r>
    <r>
      <rPr>
        <sz val="9"/>
        <rFont val="ＭＳ Ｐゴシック"/>
        <family val="3"/>
        <charset val="128"/>
      </rPr>
      <t>)[W/㎡]</t>
    </r>
    <phoneticPr fontId="6"/>
  </si>
  <si>
    <t>系統別集計表</t>
  </si>
  <si>
    <t xml:space="preserve">  空調機系統ごとに集計し、外気負荷を考慮した空調機の容量を求めています。</t>
  </si>
  <si>
    <t>[g/kg]</t>
    <phoneticPr fontId="13"/>
  </si>
  <si>
    <t>[kJ/kg]</t>
    <phoneticPr fontId="13"/>
  </si>
  <si>
    <t>[％]</t>
    <phoneticPr fontId="13"/>
  </si>
  <si>
    <t>[℃]</t>
    <phoneticPr fontId="13"/>
  </si>
  <si>
    <t>暖房</t>
    <rPh sb="0" eb="2">
      <t>ダンボウ</t>
    </rPh>
    <phoneticPr fontId="13"/>
  </si>
  <si>
    <t>冷房</t>
    <rPh sb="0" eb="2">
      <t>レイボウ</t>
    </rPh>
    <phoneticPr fontId="13"/>
  </si>
  <si>
    <t>合計</t>
    <phoneticPr fontId="13"/>
  </si>
  <si>
    <t>他ゾーンへ</t>
    <rPh sb="0" eb="1">
      <t>タ</t>
    </rPh>
    <phoneticPr fontId="35"/>
  </si>
  <si>
    <t>給気
風量</t>
    <rPh sb="0" eb="2">
      <t>キュウキ</t>
    </rPh>
    <rPh sb="3" eb="5">
      <t>フウリョウ</t>
    </rPh>
    <phoneticPr fontId="13"/>
  </si>
  <si>
    <t>顕熱負荷
より</t>
    <rPh sb="0" eb="2">
      <t>ケンネツ</t>
    </rPh>
    <rPh sb="2" eb="4">
      <t>フカ</t>
    </rPh>
    <phoneticPr fontId="35"/>
  </si>
  <si>
    <t>絶対湿度</t>
    <rPh sb="0" eb="2">
      <t>ゼッタイ</t>
    </rPh>
    <rPh sb="2" eb="4">
      <t>シツド</t>
    </rPh>
    <phoneticPr fontId="13"/>
  </si>
  <si>
    <t>比エンタルピ</t>
    <rPh sb="0" eb="1">
      <t>ヒ</t>
    </rPh>
    <phoneticPr fontId="13"/>
  </si>
  <si>
    <t>相対湿度</t>
    <rPh sb="0" eb="2">
      <t>ソウタイ</t>
    </rPh>
    <rPh sb="2" eb="4">
      <t>シツド</t>
    </rPh>
    <phoneticPr fontId="13"/>
  </si>
  <si>
    <t>乾球温度</t>
    <rPh sb="0" eb="2">
      <t>カンキュウ</t>
    </rPh>
    <rPh sb="2" eb="4">
      <t>オンド</t>
    </rPh>
    <phoneticPr fontId="13"/>
  </si>
  <si>
    <t>④給気
風量</t>
    <rPh sb="1" eb="3">
      <t>キュウキ</t>
    </rPh>
    <rPh sb="4" eb="6">
      <t>フウリョウ</t>
    </rPh>
    <phoneticPr fontId="13"/>
  </si>
  <si>
    <t>③換気回数より</t>
    <rPh sb="1" eb="3">
      <t>カンキ</t>
    </rPh>
    <rPh sb="3" eb="5">
      <t>カイスウ</t>
    </rPh>
    <phoneticPr fontId="35"/>
  </si>
  <si>
    <t>合計</t>
    <rPh sb="0" eb="2">
      <t>ゴウケイ</t>
    </rPh>
    <phoneticPr fontId="13"/>
  </si>
  <si>
    <t>潜熱
負荷</t>
    <phoneticPr fontId="13"/>
  </si>
  <si>
    <t>暖房時</t>
    <rPh sb="0" eb="2">
      <t>ダンボウ</t>
    </rPh>
    <rPh sb="2" eb="3">
      <t>ジ</t>
    </rPh>
    <phoneticPr fontId="13"/>
  </si>
  <si>
    <t>冷房時</t>
    <rPh sb="0" eb="2">
      <t>レイボウ</t>
    </rPh>
    <rPh sb="2" eb="3">
      <t>ジ</t>
    </rPh>
    <phoneticPr fontId="13"/>
  </si>
  <si>
    <t>換気
回数
[回/h]</t>
    <phoneticPr fontId="13"/>
  </si>
  <si>
    <t>送風量[㎥/h]</t>
    <phoneticPr fontId="35"/>
  </si>
  <si>
    <t>暖房負荷（最大値）[W]</t>
    <rPh sb="0" eb="2">
      <t>ダンボウ</t>
    </rPh>
    <rPh sb="5" eb="8">
      <t>サイダイチ</t>
    </rPh>
    <phoneticPr fontId="38"/>
  </si>
  <si>
    <t>再熱
負荷
[W]</t>
    <rPh sb="0" eb="1">
      <t>サイ</t>
    </rPh>
    <rPh sb="1" eb="2">
      <t>ネツ</t>
    </rPh>
    <phoneticPr fontId="35"/>
  </si>
  <si>
    <t>冷房負荷（最大値）[W]</t>
    <rPh sb="5" eb="8">
      <t>サイダイチ</t>
    </rPh>
    <phoneticPr fontId="38"/>
  </si>
  <si>
    <t>容積
[㎥]</t>
    <phoneticPr fontId="35"/>
  </si>
  <si>
    <t>天井高
[m]</t>
    <phoneticPr fontId="13"/>
  </si>
  <si>
    <t>面積
[㎡]</t>
    <phoneticPr fontId="13"/>
  </si>
  <si>
    <t>室　　　　名</t>
    <phoneticPr fontId="35"/>
  </si>
  <si>
    <t>端数切上前の
の風量[㎥/h]</t>
    <rPh sb="0" eb="2">
      <t>ハスウ</t>
    </rPh>
    <rPh sb="2" eb="4">
      <t>キリアゲ</t>
    </rPh>
    <rPh sb="4" eb="5">
      <t>マエ</t>
    </rPh>
    <rPh sb="8" eb="10">
      <t>フウリョウ</t>
    </rPh>
    <phoneticPr fontId="13"/>
  </si>
  <si>
    <t>実際の部屋の温湿度（設計時の給気温湿度条件を固定した場合の値）</t>
    <rPh sb="0" eb="2">
      <t>ジッサイ</t>
    </rPh>
    <rPh sb="3" eb="5">
      <t>ヘヤ</t>
    </rPh>
    <rPh sb="6" eb="9">
      <t>オンシツド</t>
    </rPh>
    <rPh sb="10" eb="13">
      <t>セッケイジ</t>
    </rPh>
    <rPh sb="14" eb="16">
      <t>キュウキ</t>
    </rPh>
    <rPh sb="16" eb="19">
      <t>オンシツド</t>
    </rPh>
    <rPh sb="19" eb="21">
      <t>ジョウケン</t>
    </rPh>
    <rPh sb="22" eb="24">
      <t>コテイ</t>
    </rPh>
    <rPh sb="26" eb="28">
      <t>バアイ</t>
    </rPh>
    <rPh sb="29" eb="30">
      <t>アタイ</t>
    </rPh>
    <phoneticPr fontId="13"/>
  </si>
  <si>
    <t>設計時の部屋の温湿度</t>
    <rPh sb="0" eb="3">
      <t>セッケイジ</t>
    </rPh>
    <rPh sb="4" eb="6">
      <t>ヘヤ</t>
    </rPh>
    <rPh sb="7" eb="10">
      <t>オンシツド</t>
    </rPh>
    <phoneticPr fontId="13"/>
  </si>
  <si>
    <t>データチェック用の欄</t>
    <rPh sb="7" eb="8">
      <t>ヨウ</t>
    </rPh>
    <rPh sb="9" eb="10">
      <t>ラン</t>
    </rPh>
    <phoneticPr fontId="13"/>
  </si>
  <si>
    <t>AC-1系統熱負荷集計および風量一覧表</t>
  </si>
  <si>
    <t>ドライコイル記号</t>
    <phoneticPr fontId="13"/>
  </si>
  <si>
    <t>DRC-201</t>
  </si>
  <si>
    <t>DRC-202</t>
  </si>
  <si>
    <t>合　　　計</t>
  </si>
  <si>
    <t>顕熱
負荷</t>
  </si>
  <si>
    <t>ドライコイル側
吹出し温度差[K]</t>
    <phoneticPr fontId="35"/>
  </si>
  <si>
    <t>①外気
処理側</t>
    <phoneticPr fontId="35"/>
  </si>
  <si>
    <t>②ドライ
コイル側</t>
    <phoneticPr fontId="35"/>
  </si>
  <si>
    <t>注：吹出温度差は風量計算用の値で、実際の値ではありません。</t>
  </si>
  <si>
    <t>24.0[℃]
(24.0[℃])</t>
    <phoneticPr fontId="4"/>
  </si>
  <si>
    <t>50[％]
(50[％])</t>
    <phoneticPr fontId="4"/>
  </si>
  <si>
    <t>47.9[kJ/kg]
(47.9[kJ/kg])</t>
    <phoneticPr fontId="4"/>
  </si>
  <si>
    <t>9.3[g/kg]
(9.3[g/kg])</t>
    <phoneticPr fontId="4"/>
  </si>
  <si>
    <t>冷房設計温湿度目標値（( )内は空調機設計条件における実際値）</t>
    <phoneticPr fontId="6"/>
  </si>
  <si>
    <t>24.0[℃]
(24.0[℃])</t>
    <phoneticPr fontId="4"/>
  </si>
  <si>
    <t>50[％]
(50[％])</t>
    <phoneticPr fontId="4"/>
  </si>
  <si>
    <t>50[％]
(50[％])</t>
    <phoneticPr fontId="4"/>
  </si>
  <si>
    <t>47.9[kJ/kg]
(47.9[kJ/kg])</t>
    <phoneticPr fontId="4"/>
  </si>
  <si>
    <t>24.0[℃]
(24.0[℃])</t>
    <phoneticPr fontId="4"/>
  </si>
  <si>
    <t>暖房設計温湿度目標値（( )内は空調機設計条件における実際値）</t>
    <phoneticPr fontId="6"/>
  </si>
  <si>
    <t>外気風量[㎥/h]</t>
    <phoneticPr fontId="6"/>
  </si>
  <si>
    <t>外気風量[㎥/h]</t>
    <phoneticPr fontId="6"/>
  </si>
  <si>
    <t>外気風量[㎥/h]</t>
    <phoneticPr fontId="6"/>
  </si>
  <si>
    <t>外気負荷 [W]</t>
    <phoneticPr fontId="6"/>
  </si>
  <si>
    <t>外気風量×1.2×⊿h[kJ/kg]/3.6</t>
  </si>
  <si>
    <t>外気負荷 [W]</t>
    <phoneticPr fontId="6"/>
  </si>
  <si>
    <t>系統別集計表参照</t>
    <phoneticPr fontId="4"/>
  </si>
  <si>
    <t>系統別集計表参照</t>
    <phoneticPr fontId="4"/>
  </si>
  <si>
    <t>全負荷 [W]</t>
    <phoneticPr fontId="6"/>
  </si>
  <si>
    <t>全負荷 [W]</t>
    <phoneticPr fontId="6"/>
  </si>
  <si>
    <t>加湿量[kg/h]</t>
    <phoneticPr fontId="6"/>
  </si>
  <si>
    <t>外気風量×1.2×⊿x[g/kg]/1000</t>
  </si>
  <si>
    <t>24.0[℃]
(24.0[℃])</t>
    <phoneticPr fontId="4"/>
  </si>
  <si>
    <t>50[％]
(50[％])</t>
    <phoneticPr fontId="4"/>
  </si>
  <si>
    <t>47.9[kJ/kg]
(47.9[kJ/kg])</t>
    <phoneticPr fontId="4"/>
  </si>
  <si>
    <t>9.3[g/kg]
(9.3[g/kg])</t>
    <phoneticPr fontId="4"/>
  </si>
  <si>
    <t>冷房設計温湿度目標値（( )内は空調機設計条件における実際値）</t>
    <phoneticPr fontId="6"/>
  </si>
  <si>
    <t>24.0[℃]
(24.0[℃])</t>
    <phoneticPr fontId="4"/>
  </si>
  <si>
    <t>冷房設計温湿度目標値（( )内は空調機設計条件における実際値）</t>
    <phoneticPr fontId="6"/>
  </si>
  <si>
    <t>50[％]
(50[％])</t>
    <phoneticPr fontId="4"/>
  </si>
  <si>
    <t>47.9[kJ/kg]
(47.9[kJ/kg])</t>
    <phoneticPr fontId="4"/>
  </si>
  <si>
    <t>DRC-201系統の冷房時顕熱比= 1.00[-]</t>
  </si>
  <si>
    <t>その他の負荷</t>
  </si>
  <si>
    <t>■外気処理ユニットのファンによる発熱負荷</t>
  </si>
  <si>
    <t>ファンによる温度上昇=1000/(1.006×1.2×1000×(60/100))≒1.38[K]</t>
  </si>
  <si>
    <t>発熱負荷=6,360×1.38×1.006×1.2×(1000 / 3600)≒2,943[W]</t>
  </si>
  <si>
    <t>■除湿のために増加した外気(外気処理ユニット)冷却負荷=減少した室内(ドライコイルユニット)冷却負荷</t>
  </si>
  <si>
    <t>冷房時室内比エンタルピ - 冷房時外気処理ユニット出口比エンタルピ=47.9-38.7=9.2[kJ/kg]</t>
  </si>
  <si>
    <t>増加した外気冷房負荷=減少した室内冷房負荷=6,360×9.2×1.2×(1000 / 3600)≒19,504[W]</t>
  </si>
  <si>
    <t>外気条件，システム条件など</t>
    <rPh sb="0" eb="2">
      <t>ガイキ</t>
    </rPh>
    <rPh sb="2" eb="4">
      <t>ジョウケン</t>
    </rPh>
    <rPh sb="9" eb="11">
      <t>ジョウケン</t>
    </rPh>
    <phoneticPr fontId="13"/>
  </si>
  <si>
    <t>湿り空気 h-x 線図
大気圧 101.325[kPa]</t>
  </si>
  <si>
    <t xml:space="preserve"> </t>
  </si>
  <si>
    <t>①：外気(冷房)</t>
  </si>
  <si>
    <t>②：外気処理コイル出口(冷房)</t>
  </si>
  <si>
    <t>③：外気処理ユニット出口(冷房)</t>
  </si>
  <si>
    <t>④：外気側-ドライコイル側</t>
  </si>
  <si>
    <t>　 仮想混合点(冷房)</t>
  </si>
  <si>
    <t>⑤：室内(冷房)</t>
  </si>
  <si>
    <t>　 (DRC-201系統 の場合)</t>
  </si>
  <si>
    <t>⑥：ドライコイル出口(冷房)</t>
  </si>
  <si>
    <t>⑦：外気(暖房)</t>
  </si>
  <si>
    <t>⑧：外気ヒータ出口(暖房)</t>
  </si>
  <si>
    <t>⑨：外気処理コイル出口(暖房)</t>
  </si>
  <si>
    <t>⑩：外気処理ユニット出口(暖房)</t>
  </si>
  <si>
    <t>⑪：室内(暖房)</t>
  </si>
  <si>
    <t>凡例</t>
    <phoneticPr fontId="4"/>
  </si>
  <si>
    <t>■冷房設計用外気条件：31.6[℃]，60[％](h-t基準)，暖房設計用外気条件：-6.9[℃]，71[％](t-x基準)，外気比：0.04[-](DRC-201系統 の場合)</t>
  </si>
  <si>
    <t>■空調機形式：循環式 ，除湿制御：あり(分離形ドライコイルシステム) ，加湿制御：あり(電熱式)</t>
  </si>
  <si>
    <t>■外気ヒータ設置(出口温度=3[℃])</t>
  </si>
  <si>
    <t>AC-1系統空気線図</t>
  </si>
  <si>
    <t>　設計風量</t>
  </si>
  <si>
    <r>
      <t>外気処理ユニット風量=6,360[m</t>
    </r>
    <r>
      <rPr>
        <vertAlign val="superscript"/>
        <sz val="9"/>
        <rFont val="ＭＳ Ｐゴシック"/>
        <family val="3"/>
        <charset val="128"/>
      </rPr>
      <t>3</t>
    </r>
    <r>
      <rPr>
        <sz val="9"/>
        <rFont val="ＭＳ Ｐゴシック"/>
        <family val="3"/>
        <charset val="128"/>
      </rPr>
      <t>/h]</t>
    </r>
  </si>
  <si>
    <r>
      <t>代表ドライコイルユニット(DRC-201系統)の風量=91,250[m</t>
    </r>
    <r>
      <rPr>
        <vertAlign val="superscript"/>
        <sz val="9"/>
        <rFont val="ＭＳ Ｐゴシック"/>
        <family val="3"/>
        <charset val="128"/>
      </rPr>
      <t>3</t>
    </r>
    <r>
      <rPr>
        <sz val="9"/>
        <rFont val="ＭＳ Ｐゴシック"/>
        <family val="3"/>
        <charset val="128"/>
      </rPr>
      <t>/h]</t>
    </r>
  </si>
  <si>
    <t>　冷房関連</t>
  </si>
  <si>
    <t>■外気処理ユニット冷却容量(①→②のプロセス)</t>
  </si>
  <si>
    <r>
      <t>6,360[m</t>
    </r>
    <r>
      <rPr>
        <vertAlign val="superscript"/>
        <sz val="9"/>
        <rFont val="ＭＳ Ｐゴシック"/>
        <family val="3"/>
        <charset val="128"/>
      </rPr>
      <t>3</t>
    </r>
    <r>
      <rPr>
        <sz val="9"/>
        <rFont val="ＭＳ Ｐゴシック"/>
        <family val="3"/>
        <charset val="128"/>
      </rPr>
      <t>/h]×1.2[kg/m</t>
    </r>
    <r>
      <rPr>
        <vertAlign val="superscript"/>
        <sz val="9"/>
        <rFont val="ＭＳ Ｐゴシック"/>
        <family val="3"/>
        <charset val="128"/>
      </rPr>
      <t>3</t>
    </r>
    <r>
      <rPr>
        <sz val="9"/>
        <rFont val="ＭＳ Ｐゴシック"/>
        <family val="3"/>
        <charset val="128"/>
      </rPr>
      <t>]×(76.8 - 37.3)[kJ/kg] / 3600[sec/h] ≒ 83.8[kW]</t>
    </r>
  </si>
  <si>
    <t>入口空気条件：乾球温度= 31.6[℃]，湿球温度= 25.1[℃]</t>
  </si>
  <si>
    <t>■ドライコイルユニット冷却容量(⑤→⑥のプロセス、DRC-201系統 の場合)</t>
  </si>
  <si>
    <r>
      <t>91,250[m</t>
    </r>
    <r>
      <rPr>
        <vertAlign val="superscript"/>
        <sz val="9"/>
        <rFont val="ＭＳ Ｐゴシック"/>
        <family val="3"/>
        <charset val="128"/>
      </rPr>
      <t>3</t>
    </r>
    <r>
      <rPr>
        <sz val="9"/>
        <rFont val="ＭＳ Ｐゴシック"/>
        <family val="3"/>
        <charset val="128"/>
      </rPr>
      <t>/h]×1.006[kJ/kg･K]×1.2[kg/m</t>
    </r>
    <r>
      <rPr>
        <vertAlign val="superscript"/>
        <sz val="9"/>
        <rFont val="ＭＳ Ｐゴシック"/>
        <family val="3"/>
        <charset val="128"/>
      </rPr>
      <t>3</t>
    </r>
    <r>
      <rPr>
        <sz val="9"/>
        <rFont val="ＭＳ Ｐゴシック"/>
        <family val="3"/>
        <charset val="128"/>
      </rPr>
      <t>]</t>
    </r>
  </si>
  <si>
    <t>　×(24.00 - 21.94)[K] / 3600[sec/h] ≒ 63.1[kW]</t>
  </si>
  <si>
    <t>入口空気条件：乾球温度= 24.0[℃]，湿球温度= 17.0[℃]</t>
  </si>
  <si>
    <t>　暖房関連</t>
  </si>
  <si>
    <t>■外気処理ユニット外気ヒータ容量(⑦→⑧のプロセス)</t>
  </si>
  <si>
    <r>
      <t>6,360[m</t>
    </r>
    <r>
      <rPr>
        <vertAlign val="superscript"/>
        <sz val="9"/>
        <rFont val="ＭＳ Ｐゴシック"/>
        <family val="3"/>
        <charset val="128"/>
      </rPr>
      <t>3</t>
    </r>
    <r>
      <rPr>
        <sz val="9"/>
        <rFont val="ＭＳ Ｐゴシック"/>
        <family val="3"/>
        <charset val="128"/>
      </rPr>
      <t>/h]×1.006[kJ/kg･K]×1.2[kg/m</t>
    </r>
    <r>
      <rPr>
        <vertAlign val="superscript"/>
        <sz val="9"/>
        <rFont val="ＭＳ Ｐゴシック"/>
        <family val="3"/>
        <charset val="128"/>
      </rPr>
      <t>3</t>
    </r>
    <r>
      <rPr>
        <sz val="9"/>
        <rFont val="ＭＳ Ｐゴシック"/>
        <family val="3"/>
        <charset val="128"/>
      </rPr>
      <t>]</t>
    </r>
  </si>
  <si>
    <t>　×(3.00 - (-6.90))[K] / 3600[sec/h] ≒ 21.2[kW]</t>
  </si>
  <si>
    <t>入口空気条件：乾球温度= -6.9[℃]，湿球温度= -8.1[℃]</t>
  </si>
  <si>
    <t>■外気処理ユニット外気処理コイル加熱容量(⑧→⑨のプロセス)</t>
  </si>
  <si>
    <t>　×(22.99 - 3.00)[K] / 3600[sec/h] ≒ 42.7[kW]</t>
  </si>
  <si>
    <t>入口空気条件：乾球温度= 3.0[℃]，湿球温度= -1.9[℃]</t>
  </si>
  <si>
    <t>■外気処理ユニット加湿器容量(⑨→⑩のプロセス)</t>
  </si>
  <si>
    <r>
      <t>6,360[m</t>
    </r>
    <r>
      <rPr>
        <vertAlign val="superscript"/>
        <sz val="9"/>
        <rFont val="ＭＳ Ｐゴシック"/>
        <family val="3"/>
        <charset val="128"/>
      </rPr>
      <t>3</t>
    </r>
    <r>
      <rPr>
        <sz val="9"/>
        <rFont val="ＭＳ Ｐゴシック"/>
        <family val="3"/>
        <charset val="128"/>
      </rPr>
      <t>/h]×1.2[kg/m</t>
    </r>
    <r>
      <rPr>
        <vertAlign val="superscript"/>
        <sz val="9"/>
        <rFont val="ＭＳ Ｐゴシック"/>
        <family val="3"/>
        <charset val="128"/>
      </rPr>
      <t>3</t>
    </r>
    <r>
      <rPr>
        <sz val="9"/>
        <rFont val="ＭＳ Ｐゴシック"/>
        <family val="3"/>
        <charset val="128"/>
      </rPr>
      <t>]×(0.0093 - 0.0015)[kg/kg] ≒ 59.6[kg/h]</t>
    </r>
  </si>
  <si>
    <t>入口空気条件：乾球温度= 23.0[℃]，絶対湿度= 0.0015[kg/kg]</t>
  </si>
  <si>
    <t>■室内暖房顕熱負荷はありません。(DRC-201系統 の場合)</t>
  </si>
  <si>
    <t>　注記</t>
  </si>
  <si>
    <t>■②→③のプロセスはファン、ダクト系の摩擦熱による温度上昇を示します。</t>
  </si>
  <si>
    <t>■各コイルなどの容量および加湿容量の値は小数第二位で切り上げています。</t>
  </si>
  <si>
    <t>■乾き空気の密度は厳密には乾球温度により変化しますが、</t>
  </si>
  <si>
    <r>
      <t>　 計算時は乾球温度約 20[℃]のときの値 1.2[kg/m</t>
    </r>
    <r>
      <rPr>
        <vertAlign val="superscript"/>
        <sz val="9"/>
        <rFont val="ＭＳ Ｐゴシック"/>
        <family val="3"/>
        <charset val="128"/>
      </rPr>
      <t>3</t>
    </r>
    <r>
      <rPr>
        <sz val="9"/>
        <rFont val="ＭＳ Ｐゴシック"/>
        <family val="3"/>
        <charset val="128"/>
      </rPr>
      <t>] としています。</t>
    </r>
  </si>
  <si>
    <t>■乾き空気の定圧比熱も同様に一定値 1.006[kJ/kg･K] としています。</t>
  </si>
  <si>
    <t>AC-1系統空調機容量の計算</t>
  </si>
  <si>
    <t>[kW]</t>
    <phoneticPr fontId="13"/>
  </si>
  <si>
    <t>[W]</t>
    <phoneticPr fontId="13"/>
  </si>
  <si>
    <t>湿球温度</t>
    <rPh sb="0" eb="4">
      <t>シッキュウオンド</t>
    </rPh>
    <phoneticPr fontId="35"/>
  </si>
  <si>
    <t>出口乾球温度</t>
    <rPh sb="0" eb="2">
      <t>デグチ</t>
    </rPh>
    <rPh sb="2" eb="4">
      <t>カンキュウ</t>
    </rPh>
    <rPh sb="4" eb="6">
      <t>オンド</t>
    </rPh>
    <phoneticPr fontId="13"/>
  </si>
  <si>
    <t>入口</t>
    <rPh sb="0" eb="2">
      <t>イリグチ</t>
    </rPh>
    <phoneticPr fontId="13"/>
  </si>
  <si>
    <t>容量</t>
    <rPh sb="0" eb="2">
      <t>ヨウリョウ</t>
    </rPh>
    <phoneticPr fontId="13"/>
  </si>
  <si>
    <t>温度差
[K]</t>
    <rPh sb="0" eb="3">
      <t>オンドサ</t>
    </rPh>
    <phoneticPr fontId="13"/>
  </si>
  <si>
    <t>出入口温度[℃]</t>
  </si>
  <si>
    <t>備考</t>
    <rPh sb="0" eb="2">
      <t>ビコウ</t>
    </rPh>
    <phoneticPr fontId="13"/>
  </si>
  <si>
    <t>暖房時加熱容量</t>
    <rPh sb="0" eb="2">
      <t>ダンボウ</t>
    </rPh>
    <rPh sb="2" eb="3">
      <t>ジ</t>
    </rPh>
    <rPh sb="3" eb="5">
      <t>カネツ</t>
    </rPh>
    <rPh sb="5" eb="7">
      <t>ヨウリョウ</t>
    </rPh>
    <phoneticPr fontId="35"/>
  </si>
  <si>
    <t>冷房時冷却容量</t>
    <rPh sb="0" eb="2">
      <t>レイボウ</t>
    </rPh>
    <rPh sb="2" eb="3">
      <t>ジ</t>
    </rPh>
    <rPh sb="3" eb="5">
      <t>レイキャク</t>
    </rPh>
    <rPh sb="5" eb="7">
      <t>ヨウリョウ</t>
    </rPh>
    <phoneticPr fontId="35"/>
  </si>
  <si>
    <r>
      <t>風量
[m</t>
    </r>
    <r>
      <rPr>
        <vertAlign val="superscript"/>
        <sz val="9"/>
        <rFont val="ＭＳ Ｐゴシック"/>
        <family val="3"/>
        <charset val="128"/>
      </rPr>
      <t>3</t>
    </r>
    <r>
      <rPr>
        <sz val="9"/>
        <rFont val="ＭＳ Ｐゴシック"/>
        <family val="3"/>
        <charset val="128"/>
      </rPr>
      <t>/h]</t>
    </r>
    <rPh sb="0" eb="2">
      <t>フウリョウ</t>
    </rPh>
    <phoneticPr fontId="35"/>
  </si>
  <si>
    <t>室　　　　名</t>
    <phoneticPr fontId="35"/>
  </si>
  <si>
    <t>AC-1系統ドライコイル容量計算表</t>
  </si>
  <si>
    <t>DRC-201系統</t>
  </si>
  <si>
    <t>DRC-201系統合計</t>
  </si>
  <si>
    <t>室内暖房顕熱負荷はなし</t>
  </si>
  <si>
    <t>DRC-202系統</t>
  </si>
  <si>
    <t>DRC-202系統合計</t>
  </si>
  <si>
    <t>AC-2系統熱負荷集計および風量一覧表</t>
  </si>
  <si>
    <t>ドライコイルユニット記号</t>
    <phoneticPr fontId="13"/>
  </si>
  <si>
    <t>DRC-301</t>
  </si>
  <si>
    <t>DRC-302</t>
  </si>
  <si>
    <t>ドライコイル側
吹出し温度差[K]</t>
    <phoneticPr fontId="35"/>
  </si>
  <si>
    <t>①外気
処理側</t>
    <phoneticPr fontId="35"/>
  </si>
  <si>
    <t>②ドライ
コイル側</t>
    <phoneticPr fontId="35"/>
  </si>
  <si>
    <t>28.0[℃]
(28.0[℃])</t>
    <phoneticPr fontId="4"/>
  </si>
  <si>
    <t>45[％]
(45[％])</t>
    <phoneticPr fontId="4"/>
  </si>
  <si>
    <t>55.4[kJ/kg]
(55.3[kJ/kg])</t>
    <phoneticPr fontId="4"/>
  </si>
  <si>
    <t>10.7[g/kg]
(10.6[g/kg])</t>
    <phoneticPr fontId="4"/>
  </si>
  <si>
    <t>28.0[℃]
(28.0[℃])</t>
    <phoneticPr fontId="4"/>
  </si>
  <si>
    <t>45[％]
(45[％])</t>
    <phoneticPr fontId="4"/>
  </si>
  <si>
    <t>55.4[kJ/kg]
(55.3[kJ/kg])</t>
    <phoneticPr fontId="4"/>
  </si>
  <si>
    <t>10.7[g/kg]
(10.6[g/kg])</t>
    <phoneticPr fontId="4"/>
  </si>
  <si>
    <t>冷房設計温湿度目標値（( )内は空調機設計条件における実際値）</t>
    <phoneticPr fontId="6"/>
  </si>
  <si>
    <t>55.4[kJ/kg]
(55.3[kJ/kg])</t>
    <phoneticPr fontId="4"/>
  </si>
  <si>
    <t>20.0[℃]
(20.0[℃])</t>
    <phoneticPr fontId="4"/>
  </si>
  <si>
    <t>40[％]
(40[％])</t>
    <phoneticPr fontId="4"/>
  </si>
  <si>
    <t>34.9[kJ/kg]
(34.9[kJ/kg])</t>
    <phoneticPr fontId="4"/>
  </si>
  <si>
    <t>5.8[g/kg]
(5.8[g/kg])</t>
    <phoneticPr fontId="4"/>
  </si>
  <si>
    <t>暖房設計温湿度目標値（( )内は空調機設計条件における実際値）</t>
    <phoneticPr fontId="6"/>
  </si>
  <si>
    <t>加湿量[kg/h]</t>
    <phoneticPr fontId="6"/>
  </si>
  <si>
    <t>28.0[℃]
(28.0[℃])</t>
    <phoneticPr fontId="4"/>
  </si>
  <si>
    <t>55.4[kJ/kg]
(55.3[kJ/kg])</t>
    <phoneticPr fontId="4"/>
  </si>
  <si>
    <t>28.0[℃]
(28.0[℃])</t>
    <phoneticPr fontId="4"/>
  </si>
  <si>
    <t>10.7[g/kg]
(10.6[g/kg])</t>
    <phoneticPr fontId="4"/>
  </si>
  <si>
    <t>20.0[℃]
(20.0[℃])</t>
    <phoneticPr fontId="4"/>
  </si>
  <si>
    <t>40[％]
(40[％])</t>
    <phoneticPr fontId="4"/>
  </si>
  <si>
    <t>34.9[kJ/kg]
(34.9[kJ/kg])</t>
    <phoneticPr fontId="4"/>
  </si>
  <si>
    <t>5.8[g/kg]
(5.8[g/kg])</t>
    <phoneticPr fontId="4"/>
  </si>
  <si>
    <t>外気風量[㎥/h]</t>
    <phoneticPr fontId="6"/>
  </si>
  <si>
    <t>DRC-301系統の冷房時顕熱比= 0.90[-]</t>
  </si>
  <si>
    <t>■ドライコイルユニットのファンによる発熱負荷</t>
  </si>
  <si>
    <t>ファンによる温度上昇=500/(1.006×1.2×1000×(60/100))≒0.69[K]</t>
  </si>
  <si>
    <t>ファンによる温度上昇=300/(1.006×1.2×1000×(60/100))≒0.42[K]</t>
  </si>
  <si>
    <t>発熱負荷=840×0.69×1.006×1.2×(1000 / 3600)≒194[W]</t>
  </si>
  <si>
    <t>発熱負荷=3,180×0.42×1.006×1.2×(1000 / 3600)≒448[W]</t>
  </si>
  <si>
    <t>■加湿をしやすくするために増加した外気(外気処理ユニット)加熱負荷=減少した室内(ドライコイルユニット)加熱負荷</t>
  </si>
  <si>
    <t>冷房時室内比エンタルピ - 冷房時外気処理ユニット出口比エンタルピ=55.4-32.5=22.9[kJ/kg]</t>
  </si>
  <si>
    <t>暖房時外気処理ユニット出口比エンタルピ - 暖房時室内比エンタルピ=46.4-34.9=11.5[kJ/kg]</t>
  </si>
  <si>
    <t>増加した外気冷房負荷=減少した室内冷房負荷=840×22.9×1.2×(1000 / 3600)≒6,412[W]</t>
  </si>
  <si>
    <t>増加した外気暖房負荷=減少した室内暖房負荷=840×11.5×1.2×(1000 / 3600)≒3,220[W]</t>
  </si>
  <si>
    <t>　 (DRC-301系統 の場合)</t>
  </si>
  <si>
    <t>⑦：ドライコイルユニット出口(冷房)</t>
  </si>
  <si>
    <t>⑧：外気(暖房)</t>
  </si>
  <si>
    <t>⑫：ドライコイルユニット出口(暖房)</t>
  </si>
  <si>
    <t>⑬：外気側-ドライコイル側</t>
  </si>
  <si>
    <t>　 仮想混合点(暖房)</t>
  </si>
  <si>
    <t>凡例</t>
    <phoneticPr fontId="4"/>
  </si>
  <si>
    <t>■冷房設計用外気条件：31.6[℃]，60[％](h-t基準)，暖房設計用外気条件：-3.5[℃]，53[％](t-x基準)，外気比：0.21[-](DRC-301系統 の場合)</t>
  </si>
  <si>
    <t>■空調機形式：循環式 ，除湿制御：あり(分離形ドライコイルシステム) ，加湿制御：あり(滴下浸透式)</t>
  </si>
  <si>
    <t>AC-2系統空気線図</t>
  </si>
  <si>
    <r>
      <t>外気処理ユニット風量=840[m</t>
    </r>
    <r>
      <rPr>
        <vertAlign val="superscript"/>
        <sz val="9"/>
        <rFont val="ＭＳ Ｐゴシック"/>
        <family val="3"/>
        <charset val="128"/>
      </rPr>
      <t>3</t>
    </r>
    <r>
      <rPr>
        <sz val="9"/>
        <rFont val="ＭＳ Ｐゴシック"/>
        <family val="3"/>
        <charset val="128"/>
      </rPr>
      <t>/h]</t>
    </r>
  </si>
  <si>
    <r>
      <t>代表ドライコイルユニット(DRC-301系統)の風量=1,850[m</t>
    </r>
    <r>
      <rPr>
        <vertAlign val="superscript"/>
        <sz val="9"/>
        <rFont val="ＭＳ Ｐゴシック"/>
        <family val="3"/>
        <charset val="128"/>
      </rPr>
      <t>3</t>
    </r>
    <r>
      <rPr>
        <sz val="9"/>
        <rFont val="ＭＳ Ｐゴシック"/>
        <family val="3"/>
        <charset val="128"/>
      </rPr>
      <t>/h]</t>
    </r>
  </si>
  <si>
    <r>
      <t>840[m</t>
    </r>
    <r>
      <rPr>
        <vertAlign val="superscript"/>
        <sz val="9"/>
        <rFont val="ＭＳ Ｐゴシック"/>
        <family val="3"/>
        <charset val="128"/>
      </rPr>
      <t>3</t>
    </r>
    <r>
      <rPr>
        <sz val="9"/>
        <rFont val="ＭＳ Ｐゴシック"/>
        <family val="3"/>
        <charset val="128"/>
      </rPr>
      <t>/h]×1.2[kg/m</t>
    </r>
    <r>
      <rPr>
        <vertAlign val="superscript"/>
        <sz val="9"/>
        <rFont val="ＭＳ Ｐゴシック"/>
        <family val="3"/>
        <charset val="128"/>
      </rPr>
      <t>3</t>
    </r>
    <r>
      <rPr>
        <sz val="9"/>
        <rFont val="ＭＳ Ｐゴシック"/>
        <family val="3"/>
        <charset val="128"/>
      </rPr>
      <t>]×(76.8 - 31.8)[kJ/kg] / 3600[sec/h] ≒ 12.6[kW]</t>
    </r>
  </si>
  <si>
    <t>■ドライコイルユニット冷却容量(⑤→⑥のプロセス、DRC-301系統 の場合)</t>
  </si>
  <si>
    <r>
      <t>1,850[m</t>
    </r>
    <r>
      <rPr>
        <vertAlign val="superscript"/>
        <sz val="9"/>
        <rFont val="ＭＳ Ｐゴシック"/>
        <family val="3"/>
        <charset val="128"/>
      </rPr>
      <t>3</t>
    </r>
    <r>
      <rPr>
        <sz val="9"/>
        <rFont val="ＭＳ Ｐゴシック"/>
        <family val="3"/>
        <charset val="128"/>
      </rPr>
      <t>/h]×1.006[kJ/kg･K]×1.2[kg/m</t>
    </r>
    <r>
      <rPr>
        <vertAlign val="superscript"/>
        <sz val="9"/>
        <rFont val="ＭＳ Ｐゴシック"/>
        <family val="3"/>
        <charset val="128"/>
      </rPr>
      <t>3</t>
    </r>
    <r>
      <rPr>
        <sz val="9"/>
        <rFont val="ＭＳ Ｐゴシック"/>
        <family val="3"/>
        <charset val="128"/>
      </rPr>
      <t>]</t>
    </r>
  </si>
  <si>
    <t>　×(28.00 - 15.72)[K] / 3600[sec/h] ≒ 7.7[kW]</t>
  </si>
  <si>
    <t>入口空気条件：乾球温度= 28.0[℃]，湿球温度= 19.4[℃]</t>
  </si>
  <si>
    <r>
      <t>840[m</t>
    </r>
    <r>
      <rPr>
        <vertAlign val="superscript"/>
        <sz val="9"/>
        <rFont val="ＭＳ Ｐゴシック"/>
        <family val="3"/>
        <charset val="128"/>
      </rPr>
      <t>3</t>
    </r>
    <r>
      <rPr>
        <sz val="9"/>
        <rFont val="ＭＳ Ｐゴシック"/>
        <family val="3"/>
        <charset val="128"/>
      </rPr>
      <t>/h]×1.006[kJ/kg･K]×1.2[kg/m</t>
    </r>
    <r>
      <rPr>
        <vertAlign val="superscript"/>
        <sz val="9"/>
        <rFont val="ＭＳ Ｐゴシック"/>
        <family val="3"/>
        <charset val="128"/>
      </rPr>
      <t>3</t>
    </r>
    <r>
      <rPr>
        <sz val="9"/>
        <rFont val="ＭＳ Ｐゴシック"/>
        <family val="3"/>
        <charset val="128"/>
      </rPr>
      <t>]</t>
    </r>
  </si>
  <si>
    <t>　×(42.00 - (-3.50))[K] / 3600[sec/h] ≒ 12.9[kW]</t>
  </si>
  <si>
    <t>入口空気条件：乾球温度= -3.5[℃]，湿球温度= -5.8[℃]</t>
  </si>
  <si>
    <r>
      <t>840[m</t>
    </r>
    <r>
      <rPr>
        <vertAlign val="superscript"/>
        <sz val="9"/>
        <rFont val="ＭＳ Ｐゴシック"/>
        <family val="3"/>
        <charset val="128"/>
      </rPr>
      <t>3</t>
    </r>
    <r>
      <rPr>
        <sz val="9"/>
        <rFont val="ＭＳ Ｐゴシック"/>
        <family val="3"/>
        <charset val="128"/>
      </rPr>
      <t>/h]×1.2[kg/m</t>
    </r>
    <r>
      <rPr>
        <vertAlign val="superscript"/>
        <sz val="9"/>
        <rFont val="ＭＳ Ｐゴシック"/>
        <family val="3"/>
        <charset val="128"/>
      </rPr>
      <t>3</t>
    </r>
    <r>
      <rPr>
        <sz val="9"/>
        <rFont val="ＭＳ Ｐゴシック"/>
        <family val="3"/>
        <charset val="128"/>
      </rPr>
      <t>]×(0.0058 - 0.0015)[kg/kg] ≒ 4.4[kg/h]</t>
    </r>
  </si>
  <si>
    <t>入口空気条件：乾球温度= 42.0[℃]，絶対湿度= 0.0015[kg/kg]</t>
  </si>
  <si>
    <t>■ドライコイルユニット加熱容量(⑪→⑫のプロセス、DRC-301系統 の場合)</t>
  </si>
  <si>
    <t>　×(29.80 - 20.00)[K] / 3600[sec/h] ≒ 6.1[kW]</t>
  </si>
  <si>
    <t>入口空気条件：乾球温度= 20.0[℃]，湿球温度= 12.4[℃]</t>
  </si>
  <si>
    <t>■②→③，⑥→⑦のプロセスはファン、ダクト系の摩擦熱による温度上昇を示します。</t>
  </si>
  <si>
    <t>AC-2系統空調機容量の計算</t>
  </si>
  <si>
    <t>AC-2系統ドライコイルユニット容量計算表</t>
  </si>
  <si>
    <t>DRC-301系統</t>
  </si>
  <si>
    <t>DRC-301系統合計</t>
  </si>
  <si>
    <t>DRC-302系統</t>
  </si>
  <si>
    <t>DRC-302系統合計</t>
  </si>
  <si>
    <t>熱源集計表</t>
  </si>
  <si>
    <t xml:space="preserve">  熱源負荷を集計しています。</t>
  </si>
  <si>
    <t>冷房負荷[W]</t>
    <phoneticPr fontId="38"/>
  </si>
  <si>
    <t>R-1系統冷熱源集計表</t>
  </si>
  <si>
    <t>■AC-1系統 外気処理側 (同系統セット数=1)</t>
  </si>
  <si>
    <t>ファン発熱負荷</t>
  </si>
  <si>
    <t>除湿のために増加した外気冷却負荷</t>
  </si>
  <si>
    <t>AC-1系統合計</t>
  </si>
  <si>
    <t>h-t基準合計</t>
    <phoneticPr fontId="4"/>
  </si>
  <si>
    <t>Jc-t基準合計</t>
    <phoneticPr fontId="4"/>
  </si>
  <si>
    <t>Js-t基準合計</t>
    <phoneticPr fontId="4"/>
  </si>
  <si>
    <t>最大値(h-t基準，15時)を含む基準</t>
  </si>
  <si>
    <t>上記÷1000 [kW] (小数点以下切上げ)</t>
  </si>
  <si>
    <r>
      <t>単位負荷[W/m</t>
    </r>
    <r>
      <rPr>
        <b/>
        <vertAlign val="superscript"/>
        <sz val="9"/>
        <rFont val="ＭＳ Ｐゴシック"/>
        <family val="3"/>
        <charset val="128"/>
      </rPr>
      <t>2</t>
    </r>
    <r>
      <rPr>
        <b/>
        <sz val="9"/>
        <rFont val="ＭＳ Ｐゴシック"/>
        <family val="3"/>
        <charset val="128"/>
      </rPr>
      <t>] (小数点以下四捨五入)</t>
    </r>
  </si>
  <si>
    <t>冷房負荷[W]</t>
    <phoneticPr fontId="38"/>
  </si>
  <si>
    <t>面積
[㎡]</t>
    <phoneticPr fontId="13"/>
  </si>
  <si>
    <t>HEX-1系統冷熱源集計表</t>
  </si>
  <si>
    <t>■AC-1系統 ドライコイル側 (同系統セット数=1)</t>
  </si>
  <si>
    <t>過冷却された処理外気により減少した冷却負荷</t>
  </si>
  <si>
    <t>最大値(Jc-t基準，14時)を含む基準</t>
  </si>
  <si>
    <t>R-3系統冷熱源集計表</t>
  </si>
  <si>
    <t>■AC-2系統 外気処理側 (同系統セット数=1)</t>
  </si>
  <si>
    <t>AC-2系統合計</t>
  </si>
  <si>
    <t>■AC-2系統 ドライコイル側 (同系統セット数=1)</t>
  </si>
  <si>
    <t>最大値(h-t基準，13時)を含む基準</t>
  </si>
  <si>
    <t>暖房負荷[W]</t>
    <rPh sb="0" eb="2">
      <t>ダンボウ</t>
    </rPh>
    <phoneticPr fontId="38"/>
  </si>
  <si>
    <t>R-1系統温熱源集計表</t>
  </si>
  <si>
    <t>総　合　計</t>
  </si>
  <si>
    <t>HEX-1系統温熱源集計表</t>
  </si>
  <si>
    <t>R-3系統温熱源集計表</t>
  </si>
  <si>
    <t>加湿をしやすくするために増加した外気加熱負荷</t>
  </si>
  <si>
    <t>過熱された処理外気により減少した加熱負荷</t>
  </si>
  <si>
    <t>一時側
蒸気量
[kg/h]</t>
    <rPh sb="0" eb="2">
      <t>イチジ</t>
    </rPh>
    <rPh sb="2" eb="3">
      <t>ガワ</t>
    </rPh>
    <rPh sb="4" eb="6">
      <t>ジョウキ</t>
    </rPh>
    <rPh sb="6" eb="7">
      <t>リョウ</t>
    </rPh>
    <phoneticPr fontId="35"/>
  </si>
  <si>
    <t>蒸気量
[kg/h]</t>
    <rPh sb="0" eb="2">
      <t>ジョウキ</t>
    </rPh>
    <rPh sb="2" eb="3">
      <t>リョウ</t>
    </rPh>
    <phoneticPr fontId="35"/>
  </si>
  <si>
    <t>給水量
[kg/h]</t>
    <rPh sb="0" eb="2">
      <t>キュウスイ</t>
    </rPh>
    <rPh sb="2" eb="3">
      <t>リョウ</t>
    </rPh>
    <phoneticPr fontId="35"/>
  </si>
  <si>
    <t>加湿量
[kg/h]</t>
    <rPh sb="0" eb="2">
      <t>カシツ</t>
    </rPh>
    <rPh sb="2" eb="3">
      <t>リョウ</t>
    </rPh>
    <phoneticPr fontId="35"/>
  </si>
  <si>
    <t>t-Jh基準</t>
    <phoneticPr fontId="13"/>
  </si>
  <si>
    <t>熱交換
効率
[％]</t>
    <rPh sb="0" eb="3">
      <t>ネツコウカン</t>
    </rPh>
    <rPh sb="4" eb="6">
      <t>コウリツ</t>
    </rPh>
    <phoneticPr fontId="35"/>
  </si>
  <si>
    <t>一時側蒸気
蒸発潜熱
[kJ/kg]</t>
    <rPh sb="0" eb="2">
      <t>イチジ</t>
    </rPh>
    <rPh sb="2" eb="3">
      <t>ガワ</t>
    </rPh>
    <rPh sb="3" eb="5">
      <t>ジョウキ</t>
    </rPh>
    <rPh sb="6" eb="8">
      <t>ジョウハツ</t>
    </rPh>
    <rPh sb="8" eb="10">
      <t>センネツ</t>
    </rPh>
    <phoneticPr fontId="35"/>
  </si>
  <si>
    <t>加湿蒸気
比エンタルピ
[kJ/kg]</t>
    <rPh sb="0" eb="2">
      <t>カシツ</t>
    </rPh>
    <rPh sb="2" eb="4">
      <t>ジョウキ</t>
    </rPh>
    <rPh sb="5" eb="6">
      <t>ヒ</t>
    </rPh>
    <phoneticPr fontId="35"/>
  </si>
  <si>
    <t>給水有効
利用率
[％]</t>
    <rPh sb="0" eb="2">
      <t>キュウスイ</t>
    </rPh>
    <rPh sb="2" eb="4">
      <t>ユウコウ</t>
    </rPh>
    <rPh sb="5" eb="7">
      <t>リヨウ</t>
    </rPh>
    <rPh sb="7" eb="8">
      <t>リツ</t>
    </rPh>
    <phoneticPr fontId="35"/>
  </si>
  <si>
    <t>加湿器
種別</t>
    <rPh sb="0" eb="2">
      <t>カシツ</t>
    </rPh>
    <rPh sb="2" eb="3">
      <t>キ</t>
    </rPh>
    <rPh sb="4" eb="6">
      <t>シュベツ</t>
    </rPh>
    <phoneticPr fontId="35"/>
  </si>
  <si>
    <t>加湿量、給水量、蒸気量、一時側蒸気量</t>
    <rPh sb="0" eb="2">
      <t>カシツ</t>
    </rPh>
    <rPh sb="2" eb="3">
      <t>リョウ</t>
    </rPh>
    <rPh sb="4" eb="6">
      <t>キュウスイ</t>
    </rPh>
    <rPh sb="6" eb="7">
      <t>リョウ</t>
    </rPh>
    <rPh sb="8" eb="10">
      <t>ジョウキ</t>
    </rPh>
    <rPh sb="10" eb="11">
      <t>リョウ</t>
    </rPh>
    <rPh sb="12" eb="14">
      <t>イチジ</t>
    </rPh>
    <rPh sb="14" eb="15">
      <t>ガワ</t>
    </rPh>
    <rPh sb="15" eb="17">
      <t>ジョウキ</t>
    </rPh>
    <rPh sb="17" eb="18">
      <t>リョウ</t>
    </rPh>
    <phoneticPr fontId="13"/>
  </si>
  <si>
    <t>加湿器仕様</t>
    <rPh sb="0" eb="2">
      <t>カシツ</t>
    </rPh>
    <rPh sb="2" eb="3">
      <t>キ</t>
    </rPh>
    <rPh sb="3" eb="5">
      <t>シヨウ</t>
    </rPh>
    <phoneticPr fontId="13"/>
  </si>
  <si>
    <t>面積
[㎡]</t>
    <phoneticPr fontId="13"/>
  </si>
  <si>
    <t>室　　　　名</t>
    <phoneticPr fontId="35"/>
  </si>
  <si>
    <t>市水系統加湿源集計表</t>
  </si>
  <si>
    <t>■AC-2系統 (同系統セット数=1)</t>
  </si>
  <si>
    <t>滴下浸透式</t>
  </si>
  <si>
    <r>
      <t>単位負荷[g/m</t>
    </r>
    <r>
      <rPr>
        <b/>
        <vertAlign val="superscript"/>
        <sz val="9"/>
        <rFont val="ＭＳ Ｐゴシック"/>
        <family val="3"/>
        <charset val="128"/>
      </rPr>
      <t>2</t>
    </r>
    <r>
      <rPr>
        <b/>
        <sz val="9"/>
        <rFont val="ＭＳ Ｐゴシック"/>
        <family val="3"/>
        <charset val="128"/>
      </rPr>
      <t>] (小数点以下四捨五入)</t>
    </r>
  </si>
  <si>
    <t>t-Jh基準</t>
    <phoneticPr fontId="13"/>
  </si>
  <si>
    <t>一次純水系統加湿源集計表</t>
  </si>
  <si>
    <t>■AC-1系統 (同系統セット数=1)</t>
  </si>
  <si>
    <t>電熱式</t>
  </si>
  <si>
    <t>表紙</t>
  </si>
  <si>
    <t>某社</t>
    <phoneticPr fontId="4"/>
  </si>
  <si>
    <t>某プロジェクト</t>
    <phoneticPr fontId="4"/>
  </si>
  <si>
    <t>空調換気設備</t>
    <phoneticPr fontId="4"/>
  </si>
  <si>
    <t>熱負荷計算書</t>
    <phoneticPr fontId="4"/>
  </si>
  <si>
    <t>私の会社</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</si>
</sst>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9">
    <numFmt numFmtId="176" formatCode=";;;"/>
    <numFmt numFmtId="177" formatCode="0.0"/>
    <numFmt numFmtId="178" formatCode="##&quot;時&quot;"/>
    <numFmt numFmtId="179" formatCode="0.0;\-0.0;&quot;-&quot;;"/>
    <numFmt numFmtId="180" formatCode="0.0_);[Red]\(0.0\)"/>
    <numFmt numFmtId="181" formatCode="0.0_ "/>
    <numFmt numFmtId="182" formatCode="##&quot;m&quot;"/>
    <numFmt numFmtId="183" formatCode="##&quot;時&quot;;;"/>
    <numFmt numFmtId="184" formatCode="##&quot;:00&quot;"/>
    <numFmt numFmtId="185" formatCode="0.000_ "/>
    <numFmt numFmtId="186" formatCode="0.00&quot;㎡&quot;"/>
    <numFmt numFmtId="187" formatCode="#,##0_ "/>
    <numFmt numFmtId="188" formatCode="0.000"/>
    <numFmt numFmtId="189" formatCode="0.0000"/>
    <numFmt numFmtId="190" formatCode=";;"/>
    <numFmt numFmtId="191" formatCode="0.00&quot;[㎡]&quot;;;"/>
    <numFmt numFmtId="192" formatCode="0.0\ &quot;[m]&quot;;;"/>
    <numFmt numFmtId="193" formatCode="0.0\ &quot;[㎥]&quot;;;"/>
    <numFmt numFmtId="194" formatCode="#,###"/>
    <numFmt numFmtId="195" formatCode="0.0&quot;[℃]&quot;;\-0.0&quot;[℃]&quot;;"/>
    <numFmt numFmtId="196" formatCode="0&quot;[％]&quot;;;"/>
    <numFmt numFmtId="197" formatCode="#,###.0&quot;[kJ/kg]&quot;;;"/>
    <numFmt numFmtId="198" formatCode="0.0&quot;[g/Kg]&quot;;;"/>
    <numFmt numFmtId="199" formatCode="#,###.0&quot;kJ/kg&quot;"/>
    <numFmt numFmtId="200" formatCode="#,##0&quot;m3/h&quot;;;"/>
    <numFmt numFmtId="201" formatCode="#,##0&quot;[㎥/h]&quot;;;"/>
    <numFmt numFmtId="202" formatCode="#,##0&quot;[㎥/h]&quot;;;&quot;-&quot;"/>
    <numFmt numFmtId="203" formatCode="0&quot;:00&quot;"/>
    <numFmt numFmtId="204" formatCode="##&quot;[h]&quot;"/>
    <numFmt numFmtId="205" formatCode="0;0;&quot;-&quot;"/>
    <numFmt numFmtId="206" formatCode="0.00;\-0.00;0.00;"/>
    <numFmt numFmtId="207" formatCode="0.00;;;@"/>
    <numFmt numFmtId="208" formatCode="0.0;&quot;-&quot;0.0;&quot;-&quot;"/>
    <numFmt numFmtId="209" formatCode="0.00;;;"/>
    <numFmt numFmtId="210" formatCode="&quot;× &quot;0"/>
    <numFmt numFmtId="211" formatCode="0.00_ ;[Red]\-0.00\ "/>
    <numFmt numFmtId="212" formatCode="0.00_);[Red]\(0.00\)"/>
    <numFmt numFmtId="213" formatCode="#,###;;;"/>
    <numFmt numFmtId="214" formatCode="#,##0&quot;[W/人]&quot;;;&quot;&quot;"/>
    <numFmt numFmtId="215" formatCode="&quot;×&quot;#,##0&quot;[人]&quot;;;&quot;&quot;"/>
    <numFmt numFmtId="216" formatCode="&quot;-&quot;#,##0&quot;[W/人]&quot;;;&quot;&quot;"/>
    <numFmt numFmtId="217" formatCode="#,##0&quot;[W/m2]&quot;;;&quot;&quot;"/>
    <numFmt numFmtId="218" formatCode="&quot;×&quot;#,##0.00&quot;[㎡]&quot;;;&quot;&quot;"/>
    <numFmt numFmtId="219" formatCode="&quot;-&quot;#,##0&quot;[W/m2]&quot;;;&quot;&quot;"/>
    <numFmt numFmtId="220" formatCode="&quot;×&quot;0.00;&quot;×-&quot;0.00;"/>
    <numFmt numFmtId="221" formatCode="&quot;×&quot;#,##0.00_ "/>
    <numFmt numFmtId="222" formatCode="#,###&quot;[W]&quot;;;&quot;&quot;"/>
    <numFmt numFmtId="223" formatCode="&quot;-&quot;#,###&quot;[W]&quot;;;&quot;&quot;"/>
    <numFmt numFmtId="224" formatCode="0.0\ &quot;[m]&quot;"/>
    <numFmt numFmtId="225" formatCode="0.0\ &quot;[W/(m・K)]&quot;;;"/>
    <numFmt numFmtId="226" formatCode="0.0;;&quot;-&quot;;"/>
    <numFmt numFmtId="227" formatCode="0;;&quot;-&quot;;"/>
    <numFmt numFmtId="228" formatCode="0.0;;;"/>
    <numFmt numFmtId="229" formatCode="0.0\ &quot;[W/(m・K)]&quot;"/>
    <numFmt numFmtId="230" formatCode="&quot;×&quot;0.00"/>
    <numFmt numFmtId="231" formatCode="&quot;× &quot;0;&quot;× -&quot;0;;"/>
    <numFmt numFmtId="232" formatCode="0.0;\-0.0;&quot;-&quot;"/>
    <numFmt numFmtId="233" formatCode="0.0;&quot;-&quot;0.0;"/>
    <numFmt numFmtId="234" formatCode="0.00;;&quot;-&quot;;"/>
    <numFmt numFmtId="235" formatCode="&quot;×&quot;0.00&quot;×&quot;"/>
    <numFmt numFmtId="236" formatCode="&quot;×&quot;0.00&quot;×&quot;;&quot;×-&quot;0.00&quot;×&quot;;"/>
    <numFmt numFmtId="237" formatCode="&quot;×&quot;0.00;;"/>
    <numFmt numFmtId="238" formatCode="&quot;× &quot;0.0"/>
    <numFmt numFmtId="239" formatCode="#,##0.0"/>
    <numFmt numFmtId="240" formatCode="0.0;\-0.0;;"/>
    <numFmt numFmtId="241" formatCode="0.00;\-0.00;;"/>
    <numFmt numFmtId="242" formatCode="###&quot;)&quot;"/>
    <numFmt numFmtId="243" formatCode="#,##0.00_ "/>
    <numFmt numFmtId="244" formatCode="#,##0.0_ "/>
  </numFmts>
  <fonts count="58">
    <font>
      <sz val="9"/>
      <color theme="1"/>
      <name val="メイリオ"/>
      <family val="2"/>
      <charset val="128"/>
    </font>
    <font>
      <sz val="9"/>
      <color theme="1"/>
      <name val="メイリオ"/>
      <family val="2"/>
      <charset val="128"/>
    </font>
    <font>
      <b/>
      <sz val="9"/>
      <color theme="1"/>
      <name val="メイリオ"/>
      <family val="2"/>
      <charset val="128"/>
    </font>
    <font>
      <sz val="11"/>
      <name val="ＭＳ Ｐゴシック"/>
      <family val="3"/>
      <charset val="128"/>
    </font>
    <font>
      <sz val="6"/>
      <name val="メイリオ"/>
      <family val="2"/>
      <charset val="128"/>
    </font>
    <font>
      <sz val="9.5"/>
      <name val="ＭＳ Ｐゴシック"/>
      <family val="3"/>
      <charset val="128"/>
    </font>
    <font>
      <sz val="9"/>
      <name val="ＭＳ Ｐゴシック"/>
      <family val="3"/>
      <charset val="128"/>
    </font>
    <font>
      <b/>
      <sz val="14"/>
      <name val="ＭＳ Ｐゴシック"/>
      <family val="3"/>
      <charset val="128"/>
    </font>
    <font>
      <sz val="9"/>
      <name val="ＭＳ ゴシック"/>
      <family val="3"/>
      <charset val="128"/>
    </font>
    <font>
      <b/>
      <sz val="16"/>
      <name val="ＭＳ Ｐゴシック"/>
      <family val="3"/>
      <charset val="128"/>
    </font>
    <font>
      <sz val="11"/>
      <color theme="1"/>
      <name val="游ゴシック"/>
      <family val="2"/>
      <charset val="128"/>
      <scheme val="minor"/>
    </font>
    <font>
      <sz val="10"/>
      <name val="ＭＳ Ｐゴシック"/>
      <family val="3"/>
      <charset val="128"/>
    </font>
    <font>
      <sz val="14"/>
      <name val="ＭＳ Ｐゴシック"/>
      <family val="3"/>
      <charset val="128"/>
    </font>
    <font>
      <sz val="6"/>
      <name val="ＭＳ Ｐゴシック"/>
      <family val="3"/>
      <charset val="128"/>
    </font>
    <font>
      <sz val="9"/>
      <name val="游ゴシック Light"/>
      <family val="3"/>
      <charset val="128"/>
      <scheme val="major"/>
    </font>
    <font>
      <sz val="8"/>
      <name val="ＭＳ Ｐゴシック"/>
      <family val="3"/>
      <charset val="128"/>
    </font>
    <font>
      <sz val="9"/>
      <name val="ＭＳ 明朝"/>
      <family val="1"/>
      <charset val="128"/>
    </font>
    <font>
      <sz val="14"/>
      <name val="游ゴシック Light"/>
      <family val="3"/>
      <charset val="128"/>
      <scheme val="major"/>
    </font>
    <font>
      <sz val="8"/>
      <name val="游ゴシック Light"/>
      <family val="3"/>
      <charset val="128"/>
      <scheme val="major"/>
    </font>
    <font>
      <b/>
      <sz val="9"/>
      <name val="ＭＳ Ｐゴシック"/>
      <family val="3"/>
      <charset val="128"/>
    </font>
    <font>
      <sz val="9"/>
      <color indexed="8"/>
      <name val="游ゴシック Light"/>
      <family val="3"/>
      <charset val="128"/>
      <scheme val="major"/>
    </font>
    <font>
      <b/>
      <u/>
      <sz val="9"/>
      <name val="游ゴシック Light"/>
      <family val="3"/>
      <charset val="128"/>
      <scheme val="major"/>
    </font>
    <font>
      <b/>
      <sz val="12"/>
      <name val="游ゴシック Light"/>
      <family val="3"/>
      <charset val="128"/>
      <scheme val="major"/>
    </font>
    <font>
      <sz val="11"/>
      <name val="明朝"/>
      <family val="1"/>
      <charset val="128"/>
    </font>
    <font>
      <i/>
      <sz val="9"/>
      <name val="游ゴシック Light"/>
      <family val="3"/>
      <charset val="128"/>
      <scheme val="major"/>
    </font>
    <font>
      <b/>
      <sz val="10"/>
      <name val="游ゴシック Light"/>
      <family val="3"/>
      <charset val="128"/>
      <scheme val="major"/>
    </font>
    <font>
      <sz val="10"/>
      <name val="游ゴシック Light"/>
      <family val="3"/>
      <charset val="128"/>
      <scheme val="major"/>
    </font>
    <font>
      <b/>
      <sz val="14"/>
      <name val="游ゴシック Light"/>
      <family val="3"/>
      <charset val="128"/>
      <scheme val="major"/>
    </font>
    <font>
      <sz val="11"/>
      <name val="游ゴシック Light"/>
      <family val="3"/>
      <charset val="128"/>
      <scheme val="major"/>
    </font>
    <font>
      <sz val="9"/>
      <name val="明朝"/>
      <family val="1"/>
      <charset val="128"/>
    </font>
    <font>
      <b/>
      <sz val="10"/>
      <name val="ＭＳ Ｐゴシック"/>
      <family val="3"/>
      <charset val="128"/>
    </font>
    <font>
      <b/>
      <sz val="24"/>
      <name val="ＭＳ Ｐゴシック"/>
      <family val="3"/>
      <charset val="128"/>
    </font>
    <font>
      <sz val="24"/>
      <name val="ＭＳ Ｐゴシック"/>
      <family val="3"/>
      <charset val="128"/>
    </font>
    <font>
      <vertAlign val="superscript"/>
      <sz val="9"/>
      <name val="ＭＳ Ｐゴシック"/>
      <family val="3"/>
      <charset val="128"/>
    </font>
    <font>
      <sz val="10"/>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9"/>
      <color theme="1"/>
      <name val="メイリオ"/>
      <family val="3"/>
      <charset val="128"/>
    </font>
    <font>
      <sz val="13.5"/>
      <name val="System"/>
      <charset val="128"/>
    </font>
    <font>
      <sz val="9"/>
      <name val="メイリオ"/>
      <family val="3"/>
      <charset val="128"/>
    </font>
    <font>
      <sz val="14"/>
      <color theme="1"/>
      <name val="游ゴシック"/>
      <family val="3"/>
      <charset val="128"/>
      <scheme val="minor"/>
    </font>
    <font>
      <sz val="14"/>
      <color theme="1"/>
      <name val="メイリオ"/>
      <family val="3"/>
      <charset val="128"/>
    </font>
    <font>
      <b/>
      <sz val="11"/>
      <color theme="1"/>
      <name val="メイリオ"/>
      <family val="3"/>
      <charset val="128"/>
    </font>
    <font>
      <sz val="10"/>
      <name val="明朝"/>
      <family val="1"/>
      <charset val="128"/>
    </font>
    <font>
      <sz val="9"/>
      <color indexed="9"/>
      <name val="ＭＳ Ｐゴシック"/>
      <family val="3"/>
      <charset val="128"/>
    </font>
    <font>
      <i/>
      <sz val="9"/>
      <name val="ＭＳ Ｐゴシック"/>
      <family val="3"/>
      <charset val="128"/>
    </font>
    <font>
      <sz val="9"/>
      <color indexed="81"/>
      <name val="Meiryo UI"/>
      <family val="3"/>
      <charset val="128"/>
    </font>
    <font>
      <sz val="11"/>
      <color theme="1"/>
      <name val="游ゴシック"/>
      <family val="3"/>
      <charset val="128"/>
      <scheme val="minor"/>
    </font>
    <font>
      <b/>
      <sz val="11"/>
      <name val="ＭＳ Ｐゴシック"/>
      <family val="3"/>
      <charset val="128"/>
    </font>
    <font>
      <sz val="16"/>
      <color theme="1"/>
      <name val="游ゴシック"/>
      <family val="3"/>
      <charset val="128"/>
      <scheme val="minor"/>
    </font>
    <font>
      <sz val="16"/>
      <name val="ＭＳ Ｐゴシック"/>
      <family val="3"/>
      <charset val="128"/>
    </font>
    <font>
      <b/>
      <u/>
      <sz val="9"/>
      <color rgb="FFFF0000"/>
      <name val="ＭＳ Ｐゴシック"/>
      <family val="3"/>
      <charset val="128"/>
    </font>
    <font>
      <b/>
      <vertAlign val="superscript"/>
      <sz val="9"/>
      <name val="ＭＳ Ｐゴシック"/>
      <family val="3"/>
      <charset val="128"/>
    </font>
    <font>
      <sz val="12"/>
      <color theme="1"/>
      <name val="游ゴシック"/>
      <family val="3"/>
      <charset val="128"/>
      <scheme val="minor"/>
    </font>
    <font>
      <sz val="12"/>
      <name val="ＭＳ Ｐゴシック"/>
      <family val="3"/>
      <charset val="128"/>
    </font>
    <font>
      <b/>
      <sz val="12"/>
      <name val="ＭＳ Ｐゴシック"/>
      <family val="3"/>
      <charset val="128"/>
    </font>
    <font>
      <sz val="20"/>
      <name val="ＭＳ Ｐゴシック"/>
      <family val="3"/>
      <charset val="128"/>
    </font>
    <font>
      <b/>
      <sz val="18"/>
      <name val="ＭＳ Ｐゴシック"/>
      <family val="3"/>
      <charset val="128"/>
    </font>
  </fonts>
  <fills count="25">
    <fill>
      <patternFill patternType="none"/>
    </fill>
    <fill>
      <patternFill patternType="gray125"/>
    </fill>
    <fill>
      <gradientFill degree="270">
        <stop position="0">
          <color rgb="FFFFFFFF"/>
        </stop>
        <stop position="1">
          <color rgb="FFE8E8E8"/>
        </stop>
      </gradientFill>
    </fill>
    <fill>
      <gradientFill degree="90">
        <stop position="0">
          <color rgb="FFFFFFFF"/>
        </stop>
        <stop position="1">
          <color rgb="FFE8E8E8"/>
        </stop>
      </gradientFill>
    </fill>
    <fill>
      <patternFill patternType="solid">
        <fgColor rgb="FFE5FFE5"/>
        <bgColor indexed="64"/>
      </patternFill>
    </fill>
    <fill>
      <patternFill patternType="solid">
        <fgColor rgb="FFDDF2FF"/>
        <bgColor indexed="64"/>
      </patternFill>
    </fill>
    <fill>
      <patternFill patternType="solid">
        <fgColor rgb="FFE1E1FF"/>
        <bgColor indexed="64"/>
      </patternFill>
    </fill>
    <fill>
      <patternFill patternType="solid">
        <fgColor rgb="FFE8E8E8"/>
        <bgColor indexed="64"/>
      </patternFill>
    </fill>
    <fill>
      <patternFill patternType="solid">
        <fgColor rgb="FFEAEAEA"/>
        <bgColor indexed="64"/>
      </patternFill>
    </fill>
    <fill>
      <patternFill patternType="solid">
        <fgColor rgb="FFFFE8D1"/>
        <bgColor indexed="64"/>
      </patternFill>
    </fill>
    <fill>
      <patternFill patternType="solid">
        <fgColor rgb="FFFFE5E5"/>
        <bgColor indexed="64"/>
      </patternFill>
    </fill>
    <fill>
      <patternFill patternType="solid">
        <fgColor indexed="9"/>
        <bgColor indexed="64"/>
      </patternFill>
    </fill>
    <fill>
      <patternFill patternType="gray125">
        <fgColor indexed="10"/>
      </patternFill>
    </fill>
    <fill>
      <gradientFill degree="90">
        <stop position="0">
          <color rgb="FFFFFFFF"/>
        </stop>
        <stop position="1">
          <color rgb="FFE5FFE5"/>
        </stop>
      </gradientFill>
    </fill>
    <fill>
      <gradientFill degree="90">
        <stop position="0">
          <color rgb="FFFFFFFF"/>
        </stop>
        <stop position="1">
          <color rgb="FFCCECFF"/>
        </stop>
      </gradientFill>
    </fill>
    <fill>
      <gradientFill degree="90">
        <stop position="0">
          <color rgb="FFFFFFFF"/>
        </stop>
        <stop position="1">
          <color rgb="FFDDF2FF"/>
        </stop>
      </gradientFill>
    </fill>
    <fill>
      <gradientFill degree="90">
        <stop position="0">
          <color rgb="FFFFFFFF"/>
        </stop>
        <stop position="1">
          <color rgb="FFE1E1FF"/>
        </stop>
      </gradientFill>
    </fill>
    <fill>
      <gradientFill degree="90">
        <stop position="0">
          <color rgb="FFFFFFFF"/>
        </stop>
        <stop position="1">
          <color rgb="FFFFE8D1"/>
        </stop>
      </gradientFill>
    </fill>
    <fill>
      <gradientFill degree="90">
        <stop position="0">
          <color rgb="FFFFFFFF"/>
        </stop>
        <stop position="1">
          <color rgb="FFFFE5E5"/>
        </stop>
      </gradientFill>
    </fill>
    <fill>
      <gradientFill>
        <stop position="0">
          <color rgb="FFFFFFFF"/>
        </stop>
        <stop position="1">
          <color rgb="FFE8E8E8"/>
        </stop>
      </gradientFill>
    </fill>
    <fill>
      <gradientFill degree="90">
        <stop position="0">
          <color rgb="FFFFFFFF"/>
        </stop>
        <stop position="1">
          <color rgb="FFB2B2B2"/>
        </stop>
      </gradientFill>
    </fill>
    <fill>
      <gradientFill degree="90">
        <stop position="0">
          <color rgb="FFE8E8E8"/>
        </stop>
        <stop position="1">
          <color rgb="FFFFFFFF"/>
        </stop>
      </gradientFill>
    </fill>
    <fill>
      <gradientFill degree="270">
        <stop position="0">
          <color rgb="FFFFFFFF"/>
        </stop>
        <stop position="1">
          <color rgb="FFE5FFE5"/>
        </stop>
      </gradientFill>
    </fill>
    <fill>
      <gradientFill degree="270">
        <stop position="0">
          <color rgb="FFFFFFFF"/>
        </stop>
        <stop position="1">
          <color rgb="FFDDF2FF"/>
        </stop>
      </gradientFill>
    </fill>
    <fill>
      <gradientFill degree="270">
        <stop position="0">
          <color rgb="FFFFFFFF"/>
        </stop>
        <stop position="1">
          <color rgb="FFE1E1FF"/>
        </stop>
      </gradientFill>
    </fill>
  </fills>
  <borders count="459">
    <border>
      <left/>
      <right/>
      <top/>
      <bottom/>
      <diagonal/>
    </border>
    <border>
      <left style="thin">
        <color rgb="FFDDDDDD"/>
      </left>
      <right style="thin">
        <color rgb="FF808080"/>
      </right>
      <top style="thin">
        <color rgb="FFF8F8F8"/>
      </top>
      <bottom style="thin">
        <color rgb="FF777777"/>
      </bottom>
      <diagonal/>
    </border>
    <border>
      <left style="thin">
        <color rgb="FFDDDDDD"/>
      </left>
      <right/>
      <top style="thin">
        <color rgb="FFF8F8F8"/>
      </top>
      <bottom style="thin">
        <color rgb="FF777777"/>
      </bottom>
      <diagonal/>
    </border>
    <border>
      <left/>
      <right/>
      <top style="thin">
        <color rgb="FFF8F8F8"/>
      </top>
      <bottom style="thin">
        <color rgb="FF777777"/>
      </bottom>
      <diagonal/>
    </border>
    <border>
      <left/>
      <right style="thin">
        <color rgb="FF808080"/>
      </right>
      <top style="thin">
        <color rgb="FFF8F8F8"/>
      </top>
      <bottom style="thin">
        <color rgb="FF777777"/>
      </bottom>
      <diagonal/>
    </border>
    <border>
      <left style="thin">
        <color rgb="FFDDDDDD"/>
      </left>
      <right style="thin">
        <color rgb="FF777777"/>
      </right>
      <top style="thin">
        <color rgb="FFF8F8F8"/>
      </top>
      <bottom/>
      <diagonal/>
    </border>
    <border>
      <left style="thin">
        <color rgb="FF777777"/>
      </left>
      <right style="thin">
        <color rgb="FF777777"/>
      </right>
      <top style="thin">
        <color rgb="FFF8F8F8"/>
      </top>
      <bottom/>
      <diagonal/>
    </border>
    <border>
      <left style="thin">
        <color rgb="FF777777"/>
      </left>
      <right style="thin">
        <color rgb="FF808080"/>
      </right>
      <top style="thin">
        <color rgb="FFF8F8F8"/>
      </top>
      <bottom/>
      <diagonal/>
    </border>
    <border>
      <left style="thin">
        <color rgb="FFDDDDDD"/>
      </left>
      <right style="thin">
        <color rgb="FF777777"/>
      </right>
      <top style="thin">
        <color rgb="FFF8F8F8"/>
      </top>
      <bottom style="thin">
        <color rgb="FF777777"/>
      </bottom>
      <diagonal/>
    </border>
    <border>
      <left style="thin">
        <color rgb="FF777777"/>
      </left>
      <right style="thin">
        <color rgb="FF777777"/>
      </right>
      <top style="thin">
        <color rgb="FFF8F8F8"/>
      </top>
      <bottom style="thin">
        <color rgb="FF777777"/>
      </bottom>
      <diagonal/>
    </border>
    <border>
      <left style="thin">
        <color rgb="FF777777"/>
      </left>
      <right style="thin">
        <color rgb="FF808080"/>
      </right>
      <top style="thin">
        <color rgb="FFF8F8F8"/>
      </top>
      <bottom style="thin">
        <color rgb="FF777777"/>
      </bottom>
      <diagonal/>
    </border>
    <border>
      <left style="thin">
        <color rgb="FFDDDDDD"/>
      </left>
      <right style="thin">
        <color rgb="FF777777"/>
      </right>
      <top style="thin">
        <color rgb="FF777777"/>
      </top>
      <bottom style="thin">
        <color rgb="FF777777"/>
      </bottom>
      <diagonal/>
    </border>
    <border>
      <left style="thin">
        <color rgb="FF777777"/>
      </left>
      <right style="thin">
        <color rgb="FF777777"/>
      </right>
      <top style="thin">
        <color rgb="FF777777"/>
      </top>
      <bottom style="thin">
        <color rgb="FF777777"/>
      </bottom>
      <diagonal/>
    </border>
    <border>
      <left style="thin">
        <color rgb="FF777777"/>
      </left>
      <right style="thin">
        <color rgb="FF808080"/>
      </right>
      <top style="thin">
        <color rgb="FF777777"/>
      </top>
      <bottom style="thin">
        <color rgb="FF777777"/>
      </bottom>
      <diagonal/>
    </border>
    <border>
      <left style="thin">
        <color rgb="FFDDDDDD"/>
      </left>
      <right style="thin">
        <color rgb="FF777777"/>
      </right>
      <top/>
      <bottom style="thin">
        <color rgb="FF777777"/>
      </bottom>
      <diagonal/>
    </border>
    <border>
      <left style="thin">
        <color rgb="FF777777"/>
      </left>
      <right style="thin">
        <color rgb="FF777777"/>
      </right>
      <top/>
      <bottom style="thin">
        <color rgb="FF777777"/>
      </bottom>
      <diagonal/>
    </border>
    <border>
      <left style="thin">
        <color rgb="FF777777"/>
      </left>
      <right style="thin">
        <color rgb="FF808080"/>
      </right>
      <top/>
      <bottom style="thin">
        <color rgb="FF777777"/>
      </bottom>
      <diagonal/>
    </border>
    <border>
      <left style="thin">
        <color rgb="FFDDDDDD"/>
      </left>
      <right style="thin">
        <color rgb="FF808080"/>
      </right>
      <top style="medium">
        <color rgb="FFF8F8F8"/>
      </top>
      <bottom style="thin">
        <color rgb="FF777777"/>
      </bottom>
      <diagonal/>
    </border>
    <border>
      <left style="thin">
        <color rgb="FF777777"/>
      </left>
      <right style="thin">
        <color rgb="FF777777"/>
      </right>
      <top style="thin">
        <color rgb="FFC0C0C0"/>
      </top>
      <bottom style="thin">
        <color rgb="FF777777"/>
      </bottom>
      <diagonal/>
    </border>
    <border>
      <left style="thin">
        <color rgb="FF777777"/>
      </left>
      <right style="thin">
        <color rgb="FF808080"/>
      </right>
      <top style="thin">
        <color rgb="FFC0C0C0"/>
      </top>
      <bottom style="thin">
        <color rgb="FF777777"/>
      </bottom>
      <diagonal/>
    </border>
    <border>
      <left/>
      <right/>
      <top/>
      <bottom style="thin">
        <color auto="1"/>
      </bottom>
      <diagonal/>
    </border>
    <border>
      <left style="thin">
        <color rgb="FFDDDDDD"/>
      </left>
      <right/>
      <top style="medium">
        <color rgb="FFF8F8F8"/>
      </top>
      <bottom style="thin">
        <color rgb="FF777777"/>
      </bottom>
      <diagonal/>
    </border>
    <border>
      <left/>
      <right/>
      <top style="medium">
        <color rgb="FFF8F8F8"/>
      </top>
      <bottom style="thin">
        <color rgb="FF777777"/>
      </bottom>
      <diagonal/>
    </border>
    <border>
      <left/>
      <right style="thin">
        <color rgb="FF808080"/>
      </right>
      <top style="medium">
        <color rgb="FFF8F8F8"/>
      </top>
      <bottom style="thin">
        <color rgb="FF777777"/>
      </bottom>
      <diagonal/>
    </border>
    <border>
      <left style="thin">
        <color rgb="FFDDDDDD"/>
      </left>
      <right style="thin">
        <color rgb="FF808080"/>
      </right>
      <top style="thin">
        <color rgb="FFF8F8F8"/>
      </top>
      <bottom/>
      <diagonal/>
    </border>
    <border>
      <left/>
      <right style="hair">
        <color indexed="64"/>
      </right>
      <top style="thin">
        <color rgb="FFF8F8F8"/>
      </top>
      <bottom/>
      <diagonal/>
    </border>
    <border>
      <left style="hair">
        <color indexed="64"/>
      </left>
      <right style="hair">
        <color indexed="64"/>
      </right>
      <top style="thin">
        <color rgb="FFF8F8F8"/>
      </top>
      <bottom/>
      <diagonal/>
    </border>
    <border>
      <left style="hair">
        <color indexed="64"/>
      </left>
      <right style="thin">
        <color rgb="FF808080"/>
      </right>
      <top style="thin">
        <color rgb="FFF8F8F8"/>
      </top>
      <bottom/>
      <diagonal/>
    </border>
    <border>
      <left style="thin">
        <color rgb="FFDDDDDD"/>
      </left>
      <right style="thin">
        <color rgb="FF808080"/>
      </right>
      <top style="thin">
        <color rgb="FF777777"/>
      </top>
      <bottom style="thin">
        <color rgb="FF777777"/>
      </bottom>
      <diagonal/>
    </border>
    <border>
      <left style="thin">
        <color rgb="FF808080"/>
      </left>
      <right style="hair">
        <color rgb="FF808080"/>
      </right>
      <top style="thin">
        <color rgb="FF777777"/>
      </top>
      <bottom style="thin">
        <color rgb="FF777777"/>
      </bottom>
      <diagonal/>
    </border>
    <border>
      <left style="hair">
        <color rgb="FF808080"/>
      </left>
      <right style="hair">
        <color rgb="FF808080"/>
      </right>
      <top style="thin">
        <color rgb="FF777777"/>
      </top>
      <bottom style="thin">
        <color rgb="FF777777"/>
      </bottom>
      <diagonal/>
    </border>
    <border>
      <left/>
      <right style="thin">
        <color rgb="FF808080"/>
      </right>
      <top style="thin">
        <color rgb="FF777777"/>
      </top>
      <bottom style="thin">
        <color rgb="FF777777"/>
      </bottom>
      <diagonal/>
    </border>
    <border>
      <left style="thin">
        <color rgb="FFDDDDDD"/>
      </left>
      <right style="thin">
        <color rgb="FF808080"/>
      </right>
      <top style="thin">
        <color rgb="FF777777"/>
      </top>
      <bottom/>
      <diagonal/>
    </border>
    <border>
      <left style="thin">
        <color rgb="FF808080"/>
      </left>
      <right/>
      <top style="thin">
        <color rgb="FFF8F8F8"/>
      </top>
      <bottom style="thin">
        <color rgb="FF808080"/>
      </bottom>
      <diagonal/>
    </border>
    <border>
      <left/>
      <right/>
      <top style="thin">
        <color rgb="FFF8F8F8"/>
      </top>
      <bottom style="thin">
        <color rgb="FF808080"/>
      </bottom>
      <diagonal/>
    </border>
    <border>
      <left/>
      <right style="thin">
        <color rgb="FF808080"/>
      </right>
      <top style="thin">
        <color rgb="FFF8F8F8"/>
      </top>
      <bottom style="thin">
        <color rgb="FF808080"/>
      </bottom>
      <diagonal/>
    </border>
    <border>
      <left style="thin">
        <color rgb="FFDDDDDD"/>
      </left>
      <right style="thin">
        <color rgb="FF808080"/>
      </right>
      <top/>
      <bottom/>
      <diagonal/>
    </border>
    <border>
      <left style="thin">
        <color rgb="FF808080"/>
      </left>
      <right/>
      <top style="thin">
        <color rgb="FF808080"/>
      </top>
      <bottom style="hair">
        <color rgb="FF808080"/>
      </bottom>
      <diagonal/>
    </border>
    <border>
      <left/>
      <right style="thin">
        <color rgb="FF808080"/>
      </right>
      <top style="thin">
        <color rgb="FF808080"/>
      </top>
      <bottom style="hair">
        <color rgb="FF808080"/>
      </bottom>
      <diagonal/>
    </border>
    <border>
      <left/>
      <right/>
      <top style="thin">
        <color rgb="FF808080"/>
      </top>
      <bottom style="hair">
        <color rgb="FF808080"/>
      </bottom>
      <diagonal/>
    </border>
    <border>
      <left style="thin">
        <color rgb="FFDDDDDD"/>
      </left>
      <right style="thin">
        <color rgb="FF808080"/>
      </right>
      <top/>
      <bottom style="thin">
        <color rgb="FF777777"/>
      </bottom>
      <diagonal/>
    </border>
    <border>
      <left style="thin">
        <color rgb="FF808080"/>
      </left>
      <right style="thin">
        <color rgb="FF808080"/>
      </right>
      <top/>
      <bottom style="thin">
        <color rgb="FF777777"/>
      </bottom>
      <diagonal/>
    </border>
    <border>
      <left/>
      <right style="thin">
        <color rgb="FF808080"/>
      </right>
      <top/>
      <bottom style="thin">
        <color rgb="FF808080"/>
      </bottom>
      <diagonal/>
    </border>
    <border>
      <left style="thin">
        <color rgb="FF808080"/>
      </left>
      <right style="thin">
        <color rgb="FF808080"/>
      </right>
      <top/>
      <bottom style="thin">
        <color rgb="FF808080"/>
      </bottom>
      <diagonal/>
    </border>
    <border>
      <left style="thin">
        <color rgb="FF808080"/>
      </left>
      <right/>
      <top/>
      <bottom style="thin">
        <color rgb="FF777777"/>
      </bottom>
      <diagonal/>
    </border>
    <border>
      <left/>
      <right/>
      <top/>
      <bottom style="thin">
        <color rgb="FF777777"/>
      </bottom>
      <diagonal/>
    </border>
    <border>
      <left/>
      <right style="thin">
        <color rgb="FF808080"/>
      </right>
      <top/>
      <bottom style="thin">
        <color rgb="FF777777"/>
      </bottom>
      <diagonal/>
    </border>
    <border>
      <left/>
      <right style="hair">
        <color indexed="64"/>
      </right>
      <top/>
      <bottom style="thin">
        <color rgb="FF777777"/>
      </bottom>
      <diagonal/>
    </border>
    <border>
      <left style="hair">
        <color indexed="64"/>
      </left>
      <right style="thin">
        <color rgb="FF808080"/>
      </right>
      <top/>
      <bottom style="thin">
        <color rgb="FF777777"/>
      </bottom>
      <diagonal/>
    </border>
    <border>
      <left/>
      <right style="thin">
        <color rgb="FF808080"/>
      </right>
      <top/>
      <bottom style="thin">
        <color indexed="64"/>
      </bottom>
      <diagonal/>
    </border>
    <border>
      <left/>
      <right style="thin">
        <color rgb="FF808080"/>
      </right>
      <top/>
      <bottom/>
      <diagonal/>
    </border>
    <border>
      <left style="thin">
        <color rgb="FF808080"/>
      </left>
      <right style="thin">
        <color rgb="FF777777"/>
      </right>
      <top style="thin">
        <color rgb="FF777777"/>
      </top>
      <bottom/>
      <diagonal/>
    </border>
    <border>
      <left style="thin">
        <color rgb="FF777777"/>
      </left>
      <right style="thin">
        <color rgb="FF777777"/>
      </right>
      <top/>
      <bottom/>
      <diagonal/>
    </border>
    <border>
      <left/>
      <right style="thin">
        <color rgb="FF777777"/>
      </right>
      <top/>
      <bottom style="thin">
        <color rgb="FF777777"/>
      </bottom>
      <diagonal/>
    </border>
    <border>
      <left style="thin">
        <color rgb="FF777777"/>
      </left>
      <right style="thin">
        <color rgb="FF777777"/>
      </right>
      <top style="thin">
        <color rgb="FF777777"/>
      </top>
      <bottom/>
      <diagonal/>
    </border>
    <border>
      <left style="thin">
        <color rgb="FF808080"/>
      </left>
      <right style="thin">
        <color rgb="FF777777"/>
      </right>
      <top/>
      <bottom/>
      <diagonal/>
    </border>
    <border diagonalUp="1">
      <left style="thin">
        <color rgb="FF777777"/>
      </left>
      <right style="thin">
        <color rgb="FF777777"/>
      </right>
      <top style="thin">
        <color rgb="FF777777"/>
      </top>
      <bottom style="thin">
        <color rgb="FF777777"/>
      </bottom>
      <diagonal style="thin">
        <color rgb="FF777777"/>
      </diagonal>
    </border>
    <border>
      <left style="thin">
        <color rgb="FF808080"/>
      </left>
      <right style="thin">
        <color rgb="FF777777"/>
      </right>
      <top/>
      <bottom style="thin">
        <color rgb="FF777777"/>
      </bottom>
      <diagonal/>
    </border>
    <border>
      <left style="thin">
        <color rgb="FF808080"/>
      </left>
      <right/>
      <top style="thin">
        <color rgb="FFF8F8F8"/>
      </top>
      <bottom style="thin">
        <color rgb="FF777777"/>
      </bottom>
      <diagonal/>
    </border>
    <border>
      <left style="thin">
        <color rgb="FF808080"/>
      </left>
      <right/>
      <top style="thin">
        <color rgb="FFF8F8F8"/>
      </top>
      <bottom/>
      <diagonal/>
    </border>
    <border>
      <left style="thin">
        <color rgb="FF808080"/>
      </left>
      <right style="thin">
        <color rgb="FF808080"/>
      </right>
      <top style="thin">
        <color rgb="FFF8F8F8"/>
      </top>
      <bottom/>
      <diagonal/>
    </border>
    <border>
      <left/>
      <right style="thin">
        <color rgb="FF808080"/>
      </right>
      <top style="thin">
        <color rgb="FFF8F8F8"/>
      </top>
      <bottom/>
      <diagonal/>
    </border>
    <border>
      <left style="thin">
        <color rgb="FFDDDDDD"/>
      </left>
      <right/>
      <top style="thin">
        <color rgb="FF777777"/>
      </top>
      <bottom style="thin">
        <color rgb="FF777777"/>
      </bottom>
      <diagonal/>
    </border>
    <border>
      <left style="thin">
        <color rgb="FF808080"/>
      </left>
      <right/>
      <top style="thin">
        <color rgb="FF777777"/>
      </top>
      <bottom style="thin">
        <color rgb="FF777777"/>
      </bottom>
      <diagonal/>
    </border>
    <border>
      <left style="thin">
        <color rgb="FF808080"/>
      </left>
      <right style="thin">
        <color rgb="FF808080"/>
      </right>
      <top style="thin">
        <color rgb="FF777777"/>
      </top>
      <bottom style="thin">
        <color rgb="FF777777"/>
      </bottom>
      <diagonal/>
    </border>
    <border>
      <left/>
      <right/>
      <top style="thin">
        <color rgb="FF777777"/>
      </top>
      <bottom style="thin">
        <color rgb="FF777777"/>
      </bottom>
      <diagonal/>
    </border>
    <border>
      <left style="hair">
        <color indexed="64"/>
      </left>
      <right style="hair">
        <color indexed="64"/>
      </right>
      <top/>
      <bottom/>
      <diagonal/>
    </border>
    <border>
      <left style="thin">
        <color rgb="FFDDDDDD"/>
      </left>
      <right style="thin">
        <color rgb="FF808080"/>
      </right>
      <top style="thin">
        <color rgb="FF777777"/>
      </top>
      <bottom style="hair">
        <color indexed="64"/>
      </bottom>
      <diagonal/>
    </border>
    <border>
      <left/>
      <right style="hair">
        <color indexed="64"/>
      </right>
      <top style="thin">
        <color rgb="FF777777"/>
      </top>
      <bottom style="hair">
        <color indexed="64"/>
      </bottom>
      <diagonal/>
    </border>
    <border>
      <left style="hair">
        <color indexed="64"/>
      </left>
      <right style="hair">
        <color indexed="64"/>
      </right>
      <top style="thin">
        <color rgb="FF777777"/>
      </top>
      <bottom style="hair">
        <color indexed="64"/>
      </bottom>
      <diagonal/>
    </border>
    <border>
      <left style="hair">
        <color indexed="64"/>
      </left>
      <right style="thin">
        <color rgb="FF808080"/>
      </right>
      <top style="thin">
        <color rgb="FF777777"/>
      </top>
      <bottom style="hair">
        <color indexed="64"/>
      </bottom>
      <diagonal/>
    </border>
    <border>
      <left style="thin">
        <color rgb="FFDDDDDD"/>
      </left>
      <right style="thin">
        <color rgb="FF808080"/>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rgb="FF808080"/>
      </right>
      <top style="hair">
        <color indexed="64"/>
      </top>
      <bottom style="hair">
        <color indexed="64"/>
      </bottom>
      <diagonal/>
    </border>
    <border>
      <left style="thin">
        <color rgb="FFDDDDDD"/>
      </left>
      <right style="thin">
        <color rgb="FF808080"/>
      </right>
      <top style="hair">
        <color indexed="64"/>
      </top>
      <bottom style="thin">
        <color rgb="FF777777"/>
      </bottom>
      <diagonal/>
    </border>
    <border>
      <left/>
      <right style="hair">
        <color indexed="64"/>
      </right>
      <top style="hair">
        <color indexed="64"/>
      </top>
      <bottom style="thin">
        <color rgb="FF777777"/>
      </bottom>
      <diagonal/>
    </border>
    <border>
      <left style="hair">
        <color indexed="64"/>
      </left>
      <right style="hair">
        <color indexed="64"/>
      </right>
      <top style="hair">
        <color indexed="64"/>
      </top>
      <bottom style="thin">
        <color rgb="FF777777"/>
      </bottom>
      <diagonal/>
    </border>
    <border>
      <left style="hair">
        <color indexed="64"/>
      </left>
      <right style="thin">
        <color rgb="FF808080"/>
      </right>
      <top style="hair">
        <color indexed="64"/>
      </top>
      <bottom style="thin">
        <color rgb="FF777777"/>
      </bottom>
      <diagonal/>
    </border>
    <border>
      <left style="thin">
        <color rgb="FFDDDDDD"/>
      </left>
      <right/>
      <top style="thin">
        <color rgb="FFF8F8F8"/>
      </top>
      <bottom/>
      <diagonal/>
    </border>
    <border>
      <left/>
      <right/>
      <top style="thin">
        <color rgb="FFF8F8F8"/>
      </top>
      <bottom/>
      <diagonal/>
    </border>
    <border>
      <left style="thin">
        <color rgb="FFDDDDDD"/>
      </left>
      <right/>
      <top style="thin">
        <color rgb="FF777777"/>
      </top>
      <bottom style="hair">
        <color indexed="64"/>
      </bottom>
      <diagonal/>
    </border>
    <border>
      <left/>
      <right/>
      <top style="thin">
        <color rgb="FF777777"/>
      </top>
      <bottom style="hair">
        <color indexed="64"/>
      </bottom>
      <diagonal/>
    </border>
    <border>
      <left style="thin">
        <color rgb="FFDDDDDD"/>
      </left>
      <right/>
      <top style="hair">
        <color auto="1"/>
      </top>
      <bottom style="hair">
        <color auto="1"/>
      </bottom>
      <diagonal/>
    </border>
    <border>
      <left/>
      <right/>
      <top style="hair">
        <color indexed="64"/>
      </top>
      <bottom style="hair">
        <color indexed="64"/>
      </bottom>
      <diagonal/>
    </border>
    <border>
      <left style="thin">
        <color rgb="FFDDDDDD"/>
      </left>
      <right/>
      <top style="hair">
        <color indexed="64"/>
      </top>
      <bottom style="thin">
        <color rgb="FF777777"/>
      </bottom>
      <diagonal/>
    </border>
    <border>
      <left/>
      <right/>
      <top style="hair">
        <color indexed="64"/>
      </top>
      <bottom style="thin">
        <color rgb="FF777777"/>
      </bottom>
      <diagonal/>
    </border>
    <border>
      <left/>
      <right/>
      <top style="thin">
        <color rgb="FF777777"/>
      </top>
      <bottom style="thin">
        <color rgb="FFF8F8F8"/>
      </bottom>
      <diagonal/>
    </border>
    <border>
      <left style="thin">
        <color rgb="FFDDDDDD"/>
      </left>
      <right style="thin">
        <color indexed="23"/>
      </right>
      <top style="thin">
        <color rgb="FFF8F8F8"/>
      </top>
      <bottom/>
      <diagonal/>
    </border>
    <border>
      <left style="thin">
        <color indexed="23"/>
      </left>
      <right style="thin">
        <color indexed="23"/>
      </right>
      <top style="thin">
        <color rgb="FFF8F8F8"/>
      </top>
      <bottom/>
      <diagonal/>
    </border>
    <border>
      <left/>
      <right/>
      <top style="thin">
        <color rgb="FFF8F8F8"/>
      </top>
      <bottom style="hair">
        <color auto="1"/>
      </bottom>
      <diagonal/>
    </border>
    <border>
      <left/>
      <right style="thin">
        <color rgb="FF808080"/>
      </right>
      <top style="thin">
        <color rgb="FFF8F8F8"/>
      </top>
      <bottom style="hair">
        <color auto="1"/>
      </bottom>
      <diagonal/>
    </border>
    <border>
      <left style="thin">
        <color rgb="FFDDDDDD"/>
      </left>
      <right style="thin">
        <color indexed="23"/>
      </right>
      <top/>
      <bottom/>
      <diagonal/>
    </border>
    <border>
      <left style="thin">
        <color indexed="23"/>
      </left>
      <right style="thin">
        <color indexed="23"/>
      </right>
      <top/>
      <bottom style="thin">
        <color rgb="FF777777"/>
      </bottom>
      <diagonal/>
    </border>
    <border>
      <left/>
      <right style="thin">
        <color indexed="23"/>
      </right>
      <top style="hair">
        <color auto="1"/>
      </top>
      <bottom/>
      <diagonal/>
    </border>
    <border>
      <left style="thin">
        <color indexed="23"/>
      </left>
      <right style="thin">
        <color indexed="23"/>
      </right>
      <top style="hair">
        <color auto="1"/>
      </top>
      <bottom/>
      <diagonal/>
    </border>
    <border>
      <left style="thin">
        <color rgb="FFDDDDDD"/>
      </left>
      <right style="thin">
        <color indexed="23"/>
      </right>
      <top style="thin">
        <color rgb="FF777777"/>
      </top>
      <bottom style="thin">
        <color indexed="23"/>
      </bottom>
      <diagonal/>
    </border>
    <border>
      <left style="thin">
        <color indexed="23"/>
      </left>
      <right style="thin">
        <color indexed="23"/>
      </right>
      <top style="thin">
        <color rgb="FF777777"/>
      </top>
      <bottom style="thin">
        <color indexed="23"/>
      </bottom>
      <diagonal/>
    </border>
    <border>
      <left/>
      <right style="thin">
        <color rgb="FF808080"/>
      </right>
      <top style="thin">
        <color rgb="FF777777"/>
      </top>
      <bottom style="thin">
        <color indexed="23"/>
      </bottom>
      <diagonal/>
    </border>
    <border>
      <left style="thin">
        <color rgb="FFDDDDDD"/>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right style="thin">
        <color rgb="FF808080"/>
      </right>
      <top style="thin">
        <color indexed="23"/>
      </top>
      <bottom style="thin">
        <color indexed="23"/>
      </bottom>
      <diagonal/>
    </border>
    <border>
      <left style="thin">
        <color rgb="FFDDDDDD"/>
      </left>
      <right/>
      <top/>
      <bottom/>
      <diagonal/>
    </border>
    <border>
      <left style="thin">
        <color rgb="FFDDDDDD"/>
      </left>
      <right/>
      <top/>
      <bottom style="thin">
        <color rgb="FF777777"/>
      </bottom>
      <diagonal/>
    </border>
    <border>
      <left style="thin">
        <color rgb="FFDDDDDD"/>
      </left>
      <right style="hair">
        <color indexed="64"/>
      </right>
      <top style="thin">
        <color rgb="FFF8F8F8"/>
      </top>
      <bottom style="hair">
        <color indexed="64"/>
      </bottom>
      <diagonal/>
    </border>
    <border>
      <left/>
      <right style="hair">
        <color indexed="64"/>
      </right>
      <top style="thin">
        <color rgb="FFF8F8F8"/>
      </top>
      <bottom style="hair">
        <color indexed="64"/>
      </bottom>
      <diagonal/>
    </border>
    <border>
      <left style="thin">
        <color rgb="FFDDDDDD"/>
      </left>
      <right style="hair">
        <color indexed="64"/>
      </right>
      <top/>
      <bottom/>
      <diagonal/>
    </border>
    <border>
      <left/>
      <right style="hair">
        <color indexed="64"/>
      </right>
      <top/>
      <bottom/>
      <diagonal/>
    </border>
    <border>
      <left style="thin">
        <color rgb="FFDDDDDD"/>
      </left>
      <right style="hair">
        <color indexed="64"/>
      </right>
      <top style="thin">
        <color rgb="FF777777"/>
      </top>
      <bottom style="thin">
        <color rgb="FF777777"/>
      </bottom>
      <diagonal/>
    </border>
    <border>
      <left/>
      <right style="hair">
        <color indexed="64"/>
      </right>
      <top style="thin">
        <color rgb="FF777777"/>
      </top>
      <bottom style="thin">
        <color rgb="FF777777"/>
      </bottom>
      <diagonal/>
    </border>
    <border>
      <left style="thin">
        <color rgb="FFDDDDDD"/>
      </left>
      <right style="thin">
        <color rgb="FF808080"/>
      </right>
      <top style="medium">
        <color rgb="FFF8F8F8"/>
      </top>
      <bottom/>
      <diagonal/>
    </border>
    <border>
      <left style="thin">
        <color rgb="FFDDDDDD"/>
      </left>
      <right style="thin">
        <color rgb="FF808080"/>
      </right>
      <top style="thin">
        <color rgb="FF777777"/>
      </top>
      <bottom style="medium">
        <color indexed="23"/>
      </bottom>
      <diagonal/>
    </border>
    <border>
      <left/>
      <right style="hair">
        <color indexed="64"/>
      </right>
      <top style="thin">
        <color rgb="FF777777"/>
      </top>
      <bottom style="medium">
        <color indexed="23"/>
      </bottom>
      <diagonal/>
    </border>
    <border>
      <left style="hair">
        <color indexed="64"/>
      </left>
      <right style="hair">
        <color indexed="64"/>
      </right>
      <top style="thin">
        <color rgb="FF777777"/>
      </top>
      <bottom style="medium">
        <color indexed="23"/>
      </bottom>
      <diagonal/>
    </border>
    <border>
      <left style="hair">
        <color indexed="64"/>
      </left>
      <right style="thin">
        <color rgb="FF808080"/>
      </right>
      <top style="thin">
        <color rgb="FF777777"/>
      </top>
      <bottom style="medium">
        <color indexed="23"/>
      </bottom>
      <diagonal/>
    </border>
    <border>
      <left style="thin">
        <color rgb="FFDDDDDD"/>
      </left>
      <right style="thin">
        <color rgb="FF808080"/>
      </right>
      <top style="medium">
        <color indexed="23"/>
      </top>
      <bottom style="medium">
        <color indexed="23"/>
      </bottom>
      <diagonal/>
    </border>
    <border>
      <left/>
      <right style="hair">
        <color indexed="64"/>
      </right>
      <top style="medium">
        <color indexed="23"/>
      </top>
      <bottom style="medium">
        <color indexed="23"/>
      </bottom>
      <diagonal/>
    </border>
    <border>
      <left style="hair">
        <color indexed="64"/>
      </left>
      <right style="hair">
        <color indexed="64"/>
      </right>
      <top style="medium">
        <color indexed="23"/>
      </top>
      <bottom style="medium">
        <color indexed="23"/>
      </bottom>
      <diagonal/>
    </border>
    <border>
      <left style="hair">
        <color indexed="64"/>
      </left>
      <right style="thin">
        <color rgb="FF808080"/>
      </right>
      <top style="medium">
        <color indexed="23"/>
      </top>
      <bottom style="medium">
        <color indexed="23"/>
      </bottom>
      <diagonal/>
    </border>
    <border>
      <left style="thin">
        <color rgb="FFDDDDDD"/>
      </left>
      <right style="thin">
        <color rgb="FF808080"/>
      </right>
      <top style="medium">
        <color indexed="23"/>
      </top>
      <bottom/>
      <diagonal/>
    </border>
    <border>
      <left/>
      <right style="hair">
        <color indexed="64"/>
      </right>
      <top style="medium">
        <color indexed="23"/>
      </top>
      <bottom style="hair">
        <color indexed="64"/>
      </bottom>
      <diagonal/>
    </border>
    <border>
      <left style="hair">
        <color indexed="64"/>
      </left>
      <right style="hair">
        <color indexed="64"/>
      </right>
      <top style="medium">
        <color indexed="23"/>
      </top>
      <bottom style="hair">
        <color indexed="64"/>
      </bottom>
      <diagonal/>
    </border>
    <border>
      <left style="hair">
        <color indexed="64"/>
      </left>
      <right style="thin">
        <color rgb="FF808080"/>
      </right>
      <top style="medium">
        <color indexed="23"/>
      </top>
      <bottom style="hair">
        <color indexed="64"/>
      </bottom>
      <diagonal/>
    </border>
    <border>
      <left style="thin">
        <color rgb="FFDDDDDD"/>
      </left>
      <right style="thin">
        <color rgb="FF808080"/>
      </right>
      <top/>
      <bottom style="medium">
        <color indexed="23"/>
      </bottom>
      <diagonal/>
    </border>
    <border>
      <left/>
      <right style="hair">
        <color indexed="64"/>
      </right>
      <top style="hair">
        <color indexed="64"/>
      </top>
      <bottom style="medium">
        <color indexed="23"/>
      </bottom>
      <diagonal/>
    </border>
    <border>
      <left style="hair">
        <color indexed="64"/>
      </left>
      <right style="hair">
        <color indexed="64"/>
      </right>
      <top style="hair">
        <color indexed="64"/>
      </top>
      <bottom style="medium">
        <color indexed="23"/>
      </bottom>
      <diagonal/>
    </border>
    <border>
      <left style="hair">
        <color indexed="64"/>
      </left>
      <right style="thin">
        <color rgb="FF808080"/>
      </right>
      <top style="hair">
        <color indexed="64"/>
      </top>
      <bottom style="medium">
        <color indexed="23"/>
      </bottom>
      <diagonal/>
    </border>
    <border>
      <left style="thin">
        <color rgb="FFDDDDDD"/>
      </left>
      <right style="thin">
        <color rgb="FF808080"/>
      </right>
      <top style="medium">
        <color indexed="23"/>
      </top>
      <bottom style="hair">
        <color indexed="64"/>
      </bottom>
      <diagonal/>
    </border>
    <border>
      <left style="thin">
        <color rgb="FFDDDDDD"/>
      </left>
      <right style="thin">
        <color rgb="FF808080"/>
      </right>
      <top style="hair">
        <color indexed="64"/>
      </top>
      <bottom style="medium">
        <color indexed="23"/>
      </bottom>
      <diagonal/>
    </border>
    <border>
      <left style="hair">
        <color indexed="64"/>
      </left>
      <right/>
      <top style="thin">
        <color rgb="FFF8F8F8"/>
      </top>
      <bottom/>
      <diagonal/>
    </border>
    <border>
      <left style="hair">
        <color indexed="64"/>
      </left>
      <right/>
      <top/>
      <bottom/>
      <diagonal/>
    </border>
    <border>
      <left style="hair">
        <color indexed="64"/>
      </left>
      <right style="thin">
        <color rgb="FF808080"/>
      </right>
      <top/>
      <bottom/>
      <diagonal/>
    </border>
    <border>
      <left/>
      <right style="hair">
        <color indexed="64"/>
      </right>
      <top style="thin">
        <color rgb="FF777777"/>
      </top>
      <bottom/>
      <diagonal/>
    </border>
    <border>
      <left/>
      <right style="thin">
        <color rgb="FF808080"/>
      </right>
      <top style="thin">
        <color rgb="FF777777"/>
      </top>
      <bottom/>
      <diagonal/>
    </border>
    <border>
      <left/>
      <right style="hair">
        <color indexed="64"/>
      </right>
      <top/>
      <bottom style="thin">
        <color indexed="64"/>
      </bottom>
      <diagonal/>
    </border>
    <border>
      <left/>
      <right style="hair">
        <color indexed="64"/>
      </right>
      <top/>
      <bottom style="hair">
        <color indexed="64"/>
      </bottom>
      <diagonal/>
    </border>
    <border>
      <left/>
      <right style="thin">
        <color rgb="FF808080"/>
      </right>
      <top/>
      <bottom style="hair">
        <color indexed="64"/>
      </bottom>
      <diagonal/>
    </border>
    <border>
      <left/>
      <right style="thin">
        <color rgb="FF808080"/>
      </right>
      <top style="hair">
        <color indexed="64"/>
      </top>
      <bottom style="thin">
        <color rgb="FF777777"/>
      </bottom>
      <diagonal/>
    </border>
    <border>
      <left style="hair">
        <color indexed="64"/>
      </left>
      <right style="hair">
        <color indexed="64"/>
      </right>
      <top style="thin">
        <color rgb="FF777777"/>
      </top>
      <bottom/>
      <diagonal/>
    </border>
    <border>
      <left/>
      <right/>
      <top style="thin">
        <color rgb="FFF8F8F8"/>
      </top>
      <bottom style="thin">
        <color rgb="FFF8F8F8"/>
      </bottom>
      <diagonal/>
    </border>
    <border>
      <left/>
      <right style="thin">
        <color rgb="FFF8F8F8"/>
      </right>
      <top style="thin">
        <color rgb="FFF8F8F8"/>
      </top>
      <bottom style="thin">
        <color rgb="FFF8F8F8"/>
      </bottom>
      <diagonal/>
    </border>
    <border>
      <left style="thin">
        <color rgb="FFDDDDDD"/>
      </left>
      <right style="hair">
        <color indexed="64"/>
      </right>
      <top style="thin">
        <color rgb="FFF8F8F8"/>
      </top>
      <bottom/>
      <diagonal/>
    </border>
    <border>
      <left style="hair">
        <color indexed="64"/>
      </left>
      <right style="thin">
        <color indexed="64"/>
      </right>
      <top style="thin">
        <color rgb="FFF8F8F8"/>
      </top>
      <bottom/>
      <diagonal/>
    </border>
    <border>
      <left style="thin">
        <color indexed="64"/>
      </left>
      <right style="hair">
        <color indexed="64"/>
      </right>
      <top style="thin">
        <color rgb="FFF8F8F8"/>
      </top>
      <bottom/>
      <diagonal/>
    </border>
    <border>
      <left/>
      <right style="thin">
        <color indexed="64"/>
      </right>
      <top style="thin">
        <color rgb="FFF8F8F8"/>
      </top>
      <bottom/>
      <diagonal/>
    </border>
    <border>
      <left style="thin">
        <color indexed="64"/>
      </left>
      <right/>
      <top style="thin">
        <color rgb="FFF8F8F8"/>
      </top>
      <bottom/>
      <diagonal/>
    </border>
    <border>
      <left style="thin">
        <color indexed="64"/>
      </left>
      <right/>
      <top style="thin">
        <color rgb="FFF8F8F8"/>
      </top>
      <bottom style="thin">
        <color indexed="64"/>
      </bottom>
      <diagonal/>
    </border>
    <border>
      <left/>
      <right/>
      <top style="thin">
        <color rgb="FFF8F8F8"/>
      </top>
      <bottom style="thin">
        <color indexed="64"/>
      </bottom>
      <diagonal/>
    </border>
    <border>
      <left/>
      <right style="thin">
        <color indexed="64"/>
      </right>
      <top style="thin">
        <color rgb="FFF8F8F8"/>
      </top>
      <bottom style="thin">
        <color indexed="64"/>
      </bottom>
      <diagonal/>
    </border>
    <border>
      <left style="thin">
        <color indexed="64"/>
      </left>
      <right/>
      <top style="thin">
        <color rgb="FFF8F8F8"/>
      </top>
      <bottom style="hair">
        <color indexed="64"/>
      </bottom>
      <diagonal/>
    </border>
    <border>
      <left style="thin">
        <color rgb="FFDDDDDD"/>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hair">
        <color indexed="8"/>
      </right>
      <top style="thin">
        <color indexed="64"/>
      </top>
      <bottom style="hair">
        <color indexed="64"/>
      </bottom>
      <diagonal/>
    </border>
    <border>
      <left style="hair">
        <color indexed="8"/>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top/>
      <bottom/>
      <diagonal/>
    </border>
    <border>
      <left/>
      <right style="thin">
        <color rgb="FFF8F8F8"/>
      </right>
      <top/>
      <bottom style="thin">
        <color rgb="FFF8F8F8"/>
      </bottom>
      <diagonal/>
    </border>
    <border>
      <left style="thin">
        <color rgb="FFDDDDDD"/>
      </left>
      <right style="hair">
        <color indexed="64"/>
      </right>
      <top/>
      <bottom style="thin">
        <color rgb="FF777777"/>
      </bottom>
      <diagonal/>
    </border>
    <border>
      <left/>
      <right style="thin">
        <color indexed="64"/>
      </right>
      <top/>
      <bottom style="thin">
        <color rgb="FF777777"/>
      </bottom>
      <diagonal/>
    </border>
    <border>
      <left style="thin">
        <color indexed="64"/>
      </left>
      <right style="hair">
        <color indexed="64"/>
      </right>
      <top style="thin">
        <color indexed="64"/>
      </top>
      <bottom style="thin">
        <color rgb="FF777777"/>
      </bottom>
      <diagonal/>
    </border>
    <border>
      <left/>
      <right style="hair">
        <color indexed="64"/>
      </right>
      <top style="thin">
        <color indexed="64"/>
      </top>
      <bottom style="thin">
        <color rgb="FF777777"/>
      </bottom>
      <diagonal/>
    </border>
    <border>
      <left style="thin">
        <color indexed="64"/>
      </left>
      <right/>
      <top style="thin">
        <color indexed="64"/>
      </top>
      <bottom style="thin">
        <color rgb="FF777777"/>
      </bottom>
      <diagonal/>
    </border>
    <border>
      <left/>
      <right style="hair">
        <color indexed="8"/>
      </right>
      <top style="thin">
        <color indexed="64"/>
      </top>
      <bottom style="thin">
        <color rgb="FF777777"/>
      </bottom>
      <diagonal/>
    </border>
    <border>
      <left style="hair">
        <color indexed="8"/>
      </left>
      <right/>
      <top/>
      <bottom style="thin">
        <color rgb="FF777777"/>
      </bottom>
      <diagonal/>
    </border>
    <border>
      <left style="thin">
        <color indexed="64"/>
      </left>
      <right/>
      <top/>
      <bottom style="thin">
        <color rgb="FF777777"/>
      </bottom>
      <diagonal/>
    </border>
    <border>
      <left/>
      <right style="hair">
        <color indexed="8"/>
      </right>
      <top/>
      <bottom style="thin">
        <color rgb="FF777777"/>
      </bottom>
      <diagonal/>
    </border>
    <border>
      <left style="hair">
        <color indexed="64"/>
      </left>
      <right/>
      <top/>
      <bottom style="thin">
        <color rgb="FF777777"/>
      </bottom>
      <diagonal/>
    </border>
    <border>
      <left/>
      <right/>
      <top style="thin">
        <color rgb="FF777777"/>
      </top>
      <bottom style="medium">
        <color rgb="FFF8F8F8"/>
      </bottom>
      <diagonal/>
    </border>
    <border>
      <left style="thin">
        <color rgb="FF808080"/>
      </left>
      <right/>
      <top/>
      <bottom style="thin">
        <color rgb="FFF8F8F8"/>
      </bottom>
      <diagonal/>
    </border>
    <border>
      <left style="thin">
        <color rgb="FFDDDDDD"/>
      </left>
      <right/>
      <top style="medium">
        <color rgb="FFF8F8F8"/>
      </top>
      <bottom/>
      <diagonal/>
    </border>
    <border>
      <left/>
      <right/>
      <top style="medium">
        <color rgb="FFF8F8F8"/>
      </top>
      <bottom/>
      <diagonal/>
    </border>
    <border>
      <left/>
      <right style="double">
        <color indexed="64"/>
      </right>
      <top style="medium">
        <color rgb="FFF8F8F8"/>
      </top>
      <bottom/>
      <diagonal/>
    </border>
    <border>
      <left style="double">
        <color indexed="64"/>
      </left>
      <right/>
      <top style="medium">
        <color rgb="FFF8F8F8"/>
      </top>
      <bottom style="thin">
        <color indexed="64"/>
      </bottom>
      <diagonal/>
    </border>
    <border>
      <left/>
      <right/>
      <top style="medium">
        <color rgb="FFF8F8F8"/>
      </top>
      <bottom style="thin">
        <color indexed="64"/>
      </bottom>
      <diagonal/>
    </border>
    <border>
      <left/>
      <right style="thin">
        <color rgb="FF808080"/>
      </right>
      <top style="medium">
        <color rgb="FFF8F8F8"/>
      </top>
      <bottom style="thin">
        <color indexed="64"/>
      </bottom>
      <diagonal/>
    </border>
    <border>
      <left style="double">
        <color indexed="64"/>
      </left>
      <right/>
      <top style="medium">
        <color rgb="FFF8F8F8"/>
      </top>
      <bottom/>
      <diagonal/>
    </border>
    <border>
      <left/>
      <right style="thin">
        <color rgb="FF808080"/>
      </right>
      <top style="medium">
        <color rgb="FFF8F8F8"/>
      </top>
      <bottom/>
      <diagonal/>
    </border>
    <border>
      <left/>
      <right style="double">
        <color indexed="64"/>
      </right>
      <top/>
      <bottom style="thin">
        <color rgb="FF777777"/>
      </bottom>
      <diagonal/>
    </border>
    <border>
      <left style="double">
        <color indexed="64"/>
      </left>
      <right/>
      <top/>
      <bottom/>
      <diagonal/>
    </border>
    <border>
      <left style="thin">
        <color indexed="8"/>
      </left>
      <right/>
      <top/>
      <bottom/>
      <diagonal/>
    </border>
    <border>
      <left style="double">
        <color indexed="64"/>
      </left>
      <right/>
      <top style="thin">
        <color indexed="64"/>
      </top>
      <bottom style="thin">
        <color rgb="FF777777"/>
      </bottom>
      <diagonal/>
    </border>
    <border>
      <left/>
      <right/>
      <top style="thin">
        <color indexed="64"/>
      </top>
      <bottom style="thin">
        <color rgb="FF777777"/>
      </bottom>
      <diagonal/>
    </border>
    <border>
      <left/>
      <right style="thin">
        <color indexed="8"/>
      </right>
      <top style="thin">
        <color indexed="64"/>
      </top>
      <bottom style="thin">
        <color rgb="FF777777"/>
      </bottom>
      <diagonal/>
    </border>
    <border>
      <left style="thin">
        <color indexed="8"/>
      </left>
      <right/>
      <top style="thin">
        <color indexed="64"/>
      </top>
      <bottom style="thin">
        <color rgb="FF777777"/>
      </bottom>
      <diagonal/>
    </border>
    <border>
      <left/>
      <right style="hair">
        <color indexed="8"/>
      </right>
      <top style="thin">
        <color rgb="FF777777"/>
      </top>
      <bottom style="thin">
        <color rgb="FF777777"/>
      </bottom>
      <diagonal/>
    </border>
    <border>
      <left style="double">
        <color indexed="64"/>
      </left>
      <right style="hair">
        <color indexed="64"/>
      </right>
      <top style="thin">
        <color rgb="FF777777"/>
      </top>
      <bottom style="thin">
        <color rgb="FF777777"/>
      </bottom>
      <diagonal/>
    </border>
    <border>
      <left style="thin">
        <color indexed="64"/>
      </left>
      <right style="hair">
        <color indexed="64"/>
      </right>
      <top style="thin">
        <color rgb="FF777777"/>
      </top>
      <bottom style="thin">
        <color rgb="FF777777"/>
      </bottom>
      <diagonal/>
    </border>
    <border>
      <left/>
      <right style="hair">
        <color indexed="8"/>
      </right>
      <top/>
      <bottom style="hair">
        <color indexed="64"/>
      </bottom>
      <diagonal/>
    </border>
    <border>
      <left/>
      <right/>
      <top/>
      <bottom style="hair">
        <color indexed="64"/>
      </bottom>
      <diagonal/>
    </border>
    <border>
      <left style="hair">
        <color indexed="8"/>
      </left>
      <right style="hair">
        <color auto="1"/>
      </right>
      <top/>
      <bottom style="hair">
        <color indexed="64"/>
      </bottom>
      <diagonal/>
    </border>
    <border>
      <left style="double">
        <color indexed="64"/>
      </left>
      <right style="hair">
        <color indexed="64"/>
      </right>
      <top/>
      <bottom style="hair">
        <color indexed="64"/>
      </bottom>
      <diagonal/>
    </border>
    <border>
      <left style="thin">
        <color indexed="64"/>
      </left>
      <right style="hair">
        <color indexed="64"/>
      </right>
      <top/>
      <bottom style="hair">
        <color indexed="64"/>
      </bottom>
      <diagonal/>
    </border>
    <border>
      <left/>
      <right style="thin">
        <color rgb="FF808080"/>
      </right>
      <top style="thin">
        <color rgb="FF777777"/>
      </top>
      <bottom style="hair">
        <color indexed="64"/>
      </bottom>
      <diagonal/>
    </border>
    <border>
      <left/>
      <right style="double">
        <color indexed="64"/>
      </right>
      <top/>
      <bottom style="hair">
        <color indexed="64"/>
      </bottom>
      <diagonal/>
    </border>
    <border>
      <left style="double">
        <color indexed="64"/>
      </left>
      <right/>
      <top style="thin">
        <color indexed="64"/>
      </top>
      <bottom/>
      <diagonal/>
    </border>
    <border>
      <left/>
      <right style="thin">
        <color indexed="64"/>
      </right>
      <top style="thin">
        <color indexed="64"/>
      </top>
      <bottom/>
      <diagonal/>
    </border>
    <border>
      <left style="thin">
        <color auto="1"/>
      </left>
      <right/>
      <top style="thin">
        <color auto="1"/>
      </top>
      <bottom/>
      <diagonal/>
    </border>
    <border>
      <left style="thin">
        <color indexed="64"/>
      </left>
      <right/>
      <top style="thin">
        <color rgb="FF777777"/>
      </top>
      <bottom/>
      <diagonal/>
    </border>
    <border>
      <left/>
      <right style="hair">
        <color indexed="8"/>
      </right>
      <top style="hair">
        <color indexed="64"/>
      </top>
      <bottom style="hair">
        <color indexed="64"/>
      </bottom>
      <diagonal/>
    </border>
    <border>
      <left style="hair">
        <color indexed="8"/>
      </left>
      <right style="hair">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rgb="FF808080"/>
      </right>
      <top style="hair">
        <color indexed="64"/>
      </top>
      <bottom style="hair">
        <color indexed="64"/>
      </bottom>
      <diagonal/>
    </border>
    <border>
      <left/>
      <right style="double">
        <color indexed="64"/>
      </right>
      <top style="hair">
        <color indexed="64"/>
      </top>
      <bottom style="hair">
        <color indexed="64"/>
      </bottom>
      <diagonal/>
    </border>
    <border>
      <left/>
      <right style="thin">
        <color indexed="64"/>
      </right>
      <top/>
      <bottom/>
      <diagonal/>
    </border>
    <border>
      <left style="thin">
        <color indexed="64"/>
      </left>
      <right/>
      <top/>
      <bottom/>
      <diagonal/>
    </border>
    <border>
      <left/>
      <right style="thin">
        <color rgb="FF777777"/>
      </right>
      <top style="thin">
        <color rgb="FFF8F8F8"/>
      </top>
      <bottom/>
      <diagonal/>
    </border>
    <border>
      <left style="thin">
        <color rgb="FF777777"/>
      </left>
      <right/>
      <top style="thin">
        <color rgb="FFF8F8F8"/>
      </top>
      <bottom style="thin">
        <color rgb="FF777777"/>
      </bottom>
      <diagonal/>
    </border>
    <border>
      <left/>
      <right style="thin">
        <color rgb="FF777777"/>
      </right>
      <top style="thin">
        <color rgb="FFF8F8F8"/>
      </top>
      <bottom style="thin">
        <color rgb="FF777777"/>
      </bottom>
      <diagonal/>
    </border>
    <border>
      <left style="thin">
        <color rgb="FF777777"/>
      </left>
      <right/>
      <top style="thin">
        <color rgb="FFF8F8F8"/>
      </top>
      <bottom/>
      <diagonal/>
    </border>
    <border>
      <left/>
      <right style="hair">
        <color indexed="8"/>
      </right>
      <top style="hair">
        <color indexed="64"/>
      </top>
      <bottom/>
      <diagonal/>
    </border>
    <border>
      <left/>
      <right/>
      <top style="hair">
        <color indexed="64"/>
      </top>
      <bottom/>
      <diagonal/>
    </border>
    <border>
      <left style="hair">
        <color indexed="8"/>
      </left>
      <right style="hair">
        <color auto="1"/>
      </right>
      <top style="hair">
        <color indexed="64"/>
      </top>
      <bottom style="thin">
        <color indexed="64"/>
      </bottom>
      <diagonal/>
    </border>
    <border>
      <left style="double">
        <color indexed="64"/>
      </left>
      <right style="hair">
        <color indexed="64"/>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style="thin">
        <color rgb="FF808080"/>
      </right>
      <top style="hair">
        <color indexed="64"/>
      </top>
      <bottom/>
      <diagonal/>
    </border>
    <border>
      <left/>
      <right style="double">
        <color indexed="64"/>
      </right>
      <top style="hair">
        <color indexed="64"/>
      </top>
      <bottom/>
      <diagonal/>
    </border>
    <border>
      <left/>
      <right style="thin">
        <color rgb="FF777777"/>
      </right>
      <top style="thin">
        <color rgb="FF777777"/>
      </top>
      <bottom style="thin">
        <color rgb="FF777777"/>
      </bottom>
      <diagonal/>
    </border>
    <border>
      <left style="thin">
        <color rgb="FF777777"/>
      </left>
      <right/>
      <top style="thin">
        <color rgb="FF777777"/>
      </top>
      <bottom style="thin">
        <color rgb="FF777777"/>
      </bottom>
      <diagonal/>
    </border>
    <border>
      <left style="thin">
        <color rgb="FFDDDDDD"/>
      </left>
      <right style="thin">
        <color rgb="FF808080"/>
      </right>
      <top/>
      <bottom style="thin">
        <color indexed="23"/>
      </bottom>
      <diagonal/>
    </border>
    <border>
      <left/>
      <right/>
      <top style="thin">
        <color auto="1"/>
      </top>
      <bottom/>
      <diagonal/>
    </border>
    <border>
      <left style="hair">
        <color indexed="64"/>
      </left>
      <right/>
      <top style="thin">
        <color indexed="64"/>
      </top>
      <bottom/>
      <diagonal/>
    </border>
    <border>
      <left style="hair">
        <color indexed="64"/>
      </left>
      <right style="thin">
        <color rgb="FF808080"/>
      </right>
      <top style="thin">
        <color indexed="64"/>
      </top>
      <bottom/>
      <diagonal/>
    </border>
    <border>
      <left style="double">
        <color indexed="64"/>
      </left>
      <right style="hair">
        <color indexed="64"/>
      </right>
      <top style="thin">
        <color indexed="64"/>
      </top>
      <bottom/>
      <diagonal/>
    </border>
    <border>
      <left style="thin">
        <color indexed="64"/>
      </left>
      <right style="hair">
        <color indexed="64"/>
      </right>
      <top style="thin">
        <color indexed="64"/>
      </top>
      <bottom/>
      <diagonal/>
    </border>
    <border>
      <left style="hair">
        <color indexed="64"/>
      </left>
      <right style="double">
        <color indexed="64"/>
      </right>
      <top style="thin">
        <color indexed="64"/>
      </top>
      <bottom/>
      <diagonal/>
    </border>
    <border>
      <left style="thin">
        <color rgb="FFDDDDDD"/>
      </left>
      <right style="hair">
        <color indexed="64"/>
      </right>
      <top style="thin">
        <color rgb="FFF8F8F8"/>
      </top>
      <bottom style="thin">
        <color rgb="FF777777"/>
      </bottom>
      <diagonal/>
    </border>
    <border>
      <left style="hair">
        <color indexed="64"/>
      </left>
      <right style="hair">
        <color indexed="64"/>
      </right>
      <top style="thin">
        <color rgb="FFF8F8F8"/>
      </top>
      <bottom style="thin">
        <color rgb="FF777777"/>
      </bottom>
      <diagonal/>
    </border>
    <border>
      <left/>
      <right style="hair">
        <color indexed="64"/>
      </right>
      <top style="thin">
        <color rgb="FFF8F8F8"/>
      </top>
      <bottom style="thin">
        <color rgb="FF777777"/>
      </bottom>
      <diagonal/>
    </border>
    <border>
      <left style="hair">
        <color indexed="64"/>
      </left>
      <right/>
      <top style="thin">
        <color rgb="FFF8F8F8"/>
      </top>
      <bottom style="thin">
        <color rgb="FF777777"/>
      </bottom>
      <diagonal/>
    </border>
    <border>
      <left style="double">
        <color indexed="64"/>
      </left>
      <right style="hair">
        <color indexed="64"/>
      </right>
      <top style="thin">
        <color rgb="FFF8F8F8"/>
      </top>
      <bottom style="thin">
        <color rgb="FF777777"/>
      </bottom>
      <diagonal/>
    </border>
    <border>
      <left style="thin">
        <color indexed="8"/>
      </left>
      <right style="hair">
        <color indexed="64"/>
      </right>
      <top style="thin">
        <color rgb="FFF8F8F8"/>
      </top>
      <bottom style="thin">
        <color rgb="FF777777"/>
      </bottom>
      <diagonal/>
    </border>
    <border>
      <left/>
      <right style="double">
        <color indexed="64"/>
      </right>
      <top style="thin">
        <color rgb="FFF8F8F8"/>
      </top>
      <bottom style="thin">
        <color rgb="FF777777"/>
      </bottom>
      <diagonal/>
    </border>
    <border>
      <left style="hair">
        <color indexed="8"/>
      </left>
      <right/>
      <top/>
      <bottom style="hair">
        <color indexed="64"/>
      </bottom>
      <diagonal/>
    </border>
    <border>
      <left style="thin">
        <color indexed="8"/>
      </left>
      <right style="hair">
        <color indexed="64"/>
      </right>
      <top/>
      <bottom style="hair">
        <color indexed="64"/>
      </bottom>
      <diagonal/>
    </border>
    <border>
      <left style="hair">
        <color indexed="8"/>
      </left>
      <right/>
      <top style="hair">
        <color indexed="64"/>
      </top>
      <bottom style="hair">
        <color indexed="64"/>
      </bottom>
      <diagonal/>
    </border>
    <border>
      <left style="thin">
        <color indexed="8"/>
      </left>
      <right style="hair">
        <color indexed="64"/>
      </right>
      <top style="hair">
        <color indexed="64"/>
      </top>
      <bottom style="hair">
        <color indexed="64"/>
      </bottom>
      <diagonal/>
    </border>
    <border diagonalUp="1">
      <left style="thin">
        <color rgb="FF777777"/>
      </left>
      <right style="thin">
        <color rgb="FF808080"/>
      </right>
      <top style="thin">
        <color rgb="FF777777"/>
      </top>
      <bottom style="thin">
        <color rgb="FF777777"/>
      </bottom>
      <diagonal style="thin">
        <color rgb="FF777777"/>
      </diagonal>
    </border>
    <border>
      <left style="hair">
        <color indexed="8"/>
      </left>
      <right/>
      <top style="hair">
        <color indexed="64"/>
      </top>
      <bottom/>
      <diagonal/>
    </border>
    <border>
      <left style="thin">
        <color indexed="8"/>
      </left>
      <right style="hair">
        <color indexed="64"/>
      </right>
      <top style="hair">
        <color indexed="64"/>
      </top>
      <bottom/>
      <diagonal/>
    </border>
    <border>
      <left style="thin">
        <color indexed="8"/>
      </left>
      <right/>
      <top style="thin">
        <color indexed="64"/>
      </top>
      <bottom/>
      <diagonal/>
    </border>
    <border>
      <left style="thin">
        <color indexed="64"/>
      </left>
      <right/>
      <top style="thin">
        <color indexed="64"/>
      </top>
      <bottom/>
      <diagonal/>
    </border>
    <border>
      <left style="thin">
        <color indexed="8"/>
      </left>
      <right style="hair">
        <color indexed="64"/>
      </right>
      <top style="thin">
        <color indexed="64"/>
      </top>
      <bottom/>
      <diagonal/>
    </border>
    <border>
      <left style="thin">
        <color rgb="FFDDDDDD"/>
      </left>
      <right/>
      <top style="thin">
        <color indexed="23"/>
      </top>
      <bottom/>
      <diagonal/>
    </border>
    <border>
      <left style="thin">
        <color indexed="64"/>
      </left>
      <right style="hair">
        <color indexed="64"/>
      </right>
      <top style="thin">
        <color rgb="FFF8F8F8"/>
      </top>
      <bottom style="thin">
        <color rgb="FF777777"/>
      </bottom>
      <diagonal/>
    </border>
    <border>
      <left/>
      <right style="thin">
        <color rgb="FF777777"/>
      </right>
      <top/>
      <bottom/>
      <diagonal/>
    </border>
    <border>
      <left/>
      <right style="thin">
        <color rgb="FF777777"/>
      </right>
      <top style="medium">
        <color rgb="FFF8F8F8"/>
      </top>
      <bottom style="thin">
        <color rgb="FF777777"/>
      </bottom>
      <diagonal/>
    </border>
    <border>
      <left style="thin">
        <color rgb="FF777777"/>
      </left>
      <right style="thin">
        <color rgb="FF808080"/>
      </right>
      <top style="medium">
        <color rgb="FFF8F8F8"/>
      </top>
      <bottom style="thin">
        <color rgb="FF777777"/>
      </bottom>
      <diagonal/>
    </border>
    <border>
      <left style="thin">
        <color rgb="FF808080"/>
      </left>
      <right/>
      <top style="hair">
        <color indexed="64"/>
      </top>
      <bottom style="thin">
        <color indexed="64"/>
      </bottom>
      <diagonal/>
    </border>
    <border>
      <left/>
      <right/>
      <top style="hair">
        <color indexed="64"/>
      </top>
      <bottom style="thin">
        <color indexed="64"/>
      </bottom>
      <diagonal/>
    </border>
    <border>
      <left style="double">
        <color indexed="64"/>
      </left>
      <right style="hair">
        <color indexed="64"/>
      </right>
      <top/>
      <bottom/>
      <diagonal/>
    </border>
    <border>
      <left style="thin">
        <color indexed="64"/>
      </left>
      <right style="hair">
        <color indexed="64"/>
      </right>
      <top/>
      <bottom/>
      <diagonal/>
    </border>
    <border>
      <left style="thin">
        <color indexed="23"/>
      </left>
      <right style="thin">
        <color rgb="FF808080"/>
      </right>
      <top/>
      <bottom/>
      <diagonal/>
    </border>
    <border>
      <left/>
      <right style="double">
        <color indexed="64"/>
      </right>
      <top/>
      <bottom/>
      <diagonal/>
    </border>
    <border>
      <left/>
      <right style="thin">
        <color indexed="64"/>
      </right>
      <top style="thin">
        <color indexed="64"/>
      </top>
      <bottom/>
      <diagonal/>
    </border>
    <border>
      <left/>
      <right style="hair">
        <color indexed="64"/>
      </right>
      <top style="thin">
        <color indexed="64"/>
      </top>
      <bottom/>
      <diagonal/>
    </border>
    <border>
      <left/>
      <right style="thin">
        <color rgb="FF808080"/>
      </right>
      <top style="thin">
        <color indexed="64"/>
      </top>
      <bottom/>
      <diagonal/>
    </border>
    <border>
      <left/>
      <right style="double">
        <color indexed="64"/>
      </right>
      <top style="thin">
        <color indexed="64"/>
      </top>
      <bottom/>
      <diagonal/>
    </border>
    <border>
      <left style="thin">
        <color rgb="FFDDDDDD"/>
      </left>
      <right/>
      <top style="thin">
        <color rgb="FF808080"/>
      </top>
      <bottom/>
      <diagonal/>
    </border>
    <border>
      <left style="hair">
        <color indexed="8"/>
      </left>
      <right/>
      <top style="thin">
        <color rgb="FF777777"/>
      </top>
      <bottom style="hair">
        <color indexed="64"/>
      </bottom>
      <diagonal/>
    </border>
    <border>
      <left style="hair">
        <color indexed="64"/>
      </left>
      <right/>
      <top style="thin">
        <color rgb="FF777777"/>
      </top>
      <bottom style="hair">
        <color indexed="64"/>
      </bottom>
      <diagonal/>
    </border>
    <border>
      <left/>
      <right style="double">
        <color indexed="64"/>
      </right>
      <top style="thin">
        <color rgb="FF777777"/>
      </top>
      <bottom style="hair">
        <color indexed="64"/>
      </bottom>
      <diagonal/>
    </border>
    <border>
      <left style="hair">
        <color indexed="64"/>
      </left>
      <right/>
      <top style="hair">
        <color indexed="64"/>
      </top>
      <bottom style="hair">
        <color indexed="64"/>
      </bottom>
      <diagonal/>
    </border>
    <border>
      <left style="thin">
        <color rgb="FFDDDDDD"/>
      </left>
      <right style="thin">
        <color rgb="FF808080"/>
      </right>
      <top/>
      <bottom style="thin">
        <color rgb="FF808080"/>
      </bottom>
      <diagonal/>
    </border>
    <border>
      <left style="thin">
        <color rgb="FF777777"/>
      </left>
      <right style="thin">
        <color rgb="FF808080"/>
      </right>
      <top/>
      <bottom/>
      <diagonal/>
    </border>
    <border>
      <left style="thin">
        <color rgb="FF808080"/>
      </left>
      <right/>
      <top style="thin">
        <color rgb="FF777777"/>
      </top>
      <bottom style="hair">
        <color indexed="64"/>
      </bottom>
      <diagonal/>
    </border>
    <border>
      <left/>
      <right style="double">
        <color indexed="64"/>
      </right>
      <top style="hair">
        <color indexed="64"/>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rgb="FFDDDDDD"/>
      </left>
      <right/>
      <top style="thin">
        <color rgb="FF777777"/>
      </top>
      <bottom/>
      <diagonal/>
    </border>
    <border>
      <left/>
      <right style="thin">
        <color rgb="FF777777"/>
      </right>
      <top style="thin">
        <color rgb="FF777777"/>
      </top>
      <bottom/>
      <diagonal/>
    </border>
    <border>
      <left style="thin">
        <color rgb="FF777777"/>
      </left>
      <right style="thin">
        <color rgb="FF808080"/>
      </right>
      <top style="thin">
        <color rgb="FF777777"/>
      </top>
      <bottom/>
      <diagonal/>
    </border>
    <border>
      <left style="thin">
        <color rgb="FFDDDDDD"/>
      </left>
      <right style="thin">
        <color rgb="FF808080"/>
      </right>
      <top/>
      <bottom style="double">
        <color indexed="64"/>
      </bottom>
      <diagonal/>
    </border>
    <border>
      <left style="thin">
        <color rgb="FFDDDDDD"/>
      </left>
      <right style="thin">
        <color rgb="FF808080"/>
      </right>
      <top style="thin">
        <color rgb="FF777777"/>
      </top>
      <bottom style="double">
        <color indexed="64"/>
      </bottom>
      <diagonal/>
    </border>
    <border>
      <left style="thin">
        <color rgb="FFDDDDDD"/>
      </left>
      <right/>
      <top/>
      <bottom style="thin">
        <color indexed="64"/>
      </bottom>
      <diagonal/>
    </border>
    <border>
      <left/>
      <right/>
      <top style="double">
        <color indexed="64"/>
      </top>
      <bottom style="thin">
        <color indexed="64"/>
      </bottom>
      <diagonal/>
    </border>
    <border>
      <left style="double">
        <color indexed="64"/>
      </left>
      <right style="hair">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23"/>
      </left>
      <right style="thin">
        <color rgb="FF808080"/>
      </right>
      <top style="double">
        <color indexed="64"/>
      </top>
      <bottom style="thin">
        <color indexed="64"/>
      </bottom>
      <diagonal/>
    </border>
    <border>
      <left/>
      <right style="hair">
        <color indexed="64"/>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rgb="FF777777"/>
      </top>
      <bottom/>
      <diagonal/>
    </border>
    <border>
      <left style="thin">
        <color rgb="FFDDDDDD"/>
      </left>
      <right/>
      <top style="thin">
        <color indexed="64"/>
      </top>
      <bottom style="thin">
        <color indexed="64"/>
      </bottom>
      <diagonal/>
    </border>
    <border>
      <left/>
      <right/>
      <top style="thin">
        <color auto="1"/>
      </top>
      <bottom style="thin">
        <color auto="1"/>
      </bottom>
      <diagonal/>
    </border>
    <border>
      <left style="double">
        <color indexed="64"/>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808080"/>
      </right>
      <top style="thin">
        <color indexed="64"/>
      </top>
      <bottom style="thin">
        <color indexed="64"/>
      </bottom>
      <diagonal/>
    </border>
    <border>
      <left style="double">
        <color indexed="64"/>
      </left>
      <right style="hair">
        <color indexed="64"/>
      </right>
      <top style="thin">
        <color indexed="64"/>
      </top>
      <bottom style="thin">
        <color auto="1"/>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rgb="FFDDDDDD"/>
      </left>
      <right/>
      <top style="thin">
        <color indexed="64"/>
      </top>
      <bottom/>
      <diagonal/>
    </border>
    <border>
      <left style="hair">
        <color indexed="64"/>
      </left>
      <right style="thin">
        <color indexed="64"/>
      </right>
      <top style="thin">
        <color indexed="64"/>
      </top>
      <bottom/>
      <diagonal/>
    </border>
    <border>
      <left style="thin">
        <color indexed="23"/>
      </left>
      <right style="thin">
        <color rgb="FF808080"/>
      </right>
      <top style="thin">
        <color indexed="64"/>
      </top>
      <bottom/>
      <diagonal/>
    </border>
    <border>
      <left style="double">
        <color auto="1"/>
      </left>
      <right style="hair">
        <color auto="1"/>
      </right>
      <top style="thin">
        <color auto="1"/>
      </top>
      <bottom style="thin">
        <color rgb="FFF8F8F8"/>
      </bottom>
      <diagonal/>
    </border>
    <border>
      <left style="thin">
        <color rgb="FFDDDDDD"/>
      </left>
      <right/>
      <top style="medium">
        <color theme="0" tint="-0.14993743705557422"/>
      </top>
      <bottom/>
      <diagonal/>
    </border>
    <border>
      <left style="hair">
        <color indexed="64"/>
      </left>
      <right style="thin">
        <color indexed="64"/>
      </right>
      <top style="thin">
        <color rgb="FFF8F8F8"/>
      </top>
      <bottom style="thin">
        <color rgb="FF777777"/>
      </bottom>
      <diagonal/>
    </border>
    <border>
      <left style="thin">
        <color indexed="23"/>
      </left>
      <right style="thin">
        <color rgb="FF808080"/>
      </right>
      <top style="thin">
        <color rgb="FFF8F8F8"/>
      </top>
      <bottom style="thin">
        <color rgb="FF777777"/>
      </bottom>
      <diagonal/>
    </border>
    <border>
      <left style="hair">
        <color indexed="64"/>
      </left>
      <right style="thin">
        <color indexed="64"/>
      </right>
      <top/>
      <bottom style="hair">
        <color indexed="64"/>
      </bottom>
      <diagonal/>
    </border>
    <border>
      <left style="double">
        <color indexed="64"/>
      </left>
      <right/>
      <top style="thin">
        <color rgb="FF777777"/>
      </top>
      <bottom/>
      <diagonal/>
    </border>
    <border>
      <left/>
      <right style="thin">
        <color indexed="64"/>
      </right>
      <top style="thin">
        <color rgb="FF777777"/>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diagonal/>
    </border>
    <border>
      <left style="thin">
        <color rgb="FFDDDDDD"/>
      </left>
      <right/>
      <top/>
      <bottom style="double">
        <color indexed="64"/>
      </bottom>
      <diagonal/>
    </border>
    <border>
      <left style="thin">
        <color indexed="23"/>
      </left>
      <right/>
      <top style="thin">
        <color indexed="64"/>
      </top>
      <bottom style="double">
        <color indexed="64"/>
      </bottom>
      <diagonal/>
    </border>
    <border>
      <left/>
      <right/>
      <top style="thin">
        <color indexed="64"/>
      </top>
      <bottom style="double">
        <color indexed="64"/>
      </bottom>
      <diagonal/>
    </border>
    <border>
      <left style="double">
        <color indexed="64"/>
      </left>
      <right style="hair">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right style="thin">
        <color rgb="FF808080"/>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rgb="FFDDDDDD"/>
      </left>
      <right style="thin">
        <color rgb="FF777777"/>
      </right>
      <top style="thin">
        <color rgb="FF777777"/>
      </top>
      <bottom/>
      <diagonal/>
    </border>
    <border>
      <left style="thin">
        <color rgb="FFDDDDDD"/>
      </left>
      <right/>
      <top style="double">
        <color indexed="64"/>
      </top>
      <bottom/>
      <diagonal/>
    </border>
    <border>
      <left style="thin">
        <color indexed="23"/>
      </left>
      <right/>
      <top style="double">
        <color indexed="64"/>
      </top>
      <bottom/>
      <diagonal/>
    </border>
    <border>
      <left/>
      <right/>
      <top style="double">
        <color indexed="64"/>
      </top>
      <bottom/>
      <diagonal/>
    </border>
    <border>
      <left style="double">
        <color indexed="64"/>
      </left>
      <right style="hair">
        <color indexed="64"/>
      </right>
      <top style="double">
        <color indexed="64"/>
      </top>
      <bottom/>
      <diagonal/>
    </border>
    <border>
      <left style="thin">
        <color indexed="64"/>
      </left>
      <right style="hair">
        <color indexed="64"/>
      </right>
      <top style="double">
        <color indexed="64"/>
      </top>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diagonal/>
    </border>
    <border>
      <left/>
      <right style="thin">
        <color rgb="FF808080"/>
      </right>
      <top style="double">
        <color indexed="64"/>
      </top>
      <bottom/>
      <diagonal/>
    </border>
    <border>
      <left/>
      <right style="double">
        <color indexed="64"/>
      </right>
      <top style="double">
        <color indexed="64"/>
      </top>
      <bottom/>
      <diagonal/>
    </border>
    <border>
      <left style="thin">
        <color rgb="FFDDDDDD"/>
      </left>
      <right/>
      <top style="thin">
        <color indexed="64"/>
      </top>
      <bottom style="thin">
        <color rgb="FF777777"/>
      </bottom>
      <diagonal/>
    </border>
    <border>
      <left style="thin">
        <color indexed="23"/>
      </left>
      <right/>
      <top style="thin">
        <color indexed="64"/>
      </top>
      <bottom style="thin">
        <color rgb="FF777777"/>
      </bottom>
      <diagonal/>
    </border>
    <border>
      <left style="double">
        <color indexed="64"/>
      </left>
      <right style="hair">
        <color indexed="64"/>
      </right>
      <top style="thin">
        <color indexed="64"/>
      </top>
      <bottom style="thin">
        <color rgb="FF777777"/>
      </bottom>
      <diagonal/>
    </border>
    <border>
      <left/>
      <right style="thin">
        <color indexed="64"/>
      </right>
      <top style="thin">
        <color indexed="64"/>
      </top>
      <bottom style="thin">
        <color rgb="FF777777"/>
      </bottom>
      <diagonal/>
    </border>
    <border>
      <left/>
      <right style="thin">
        <color rgb="FF808080"/>
      </right>
      <top style="thin">
        <color indexed="64"/>
      </top>
      <bottom style="thin">
        <color rgb="FF777777"/>
      </bottom>
      <diagonal/>
    </border>
    <border>
      <left/>
      <right style="double">
        <color indexed="64"/>
      </right>
      <top style="thin">
        <color indexed="64"/>
      </top>
      <bottom style="thin">
        <color rgb="FF777777"/>
      </bottom>
      <diagonal/>
    </border>
    <border>
      <left/>
      <right style="double">
        <color indexed="64"/>
      </right>
      <top style="thin">
        <color rgb="FFF8F8F8"/>
      </top>
      <bottom/>
      <diagonal/>
    </border>
    <border>
      <left style="double">
        <color indexed="64"/>
      </left>
      <right/>
      <top style="thin">
        <color rgb="FFF8F8F8"/>
      </top>
      <bottom style="thin">
        <color indexed="23"/>
      </bottom>
      <diagonal/>
    </border>
    <border>
      <left/>
      <right/>
      <top style="thin">
        <color rgb="FFF8F8F8"/>
      </top>
      <bottom style="thin">
        <color indexed="23"/>
      </bottom>
      <diagonal/>
    </border>
    <border>
      <left style="thin">
        <color indexed="8"/>
      </left>
      <right/>
      <top style="thin">
        <color rgb="FFF8F8F8"/>
      </top>
      <bottom style="thin">
        <color indexed="23"/>
      </bottom>
      <diagonal/>
    </border>
    <border>
      <left/>
      <right style="thin">
        <color rgb="FF808080"/>
      </right>
      <top style="thin">
        <color rgb="FFF8F8F8"/>
      </top>
      <bottom style="thin">
        <color indexed="23"/>
      </bottom>
      <diagonal/>
    </border>
    <border>
      <left style="double">
        <color indexed="64"/>
      </left>
      <right style="hair">
        <color indexed="64"/>
      </right>
      <top style="medium">
        <color rgb="FFF8F8F8"/>
      </top>
      <bottom style="thin">
        <color rgb="FF777777"/>
      </bottom>
      <diagonal/>
    </border>
    <border>
      <left/>
      <right style="thin">
        <color indexed="8"/>
      </right>
      <top style="medium">
        <color rgb="FFF8F8F8"/>
      </top>
      <bottom style="thin">
        <color rgb="FF777777"/>
      </bottom>
      <diagonal/>
    </border>
    <border>
      <left style="thin">
        <color indexed="8"/>
      </left>
      <right style="hair">
        <color indexed="64"/>
      </right>
      <top style="medium">
        <color rgb="FFF8F8F8"/>
      </top>
      <bottom style="thin">
        <color rgb="FF777777"/>
      </bottom>
      <diagonal/>
    </border>
    <border>
      <left/>
      <right style="double">
        <color indexed="64"/>
      </right>
      <top style="medium">
        <color rgb="FFF8F8F8"/>
      </top>
      <bottom style="thin">
        <color rgb="FF777777"/>
      </bottom>
      <diagonal/>
    </border>
    <border>
      <left style="thin">
        <color indexed="8"/>
      </left>
      <right style="hair">
        <color indexed="64"/>
      </right>
      <top/>
      <bottom/>
      <diagonal/>
    </border>
    <border>
      <left style="double">
        <color indexed="64"/>
      </left>
      <right style="hair">
        <color indexed="64"/>
      </right>
      <top style="thin">
        <color rgb="FF777777"/>
      </top>
      <bottom style="hair">
        <color indexed="64"/>
      </bottom>
      <diagonal/>
    </border>
    <border>
      <left/>
      <right style="thin">
        <color indexed="64"/>
      </right>
      <top style="thin">
        <color rgb="FF777777"/>
      </top>
      <bottom style="hair">
        <color indexed="64"/>
      </bottom>
      <diagonal/>
    </border>
    <border>
      <left style="thin">
        <color indexed="64"/>
      </left>
      <right style="hair">
        <color indexed="64"/>
      </right>
      <top style="thin">
        <color rgb="FF777777"/>
      </top>
      <bottom style="hair">
        <color indexed="64"/>
      </bottom>
      <diagonal/>
    </border>
    <border>
      <left style="hair">
        <color indexed="64"/>
      </left>
      <right style="thin">
        <color indexed="64"/>
      </right>
      <top style="thin">
        <color rgb="FF777777"/>
      </top>
      <bottom style="hair">
        <color indexed="64"/>
      </bottom>
      <diagonal/>
    </border>
    <border>
      <left style="thin">
        <color rgb="FFDDDDDD"/>
      </left>
      <right/>
      <top/>
      <bottom style="hair">
        <color indexed="64"/>
      </bottom>
      <diagonal/>
    </border>
    <border>
      <left style="double">
        <color indexed="64"/>
      </left>
      <right style="hair">
        <color indexed="64"/>
      </right>
      <top/>
      <bottom style="thin">
        <color rgb="FF777777"/>
      </bottom>
      <diagonal/>
    </border>
    <border>
      <left style="thin">
        <color indexed="64"/>
      </left>
      <right style="hair">
        <color indexed="64"/>
      </right>
      <top/>
      <bottom style="thin">
        <color rgb="FF777777"/>
      </bottom>
      <diagonal/>
    </border>
    <border>
      <left style="double">
        <color indexed="64"/>
      </left>
      <right style="hair">
        <color indexed="64"/>
      </right>
      <top style="hair">
        <color indexed="64"/>
      </top>
      <bottom style="thin">
        <color rgb="FF777777"/>
      </bottom>
      <diagonal/>
    </border>
    <border>
      <left/>
      <right style="thin">
        <color indexed="64"/>
      </right>
      <top style="hair">
        <color indexed="64"/>
      </top>
      <bottom style="thin">
        <color rgb="FF777777"/>
      </bottom>
      <diagonal/>
    </border>
    <border>
      <left style="thin">
        <color indexed="64"/>
      </left>
      <right style="hair">
        <color indexed="64"/>
      </right>
      <top style="hair">
        <color indexed="64"/>
      </top>
      <bottom style="thin">
        <color rgb="FF777777"/>
      </bottom>
      <diagonal/>
    </border>
    <border>
      <left/>
      <right style="double">
        <color auto="1"/>
      </right>
      <top style="hair">
        <color indexed="64"/>
      </top>
      <bottom style="thin">
        <color rgb="FF777777"/>
      </bottom>
      <diagonal/>
    </border>
    <border diagonalUp="1">
      <left style="thin">
        <color indexed="64"/>
      </left>
      <right/>
      <top style="thin">
        <color rgb="FF777777"/>
      </top>
      <bottom style="hair">
        <color indexed="64"/>
      </bottom>
      <diagonal style="thin">
        <color indexed="64"/>
      </diagonal>
    </border>
    <border diagonalUp="1">
      <left/>
      <right style="thin">
        <color rgb="FF808080"/>
      </right>
      <top style="thin">
        <color rgb="FF777777"/>
      </top>
      <bottom style="hair">
        <color indexed="64"/>
      </bottom>
      <diagonal style="thin">
        <color indexed="64"/>
      </diagonal>
    </border>
    <border diagonalUp="1">
      <left style="double">
        <color auto="1"/>
      </left>
      <right/>
      <top style="hair">
        <color indexed="64"/>
      </top>
      <bottom style="thin">
        <color rgb="FF777777"/>
      </bottom>
      <diagonal style="thin">
        <color auto="1"/>
      </diagonal>
    </border>
    <border diagonalUp="1">
      <left/>
      <right/>
      <top style="hair">
        <color indexed="64"/>
      </top>
      <bottom style="thin">
        <color rgb="FF777777"/>
      </bottom>
      <diagonal style="thin">
        <color auto="1"/>
      </diagonal>
    </border>
    <border diagonalUp="1">
      <left/>
      <right style="thin">
        <color indexed="64"/>
      </right>
      <top style="hair">
        <color indexed="64"/>
      </top>
      <bottom style="thin">
        <color rgb="FF777777"/>
      </bottom>
      <diagonal style="thin">
        <color auto="1"/>
      </diagonal>
    </border>
    <border>
      <left style="double">
        <color indexed="64"/>
      </left>
      <right/>
      <top style="medium">
        <color rgb="FFF8F8F8"/>
      </top>
      <bottom style="thin">
        <color rgb="FF777777"/>
      </bottom>
      <diagonal/>
    </border>
    <border>
      <left/>
      <right style="thin">
        <color indexed="64"/>
      </right>
      <top style="medium">
        <color rgb="FFF8F8F8"/>
      </top>
      <bottom style="thin">
        <color rgb="FF777777"/>
      </bottom>
      <diagonal/>
    </border>
    <border>
      <left style="double">
        <color indexed="64"/>
      </left>
      <right/>
      <top style="hair">
        <color indexed="64"/>
      </top>
      <bottom style="hair">
        <color indexed="64"/>
      </bottom>
      <diagonal/>
    </border>
    <border>
      <left style="thin">
        <color indexed="64"/>
      </left>
      <right/>
      <top style="hair">
        <color indexed="64"/>
      </top>
      <bottom style="hair">
        <color indexed="64"/>
      </bottom>
      <diagonal/>
    </border>
    <border>
      <left style="double">
        <color auto="1"/>
      </left>
      <right/>
      <top style="hair">
        <color indexed="64"/>
      </top>
      <bottom style="thin">
        <color rgb="FF777777"/>
      </bottom>
      <diagonal/>
    </border>
    <border>
      <left style="thin">
        <color indexed="64"/>
      </left>
      <right/>
      <top style="hair">
        <color indexed="64"/>
      </top>
      <bottom style="thin">
        <color rgb="FF777777"/>
      </bottom>
      <diagonal/>
    </border>
    <border>
      <left style="thin">
        <color auto="1"/>
      </left>
      <right/>
      <top style="thin">
        <color auto="1"/>
      </top>
      <bottom/>
      <diagonal/>
    </border>
    <border>
      <left style="thin">
        <color rgb="FFDDDDDD"/>
      </left>
      <right/>
      <top style="thin">
        <color indexed="23"/>
      </top>
      <bottom/>
      <diagonal/>
    </border>
    <border>
      <left/>
      <right style="thin">
        <color indexed="64"/>
      </right>
      <top style="thin">
        <color indexed="64"/>
      </top>
      <bottom/>
      <diagonal/>
    </border>
    <border>
      <left/>
      <right style="hair">
        <color indexed="64"/>
      </right>
      <top style="thin">
        <color indexed="64"/>
      </top>
      <bottom/>
      <diagonal/>
    </border>
    <border>
      <left/>
      <right style="thin">
        <color rgb="FF808080"/>
      </right>
      <top style="thin">
        <color indexed="64"/>
      </top>
      <bottom/>
      <diagonal/>
    </border>
    <border>
      <left/>
      <right style="double">
        <color indexed="64"/>
      </right>
      <top style="thin">
        <color indexed="64"/>
      </top>
      <bottom/>
      <diagonal/>
    </border>
    <border>
      <left style="thin">
        <color auto="1"/>
      </left>
      <right/>
      <top style="thin">
        <color auto="1"/>
      </top>
      <bottom style="thin">
        <color auto="1"/>
      </bottom>
      <diagonal/>
    </border>
    <border>
      <left/>
      <right style="thin">
        <color rgb="FF808080"/>
      </right>
      <top style="thin">
        <color indexed="64"/>
      </top>
      <bottom style="thin">
        <color indexed="64"/>
      </bottom>
      <diagonal/>
    </border>
    <border>
      <left style="hair">
        <color indexed="64"/>
      </left>
      <right style="hair">
        <color indexed="64"/>
      </right>
      <top/>
      <bottom style="thin">
        <color rgb="FF777777"/>
      </bottom>
      <diagonal/>
    </border>
    <border>
      <left style="thin">
        <color indexed="64"/>
      </left>
      <right style="thin">
        <color indexed="64"/>
      </right>
      <top/>
      <bottom style="thin">
        <color rgb="FF777777"/>
      </bottom>
      <diagonal/>
    </border>
    <border>
      <left style="hair">
        <color indexed="64"/>
      </left>
      <right style="thin">
        <color indexed="64"/>
      </right>
      <top/>
      <bottom style="thin">
        <color rgb="FF777777"/>
      </bottom>
      <diagonal/>
    </border>
    <border>
      <left style="hair">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rgb="FFDDDDDD"/>
      </left>
      <right style="hair">
        <color indexed="64"/>
      </right>
      <top/>
      <bottom style="hair">
        <color indexed="64"/>
      </bottom>
      <diagonal/>
    </border>
    <border>
      <left style="thin">
        <color indexed="64"/>
      </left>
      <right style="thin">
        <color indexed="64"/>
      </right>
      <top style="thin">
        <color rgb="FF777777"/>
      </top>
      <bottom style="hair">
        <color indexed="64"/>
      </bottom>
      <diagonal/>
    </border>
    <border>
      <left style="thin">
        <color rgb="FFDDDDDD"/>
      </left>
      <right style="hair">
        <color indexed="64"/>
      </right>
      <top style="thin">
        <color rgb="FF777777"/>
      </top>
      <bottom style="hair">
        <color indexed="64"/>
      </bottom>
      <diagonal/>
    </border>
    <border>
      <left style="thin">
        <color rgb="FF777777"/>
      </left>
      <right/>
      <top/>
      <bottom style="thin">
        <color rgb="FF777777"/>
      </bottom>
      <diagonal/>
    </border>
    <border>
      <left style="thin">
        <color rgb="FF777777"/>
      </left>
      <right style="thin">
        <color rgb="FF808080"/>
      </right>
      <top style="medium">
        <color rgb="FFF8F8F8"/>
      </top>
      <bottom/>
      <diagonal/>
    </border>
    <border>
      <left style="thin">
        <color rgb="FF777777"/>
      </left>
      <right style="thin">
        <color rgb="FF777777"/>
      </right>
      <top style="medium">
        <color rgb="FFF8F8F8"/>
      </top>
      <bottom/>
      <diagonal/>
    </border>
    <border>
      <left style="thin">
        <color rgb="FFDDDDDD"/>
      </left>
      <right style="thin">
        <color rgb="FF777777"/>
      </right>
      <top style="medium">
        <color rgb="FFF8F8F8"/>
      </top>
      <bottom/>
      <diagonal/>
    </border>
    <border>
      <left style="thin">
        <color rgb="FF777777"/>
      </left>
      <right/>
      <top style="medium">
        <color rgb="FFF8F8F8"/>
      </top>
      <bottom/>
      <diagonal/>
    </border>
    <border>
      <left/>
      <right style="thin">
        <color rgb="FF777777"/>
      </right>
      <top style="medium">
        <color rgb="FFF8F8F8"/>
      </top>
      <bottom/>
      <diagonal/>
    </border>
    <border>
      <left style="hair">
        <color indexed="64"/>
      </left>
      <right style="hair">
        <color indexed="64"/>
      </right>
      <top style="hair">
        <color indexed="64"/>
      </top>
      <bottom/>
      <diagonal/>
    </border>
    <border>
      <left style="thin">
        <color indexed="64"/>
      </left>
      <right style="thin">
        <color indexed="64"/>
      </right>
      <top/>
      <bottom/>
      <diagonal/>
    </border>
    <border>
      <left style="hair">
        <color indexed="64"/>
      </left>
      <right style="thin">
        <color indexed="64"/>
      </right>
      <top style="hair">
        <color indexed="64"/>
      </top>
      <bottom/>
      <diagonal/>
    </border>
    <border>
      <left/>
      <right style="thin">
        <color indexed="64"/>
      </right>
      <top style="thin">
        <color rgb="FFF8F8F8"/>
      </top>
      <bottom style="hair">
        <color indexed="64"/>
      </bottom>
      <diagonal/>
    </border>
    <border>
      <left style="thin">
        <color indexed="64"/>
      </left>
      <right style="thin">
        <color indexed="64"/>
      </right>
      <top style="thin">
        <color rgb="FFF8F8F8"/>
      </top>
      <bottom/>
      <diagonal/>
    </border>
    <border>
      <left style="thin">
        <color rgb="FF777777"/>
      </left>
      <right style="thin">
        <color rgb="FF777777"/>
      </right>
      <top style="medium">
        <color rgb="FFF8F8F8"/>
      </top>
      <bottom style="thin">
        <color rgb="FF777777"/>
      </bottom>
      <diagonal/>
    </border>
    <border>
      <left style="thin">
        <color rgb="FFDDDDDD"/>
      </left>
      <right style="thin">
        <color rgb="FF777777"/>
      </right>
      <top style="medium">
        <color rgb="FFF8F8F8"/>
      </top>
      <bottom style="thin">
        <color rgb="FF777777"/>
      </bottom>
      <diagonal/>
    </border>
    <border>
      <left/>
      <right/>
      <top style="double">
        <color rgb="FF777777"/>
      </top>
      <bottom style="thin">
        <color rgb="FF777777"/>
      </bottom>
      <diagonal/>
    </border>
    <border>
      <left style="thin">
        <color rgb="FFDDDDDD"/>
      </left>
      <right/>
      <top style="double">
        <color rgb="FF777777"/>
      </top>
      <bottom style="thin">
        <color rgb="FF777777"/>
      </bottom>
      <diagonal/>
    </border>
    <border>
      <left style="hair">
        <color rgb="FF000000"/>
      </left>
      <right/>
      <top style="double">
        <color rgb="FF777777"/>
      </top>
      <bottom style="thin">
        <color rgb="FF777777"/>
      </bottom>
      <diagonal/>
    </border>
    <border>
      <left style="thin">
        <color rgb="FF000000"/>
      </left>
      <right/>
      <top style="double">
        <color rgb="FF777777"/>
      </top>
      <bottom style="thin">
        <color rgb="FF777777"/>
      </bottom>
      <diagonal/>
    </border>
    <border>
      <left style="hair">
        <color rgb="FF000000"/>
      </left>
      <right style="thin">
        <color rgb="FF808080"/>
      </right>
      <top style="double">
        <color rgb="FF777777"/>
      </top>
      <bottom style="thin">
        <color rgb="FF777777"/>
      </bottom>
      <diagonal/>
    </border>
    <border>
      <left/>
      <right style="hair">
        <color rgb="FF000000"/>
      </right>
      <top style="double">
        <color rgb="FF777777"/>
      </top>
      <bottom style="thin">
        <color rgb="FF777777"/>
      </bottom>
      <diagonal/>
    </border>
    <border>
      <left style="thin">
        <color indexed="64"/>
      </left>
      <right/>
      <top style="hair">
        <color indexed="64"/>
      </top>
      <bottom/>
      <diagonal/>
    </border>
    <border>
      <left/>
      <right/>
      <top/>
      <bottom style="thin">
        <color rgb="FFF8F8F8"/>
      </bottom>
      <diagonal/>
    </border>
    <border>
      <left/>
      <right/>
      <top style="medium">
        <color rgb="FF5F5F5F"/>
      </top>
      <bottom/>
      <diagonal/>
    </border>
    <border>
      <left/>
      <right/>
      <top/>
      <bottom style="medium">
        <color rgb="FF5F5F5F"/>
      </bottom>
      <diagonal/>
    </border>
    <border>
      <left/>
      <right style="thin">
        <color rgb="FFF8F8F8"/>
      </right>
      <top/>
      <bottom style="medium">
        <color rgb="FFF8F8F8"/>
      </bottom>
      <diagonal/>
    </border>
    <border>
      <left style="thin">
        <color rgb="FFDDDDDD"/>
      </left>
      <right/>
      <top/>
      <bottom style="medium">
        <color rgb="FFF8F8F8"/>
      </bottom>
      <diagonal/>
    </border>
    <border>
      <left/>
      <right style="thin">
        <color rgb="FFF8F8F8"/>
      </right>
      <top style="thin">
        <color rgb="FFB2B2B2"/>
      </top>
      <bottom/>
      <diagonal/>
    </border>
    <border>
      <left style="thin">
        <color rgb="FFDDDDDD"/>
      </left>
      <right/>
      <top style="thin">
        <color rgb="FFB2B2B2"/>
      </top>
      <bottom/>
      <diagonal/>
    </border>
    <border>
      <left style="thin">
        <color rgb="FFDDDDDD"/>
      </left>
      <right/>
      <top style="double">
        <color rgb="FF000000"/>
      </top>
      <bottom style="hair">
        <color rgb="FF000000"/>
      </bottom>
      <diagonal/>
    </border>
    <border>
      <left style="hair">
        <color rgb="FF000000"/>
      </left>
      <right/>
      <top style="double">
        <color rgb="FF000000"/>
      </top>
      <bottom style="hair">
        <color rgb="FF000000"/>
      </bottom>
      <diagonal/>
    </border>
    <border>
      <left style="thin">
        <color rgb="FF000000"/>
      </left>
      <right/>
      <top style="double">
        <color rgb="FF000000"/>
      </top>
      <bottom style="hair">
        <color rgb="FF000000"/>
      </bottom>
      <diagonal/>
    </border>
    <border>
      <left style="thin">
        <color rgb="FF000000"/>
      </left>
      <right style="thin">
        <color rgb="FF808080"/>
      </right>
      <top style="double">
        <color rgb="FF000000"/>
      </top>
      <bottom style="hair">
        <color rgb="FF000000"/>
      </bottom>
      <diagonal/>
    </border>
    <border>
      <left/>
      <right/>
      <top style="double">
        <color rgb="FF000000"/>
      </top>
      <bottom style="hair">
        <color rgb="FF000000"/>
      </bottom>
      <diagonal/>
    </border>
    <border>
      <left/>
      <right style="thin">
        <color rgb="FF000000"/>
      </right>
      <top style="double">
        <color rgb="FF000000"/>
      </top>
      <bottom style="hair">
        <color rgb="FF000000"/>
      </bottom>
      <diagonal/>
    </border>
    <border>
      <left style="thin">
        <color indexed="64"/>
      </left>
      <right style="thin">
        <color rgb="FF808080"/>
      </right>
      <top style="thin">
        <color rgb="FFF8F8F8"/>
      </top>
      <bottom/>
      <diagonal/>
    </border>
    <border>
      <left style="thin">
        <color indexed="64"/>
      </left>
      <right style="thin">
        <color rgb="FF808080"/>
      </right>
      <top/>
      <bottom/>
      <diagonal/>
    </border>
    <border>
      <left style="hair">
        <color indexed="64"/>
      </left>
      <right style="thin">
        <color indexed="64"/>
      </right>
      <top style="thin">
        <color rgb="FFDDDDDD"/>
      </top>
      <bottom style="thin">
        <color rgb="FF777777"/>
      </bottom>
      <diagonal/>
    </border>
    <border>
      <left/>
      <right style="hair">
        <color indexed="64"/>
      </right>
      <top style="thin">
        <color rgb="FFDDDDDD"/>
      </top>
      <bottom style="thin">
        <color rgb="FF777777"/>
      </bottom>
      <diagonal/>
    </border>
    <border>
      <left style="thin">
        <color indexed="64"/>
      </left>
      <right style="hair">
        <color indexed="64"/>
      </right>
      <top style="thin">
        <color rgb="FFDDDDDD"/>
      </top>
      <bottom style="thin">
        <color rgb="FF777777"/>
      </bottom>
      <diagonal/>
    </border>
    <border>
      <left/>
      <right style="thin">
        <color indexed="64"/>
      </right>
      <top style="thin">
        <color rgb="FFDDDDDD"/>
      </top>
      <bottom style="thin">
        <color rgb="FF777777"/>
      </bottom>
      <diagonal/>
    </border>
    <border>
      <left/>
      <right style="thin">
        <color rgb="FF808080"/>
      </right>
      <top style="thin">
        <color rgb="FFDDDDDD"/>
      </top>
      <bottom style="thin">
        <color rgb="FF777777"/>
      </bottom>
      <diagonal/>
    </border>
    <border>
      <left style="thin">
        <color rgb="FFDDDDDD"/>
      </left>
      <right/>
      <top style="thin">
        <color rgb="FFDDDDDD"/>
      </top>
      <bottom style="thin">
        <color rgb="FF777777"/>
      </bottom>
      <diagonal/>
    </border>
    <border>
      <left/>
      <right/>
      <top style="thin">
        <color rgb="FFDDDDDD"/>
      </top>
      <bottom style="thin">
        <color rgb="FF777777"/>
      </bottom>
      <diagonal/>
    </border>
    <border>
      <left style="thin">
        <color rgb="FFDDDDDD"/>
      </left>
      <right/>
      <top style="thin">
        <color rgb="FFDDDDDD"/>
      </top>
      <bottom/>
      <diagonal/>
    </border>
    <border>
      <left/>
      <right/>
      <top style="thin">
        <color rgb="FFDDDDDD"/>
      </top>
      <bottom/>
      <diagonal/>
    </border>
    <border>
      <left/>
      <right style="thin">
        <color rgb="FF808080"/>
      </right>
      <top style="thin">
        <color rgb="FFDDDDDD"/>
      </top>
      <bottom/>
      <diagonal/>
    </border>
    <border>
      <left style="thin">
        <color rgb="FFDDDDDD"/>
      </left>
      <right/>
      <top style="hair">
        <color auto="1"/>
      </top>
      <bottom/>
      <diagonal/>
    </border>
    <border>
      <left style="hair">
        <color rgb="FF000000"/>
      </left>
      <right/>
      <top style="hair">
        <color indexed="64"/>
      </top>
      <bottom/>
      <diagonal/>
    </border>
    <border>
      <left/>
      <right style="thin">
        <color rgb="FF000000"/>
      </right>
      <top style="hair">
        <color indexed="64"/>
      </top>
      <bottom/>
      <diagonal/>
    </border>
    <border>
      <left style="thin">
        <color rgb="FF000000"/>
      </left>
      <right/>
      <top style="hair">
        <color indexed="64"/>
      </top>
      <bottom/>
      <diagonal/>
    </border>
    <border>
      <left style="thin">
        <color rgb="FF000000"/>
      </left>
      <right style="thin">
        <color rgb="FF808080"/>
      </right>
      <top style="hair">
        <color indexed="64"/>
      </top>
      <bottom/>
      <diagonal/>
    </border>
    <border>
      <left style="thin">
        <color rgb="FFDDDDDD"/>
      </left>
      <right/>
      <top style="double">
        <color rgb="FF000000"/>
      </top>
      <bottom style="thin">
        <color rgb="FF777777"/>
      </bottom>
      <diagonal/>
    </border>
    <border>
      <left style="hair">
        <color rgb="FF000000"/>
      </left>
      <right/>
      <top style="double">
        <color rgb="FF000000"/>
      </top>
      <bottom style="thin">
        <color rgb="FF777777"/>
      </bottom>
      <diagonal/>
    </border>
    <border>
      <left style="thin">
        <color rgb="FF000000"/>
      </left>
      <right/>
      <top style="double">
        <color rgb="FF000000"/>
      </top>
      <bottom style="thin">
        <color rgb="FF777777"/>
      </bottom>
      <diagonal/>
    </border>
    <border>
      <left style="thin">
        <color rgb="FF000000"/>
      </left>
      <right style="thin">
        <color rgb="FF808080"/>
      </right>
      <top style="double">
        <color rgb="FF000000"/>
      </top>
      <bottom style="thin">
        <color rgb="FF777777"/>
      </bottom>
      <diagonal/>
    </border>
    <border>
      <left style="thin">
        <color rgb="FFDDDDDD"/>
      </left>
      <right/>
      <top style="double">
        <color rgb="FF777777"/>
      </top>
      <bottom/>
      <diagonal/>
    </border>
    <border>
      <left/>
      <right/>
      <top style="double">
        <color rgb="FF777777"/>
      </top>
      <bottom/>
      <diagonal/>
    </border>
    <border>
      <left/>
      <right style="thin">
        <color rgb="FF000000"/>
      </right>
      <top style="double">
        <color rgb="FF777777"/>
      </top>
      <bottom/>
      <diagonal/>
    </border>
    <border>
      <left style="thin">
        <color rgb="FF000000"/>
      </left>
      <right/>
      <top style="double">
        <color rgb="FF777777"/>
      </top>
      <bottom/>
      <diagonal/>
    </border>
    <border>
      <left style="hair">
        <color rgb="FF000000"/>
      </left>
      <right/>
      <top style="double">
        <color rgb="FF777777"/>
      </top>
      <bottom/>
      <diagonal/>
    </border>
    <border>
      <left style="thin">
        <color rgb="FF000000"/>
      </left>
      <right style="thin">
        <color rgb="FF808080"/>
      </right>
      <top style="double">
        <color rgb="FF777777"/>
      </top>
      <bottom/>
      <diagonal/>
    </border>
    <border>
      <left style="thin">
        <color rgb="FF000000"/>
      </left>
      <right/>
      <top style="thin">
        <color rgb="FFDDDDDD"/>
      </top>
      <bottom style="thin">
        <color rgb="FF777777"/>
      </bottom>
      <diagonal/>
    </border>
    <border>
      <left style="hair">
        <color rgb="FF000000"/>
      </left>
      <right/>
      <top style="thin">
        <color rgb="FFDDDDDD"/>
      </top>
      <bottom style="thin">
        <color rgb="FF777777"/>
      </bottom>
      <diagonal/>
    </border>
    <border>
      <left style="thin">
        <color rgb="FF000000"/>
      </left>
      <right style="thin">
        <color rgb="FF808080"/>
      </right>
      <top style="thin">
        <color rgb="FFDDDDDD"/>
      </top>
      <bottom style="thin">
        <color rgb="FF777777"/>
      </bottom>
      <diagonal/>
    </border>
    <border>
      <left/>
      <right style="thin">
        <color rgb="FF000000"/>
      </right>
      <top style="thin">
        <color rgb="FFDDDDDD"/>
      </top>
      <bottom style="thin">
        <color rgb="FF777777"/>
      </bottom>
      <diagonal/>
    </border>
    <border>
      <left style="thin">
        <color rgb="FFDDDDDD"/>
      </left>
      <right/>
      <top style="double">
        <color rgb="FF000000"/>
      </top>
      <bottom/>
      <diagonal/>
    </border>
    <border>
      <left style="hair">
        <color rgb="FF000000"/>
      </left>
      <right/>
      <top style="double">
        <color rgb="FF000000"/>
      </top>
      <bottom/>
      <diagonal/>
    </border>
    <border>
      <left style="thin">
        <color rgb="FF000000"/>
      </left>
      <right/>
      <top style="double">
        <color rgb="FF000000"/>
      </top>
      <bottom/>
      <diagonal/>
    </border>
    <border>
      <left style="thin">
        <color rgb="FF000000"/>
      </left>
      <right style="thin">
        <color rgb="FF808080"/>
      </right>
      <top style="double">
        <color rgb="FF000000"/>
      </top>
      <bottom/>
      <diagonal/>
    </border>
    <border>
      <left style="thin">
        <color rgb="FFDDDDDD"/>
      </left>
      <right style="hair">
        <color rgb="FF000000"/>
      </right>
      <top style="hair">
        <color indexed="64"/>
      </top>
      <bottom/>
      <diagonal/>
    </border>
    <border>
      <left style="hair">
        <color indexed="64"/>
      </left>
      <right/>
      <top style="hair">
        <color indexed="64"/>
      </top>
      <bottom/>
      <diagonal/>
    </border>
  </borders>
  <cellStyleXfs count="20">
    <xf numFmtId="0" fontId="0" fillId="0" borderId="0">
      <alignment vertical="center"/>
    </xf>
    <xf numFmtId="0" fontId="3" fillId="0" borderId="0"/>
    <xf numFmtId="0" fontId="8" fillId="0" borderId="0"/>
    <xf numFmtId="0" fontId="11" fillId="0" borderId="0"/>
    <xf numFmtId="0" fontId="6" fillId="0" borderId="0">
      <alignment vertical="center"/>
    </xf>
    <xf numFmtId="0" fontId="16" fillId="0" borderId="0"/>
    <xf numFmtId="0" fontId="23" fillId="0" borderId="0"/>
    <xf numFmtId="0" fontId="16" fillId="0" borderId="0"/>
    <xf numFmtId="0" fontId="3" fillId="0" borderId="0"/>
    <xf numFmtId="0" fontId="29" fillId="0" borderId="0"/>
    <xf numFmtId="0" fontId="23" fillId="0" borderId="0"/>
    <xf numFmtId="0" fontId="8" fillId="0" borderId="0"/>
    <xf numFmtId="38" fontId="11" fillId="0" borderId="0" applyFont="0" applyFill="0" applyBorder="0" applyAlignment="0" applyProtection="0"/>
    <xf numFmtId="0" fontId="10" fillId="0" borderId="0">
      <alignment vertical="center"/>
    </xf>
    <xf numFmtId="0" fontId="38" fillId="0" borderId="0"/>
    <xf numFmtId="0" fontId="11" fillId="0" borderId="0">
      <alignment vertical="center"/>
    </xf>
    <xf numFmtId="0" fontId="43" fillId="0" borderId="0"/>
    <xf numFmtId="0" fontId="38" fillId="0" borderId="0"/>
    <xf numFmtId="0" fontId="1" fillId="0" borderId="0">
      <alignment vertical="center"/>
    </xf>
    <xf numFmtId="0" fontId="16" fillId="0" borderId="0"/>
  </cellStyleXfs>
  <cellXfs count="1767">
    <xf numFmtId="0" fontId="0" fillId="0" borderId="0" xfId="0">
      <alignment vertical="center"/>
    </xf>
    <xf numFmtId="0" fontId="3" fillId="0" borderId="0" xfId="1" applyFont="1" applyBorder="1" applyAlignment="1" applyProtection="1">
      <alignment vertical="center"/>
      <protection locked="0"/>
    </xf>
    <xf numFmtId="0" fontId="3" fillId="0" borderId="0" xfId="1" applyFont="1" applyBorder="1" applyProtection="1">
      <protection locked="0"/>
    </xf>
    <xf numFmtId="0" fontId="5" fillId="0" borderId="0" xfId="1" applyFont="1" applyAlignment="1" applyProtection="1">
      <alignment horizontal="right"/>
      <protection locked="0"/>
    </xf>
    <xf numFmtId="176" fontId="5" fillId="0" borderId="0" xfId="1" applyNumberFormat="1" applyFont="1" applyProtection="1"/>
    <xf numFmtId="0" fontId="3" fillId="0" borderId="0" xfId="1" applyFont="1" applyProtection="1">
      <protection locked="0"/>
    </xf>
    <xf numFmtId="0" fontId="6" fillId="0" borderId="0" xfId="1" applyFont="1" applyAlignment="1" applyProtection="1">
      <alignment vertical="center"/>
      <protection locked="0"/>
    </xf>
    <xf numFmtId="0" fontId="3" fillId="0" borderId="0" xfId="1" applyNumberFormat="1" applyFont="1" applyProtection="1">
      <protection locked="0"/>
    </xf>
    <xf numFmtId="0" fontId="7" fillId="2" borderId="1" xfId="1" applyFont="1" applyFill="1" applyBorder="1" applyAlignment="1" applyProtection="1">
      <alignment horizontal="center" vertical="center" shrinkToFit="1"/>
      <protection locked="0"/>
    </xf>
    <xf numFmtId="0" fontId="5" fillId="0" borderId="0" xfId="1" applyFont="1" applyAlignment="1" applyProtection="1">
      <alignment vertical="center"/>
      <protection locked="0"/>
    </xf>
    <xf numFmtId="0" fontId="9" fillId="2" borderId="2" xfId="2" applyFont="1" applyFill="1" applyBorder="1" applyAlignment="1" applyProtection="1">
      <alignment horizontal="left" vertical="center" indent="1"/>
      <protection locked="0"/>
    </xf>
    <xf numFmtId="0" fontId="12" fillId="2" borderId="3" xfId="3" applyFont="1" applyFill="1" applyBorder="1" applyAlignment="1">
      <alignment horizontal="center" vertical="center"/>
    </xf>
    <xf numFmtId="0" fontId="12" fillId="2" borderId="3" xfId="3" applyFont="1" applyFill="1" applyBorder="1"/>
    <xf numFmtId="0" fontId="12" fillId="2" borderId="4" xfId="3" applyFont="1" applyFill="1" applyBorder="1" applyAlignment="1">
      <alignment horizontal="center" vertical="center"/>
    </xf>
    <xf numFmtId="0" fontId="12" fillId="0" borderId="0" xfId="3" applyFont="1"/>
    <xf numFmtId="0" fontId="6" fillId="0" borderId="0" xfId="3" applyFont="1"/>
    <xf numFmtId="0" fontId="3" fillId="0" borderId="0" xfId="3" applyFont="1" applyBorder="1" applyAlignment="1">
      <alignment horizontal="center" vertical="center"/>
    </xf>
    <xf numFmtId="0" fontId="6" fillId="0" borderId="0" xfId="3" applyFont="1" applyBorder="1"/>
    <xf numFmtId="0" fontId="6" fillId="0" borderId="0" xfId="3" applyFont="1" applyBorder="1" applyAlignment="1"/>
    <xf numFmtId="0" fontId="6" fillId="0" borderId="0" xfId="3" applyFont="1" applyBorder="1" applyAlignment="1">
      <alignment horizontal="center"/>
    </xf>
    <xf numFmtId="0" fontId="6" fillId="3" borderId="5" xfId="3" applyFont="1" applyFill="1" applyBorder="1" applyAlignment="1">
      <alignment horizontal="center" vertical="center"/>
    </xf>
    <xf numFmtId="0" fontId="6" fillId="3" borderId="6" xfId="3" applyFont="1" applyFill="1" applyBorder="1" applyAlignment="1">
      <alignment horizontal="center" vertical="center"/>
    </xf>
    <xf numFmtId="0" fontId="6" fillId="3" borderId="6" xfId="3" applyFont="1" applyFill="1" applyBorder="1" applyAlignment="1">
      <alignment horizontal="center" vertical="center"/>
    </xf>
    <xf numFmtId="0" fontId="6" fillId="3" borderId="7" xfId="3" applyFont="1" applyFill="1" applyBorder="1" applyAlignment="1">
      <alignment horizontal="center" vertical="center"/>
    </xf>
    <xf numFmtId="0" fontId="6" fillId="3" borderId="8" xfId="3" applyFont="1" applyFill="1" applyBorder="1" applyAlignment="1">
      <alignment horizontal="center" vertical="center"/>
    </xf>
    <xf numFmtId="0" fontId="6" fillId="3" borderId="9" xfId="3" applyFont="1" applyFill="1" applyBorder="1" applyAlignment="1">
      <alignment horizontal="center" vertical="center"/>
    </xf>
    <xf numFmtId="0" fontId="6" fillId="3" borderId="9" xfId="3" applyFont="1" applyFill="1" applyBorder="1" applyAlignment="1">
      <alignment horizontal="center" vertical="center"/>
    </xf>
    <xf numFmtId="0" fontId="6" fillId="3" borderId="10" xfId="3" applyFont="1" applyFill="1" applyBorder="1" applyAlignment="1">
      <alignment horizontal="center" vertical="center"/>
    </xf>
    <xf numFmtId="0" fontId="6" fillId="0" borderId="11" xfId="3" applyFont="1" applyBorder="1" applyAlignment="1">
      <alignment horizontal="center" vertical="center"/>
    </xf>
    <xf numFmtId="0" fontId="6" fillId="0" borderId="12" xfId="3" applyFont="1" applyBorder="1" applyAlignment="1">
      <alignment horizontal="center" vertical="center"/>
    </xf>
    <xf numFmtId="177" fontId="6" fillId="0" borderId="12" xfId="3" applyNumberFormat="1" applyFont="1" applyBorder="1" applyAlignment="1">
      <alignment horizontal="right" vertical="center"/>
    </xf>
    <xf numFmtId="177" fontId="6" fillId="0" borderId="12" xfId="3" applyNumberFormat="1" applyFont="1" applyBorder="1" applyAlignment="1">
      <alignment horizontal="right" vertical="center"/>
    </xf>
    <xf numFmtId="177" fontId="6" fillId="0" borderId="13" xfId="3" applyNumberFormat="1" applyFont="1" applyBorder="1" applyAlignment="1">
      <alignment horizontal="right" vertical="center"/>
    </xf>
    <xf numFmtId="0" fontId="6" fillId="0" borderId="14" xfId="3" applyFont="1" applyBorder="1" applyAlignment="1">
      <alignment horizontal="center" vertical="center"/>
    </xf>
    <xf numFmtId="0" fontId="6" fillId="0" borderId="15" xfId="3" applyFont="1" applyBorder="1" applyAlignment="1">
      <alignment horizontal="center" vertical="center"/>
    </xf>
    <xf numFmtId="177" fontId="6" fillId="0" borderId="15" xfId="3" applyNumberFormat="1" applyFont="1" applyBorder="1" applyAlignment="1">
      <alignment horizontal="right" vertical="center"/>
    </xf>
    <xf numFmtId="177" fontId="6" fillId="0" borderId="16" xfId="3" applyNumberFormat="1" applyFont="1" applyBorder="1" applyAlignment="1">
      <alignment horizontal="right" vertical="center"/>
    </xf>
    <xf numFmtId="0" fontId="14" fillId="4" borderId="17" xfId="4" applyFont="1" applyFill="1" applyBorder="1" applyAlignment="1">
      <alignment horizontal="center" vertical="center"/>
    </xf>
    <xf numFmtId="0" fontId="14" fillId="5" borderId="17" xfId="4" applyFont="1" applyFill="1" applyBorder="1" applyAlignment="1">
      <alignment horizontal="center" vertical="center"/>
    </xf>
    <xf numFmtId="0" fontId="14" fillId="6" borderId="17" xfId="4" applyFont="1" applyFill="1" applyBorder="1" applyAlignment="1">
      <alignment horizontal="center" vertical="center"/>
    </xf>
    <xf numFmtId="0" fontId="15" fillId="3" borderId="5" xfId="3" applyFont="1" applyFill="1" applyBorder="1" applyAlignment="1">
      <alignment horizontal="justify" vertical="justify" wrapText="1"/>
    </xf>
    <xf numFmtId="0" fontId="15" fillId="3" borderId="6" xfId="3" applyFont="1" applyFill="1" applyBorder="1" applyAlignment="1">
      <alignment horizontal="justify" vertical="justify" wrapText="1"/>
    </xf>
    <xf numFmtId="178" fontId="6" fillId="3" borderId="6" xfId="3" applyNumberFormat="1" applyFont="1" applyFill="1" applyBorder="1" applyAlignment="1">
      <alignment horizontal="center" vertical="center"/>
    </xf>
    <xf numFmtId="178" fontId="6" fillId="3" borderId="7" xfId="3" applyNumberFormat="1" applyFont="1" applyFill="1" applyBorder="1" applyAlignment="1">
      <alignment horizontal="center" vertical="center"/>
    </xf>
    <xf numFmtId="0" fontId="6" fillId="0" borderId="11" xfId="3" applyFont="1" applyFill="1" applyBorder="1" applyAlignment="1">
      <alignment horizontal="center" vertical="center"/>
    </xf>
    <xf numFmtId="0" fontId="6" fillId="0" borderId="12" xfId="3" applyFont="1" applyFill="1" applyBorder="1" applyAlignment="1">
      <alignment horizontal="center" vertical="center"/>
    </xf>
    <xf numFmtId="179" fontId="6" fillId="0" borderId="18" xfId="3" applyNumberFormat="1" applyFont="1" applyFill="1" applyBorder="1" applyAlignment="1">
      <alignment horizontal="right" shrinkToFit="1"/>
    </xf>
    <xf numFmtId="179" fontId="6" fillId="0" borderId="19" xfId="3" applyNumberFormat="1" applyFont="1" applyFill="1" applyBorder="1" applyAlignment="1">
      <alignment horizontal="right" shrinkToFit="1"/>
    </xf>
    <xf numFmtId="179" fontId="6" fillId="0" borderId="12" xfId="3" applyNumberFormat="1" applyFont="1" applyFill="1" applyBorder="1" applyAlignment="1">
      <alignment horizontal="right" shrinkToFit="1"/>
    </xf>
    <xf numFmtId="179" fontId="6" fillId="0" borderId="13" xfId="3" applyNumberFormat="1" applyFont="1" applyFill="1" applyBorder="1" applyAlignment="1">
      <alignment horizontal="right" shrinkToFit="1"/>
    </xf>
    <xf numFmtId="0" fontId="17" fillId="2" borderId="3" xfId="5" applyFont="1" applyFill="1" applyBorder="1"/>
    <xf numFmtId="49" fontId="17" fillId="2" borderId="3" xfId="5" applyNumberFormat="1" applyFont="1" applyFill="1" applyBorder="1" applyAlignment="1">
      <alignment horizontal="center"/>
    </xf>
    <xf numFmtId="0" fontId="17" fillId="2" borderId="4" xfId="5" applyFont="1" applyFill="1" applyBorder="1"/>
    <xf numFmtId="0" fontId="17" fillId="0" borderId="0" xfId="5" applyFont="1" applyBorder="1"/>
    <xf numFmtId="0" fontId="14" fillId="0" borderId="0" xfId="5" applyFont="1"/>
    <xf numFmtId="0" fontId="6" fillId="0" borderId="20" xfId="4" applyBorder="1">
      <alignment vertical="center"/>
    </xf>
    <xf numFmtId="0" fontId="6" fillId="0" borderId="0" xfId="4">
      <alignment vertical="center"/>
    </xf>
    <xf numFmtId="0" fontId="18" fillId="0" borderId="0" xfId="5" applyFont="1" applyFill="1" applyBorder="1" applyAlignment="1">
      <alignment horizontal="left" vertical="center" wrapText="1"/>
    </xf>
    <xf numFmtId="0" fontId="14" fillId="7" borderId="21" xfId="5" applyFont="1" applyFill="1" applyBorder="1" applyAlignment="1">
      <alignment horizontal="center" vertical="center"/>
    </xf>
    <xf numFmtId="0" fontId="14" fillId="7" borderId="22" xfId="5" applyFont="1" applyFill="1" applyBorder="1" applyAlignment="1">
      <alignment horizontal="center" vertical="center"/>
    </xf>
    <xf numFmtId="0" fontId="14" fillId="7" borderId="23" xfId="5" applyFont="1" applyFill="1" applyBorder="1" applyAlignment="1">
      <alignment horizontal="center" vertical="center"/>
    </xf>
    <xf numFmtId="0" fontId="14" fillId="0" borderId="0" xfId="5" applyFont="1" applyBorder="1"/>
    <xf numFmtId="49" fontId="14" fillId="0" borderId="0" xfId="5" applyNumberFormat="1" applyFont="1" applyBorder="1" applyAlignment="1">
      <alignment horizontal="center"/>
    </xf>
    <xf numFmtId="0" fontId="14" fillId="0" borderId="0" xfId="5" applyFont="1" applyAlignment="1">
      <alignment horizontal="right"/>
    </xf>
    <xf numFmtId="0" fontId="14" fillId="3" borderId="24" xfId="5" applyFont="1" applyFill="1" applyBorder="1" applyAlignment="1">
      <alignment vertical="center"/>
    </xf>
    <xf numFmtId="178" fontId="14" fillId="3" borderId="25" xfId="5" applyNumberFormat="1" applyFont="1" applyFill="1" applyBorder="1" applyAlignment="1">
      <alignment horizontal="center" vertical="center"/>
    </xf>
    <xf numFmtId="178" fontId="14" fillId="3" borderId="26" xfId="5" applyNumberFormat="1" applyFont="1" applyFill="1" applyBorder="1" applyAlignment="1">
      <alignment horizontal="center" vertical="center"/>
    </xf>
    <xf numFmtId="178" fontId="14" fillId="3" borderId="27" xfId="5" applyNumberFormat="1" applyFont="1" applyFill="1" applyBorder="1" applyAlignment="1">
      <alignment horizontal="center" vertical="center"/>
    </xf>
    <xf numFmtId="0" fontId="14" fillId="0" borderId="28" xfId="5" applyFont="1" applyFill="1" applyBorder="1"/>
    <xf numFmtId="180" fontId="14" fillId="0" borderId="29" xfId="5" applyNumberFormat="1" applyFont="1" applyFill="1" applyBorder="1" applyAlignment="1"/>
    <xf numFmtId="180" fontId="14" fillId="0" borderId="30" xfId="5" applyNumberFormat="1" applyFont="1" applyFill="1" applyBorder="1" applyAlignment="1"/>
    <xf numFmtId="180" fontId="14" fillId="0" borderId="31" xfId="5" applyNumberFormat="1" applyFont="1" applyFill="1" applyBorder="1" applyAlignment="1"/>
    <xf numFmtId="49" fontId="14" fillId="0" borderId="0" xfId="5" applyNumberFormat="1" applyFont="1" applyAlignment="1">
      <alignment horizontal="center"/>
    </xf>
    <xf numFmtId="0" fontId="14" fillId="0" borderId="0" xfId="4" applyFont="1">
      <alignment vertical="center"/>
    </xf>
    <xf numFmtId="0" fontId="14" fillId="8" borderId="21" xfId="5" applyFont="1" applyFill="1" applyBorder="1" applyAlignment="1">
      <alignment horizontal="center" vertical="center"/>
    </xf>
    <xf numFmtId="0" fontId="14" fillId="8" borderId="22" xfId="5" applyFont="1" applyFill="1" applyBorder="1" applyAlignment="1">
      <alignment horizontal="center" vertical="center"/>
    </xf>
    <xf numFmtId="0" fontId="14" fillId="8" borderId="23" xfId="5" applyFont="1" applyFill="1" applyBorder="1" applyAlignment="1">
      <alignment horizontal="center" vertical="center"/>
    </xf>
    <xf numFmtId="0" fontId="14" fillId="9" borderId="17" xfId="4" applyFont="1" applyFill="1" applyBorder="1" applyAlignment="1">
      <alignment horizontal="center" vertical="center"/>
    </xf>
    <xf numFmtId="0" fontId="14" fillId="3" borderId="32" xfId="5" applyFont="1" applyFill="1" applyBorder="1" applyAlignment="1">
      <alignment horizontal="center" vertical="center"/>
    </xf>
    <xf numFmtId="178" fontId="14" fillId="3" borderId="33" xfId="5" applyNumberFormat="1" applyFont="1" applyFill="1" applyBorder="1" applyAlignment="1">
      <alignment horizontal="center" vertical="center"/>
    </xf>
    <xf numFmtId="178" fontId="14" fillId="3" borderId="34" xfId="5" applyNumberFormat="1" applyFont="1" applyFill="1" applyBorder="1" applyAlignment="1">
      <alignment horizontal="center" vertical="center"/>
    </xf>
    <xf numFmtId="178" fontId="14" fillId="3" borderId="35" xfId="5" applyNumberFormat="1" applyFont="1" applyFill="1" applyBorder="1" applyAlignment="1">
      <alignment horizontal="center" vertical="center"/>
    </xf>
    <xf numFmtId="0" fontId="14" fillId="3" borderId="36" xfId="5" applyFont="1" applyFill="1" applyBorder="1" applyAlignment="1">
      <alignment horizontal="center" vertical="center"/>
    </xf>
    <xf numFmtId="178" fontId="14" fillId="3" borderId="37" xfId="5" applyNumberFormat="1" applyFont="1" applyFill="1" applyBorder="1" applyAlignment="1">
      <alignment horizontal="center" vertical="center"/>
    </xf>
    <xf numFmtId="178" fontId="14" fillId="3" borderId="38" xfId="5" applyNumberFormat="1" applyFont="1" applyFill="1" applyBorder="1" applyAlignment="1">
      <alignment horizontal="center" vertical="center"/>
    </xf>
    <xf numFmtId="178" fontId="14" fillId="3" borderId="39" xfId="5" applyNumberFormat="1" applyFont="1" applyFill="1" applyBorder="1" applyAlignment="1">
      <alignment horizontal="center" vertical="center"/>
    </xf>
    <xf numFmtId="0" fontId="14" fillId="0" borderId="0" xfId="5" applyFont="1" applyAlignment="1">
      <alignment horizontal="left" indent="1"/>
    </xf>
    <xf numFmtId="0" fontId="14" fillId="3" borderId="40" xfId="5" applyFont="1" applyFill="1" applyBorder="1" applyAlignment="1">
      <alignment horizontal="center" vertical="center"/>
    </xf>
    <xf numFmtId="178" fontId="14" fillId="3" borderId="41" xfId="5" applyNumberFormat="1" applyFont="1" applyFill="1" applyBorder="1" applyAlignment="1">
      <alignment horizontal="center" vertical="center" shrinkToFit="1"/>
    </xf>
    <xf numFmtId="178" fontId="14" fillId="3" borderId="42" xfId="5" applyNumberFormat="1" applyFont="1" applyFill="1" applyBorder="1" applyAlignment="1">
      <alignment horizontal="center" vertical="center"/>
    </xf>
    <xf numFmtId="178" fontId="14" fillId="3" borderId="43" xfId="5" applyNumberFormat="1" applyFont="1" applyFill="1" applyBorder="1" applyAlignment="1">
      <alignment horizontal="center" vertical="center"/>
    </xf>
    <xf numFmtId="178" fontId="14" fillId="3" borderId="44" xfId="5" applyNumberFormat="1" applyFont="1" applyFill="1" applyBorder="1" applyAlignment="1">
      <alignment horizontal="center" vertical="center" shrinkToFit="1"/>
    </xf>
    <xf numFmtId="178" fontId="14" fillId="3" borderId="45" xfId="5" applyNumberFormat="1" applyFont="1" applyFill="1" applyBorder="1" applyAlignment="1">
      <alignment horizontal="center" vertical="center" shrinkToFit="1"/>
    </xf>
    <xf numFmtId="178" fontId="14" fillId="3" borderId="46" xfId="5" applyNumberFormat="1" applyFont="1" applyFill="1" applyBorder="1" applyAlignment="1">
      <alignment horizontal="center" vertical="center" shrinkToFit="1"/>
    </xf>
    <xf numFmtId="178" fontId="14" fillId="3" borderId="47" xfId="5" applyNumberFormat="1" applyFont="1" applyFill="1" applyBorder="1" applyAlignment="1">
      <alignment horizontal="center" vertical="center" shrinkToFit="1"/>
    </xf>
    <xf numFmtId="178" fontId="14" fillId="3" borderId="48" xfId="5" applyNumberFormat="1" applyFont="1" applyFill="1" applyBorder="1" applyAlignment="1">
      <alignment horizontal="center" vertical="center" shrinkToFit="1"/>
    </xf>
    <xf numFmtId="178" fontId="14" fillId="3" borderId="49" xfId="5" applyNumberFormat="1" applyFont="1" applyFill="1" applyBorder="1" applyAlignment="1">
      <alignment horizontal="center" vertical="center"/>
    </xf>
    <xf numFmtId="178" fontId="14" fillId="3" borderId="50" xfId="5" applyNumberFormat="1" applyFont="1" applyFill="1" applyBorder="1" applyAlignment="1">
      <alignment horizontal="center" vertical="center" shrinkToFit="1"/>
    </xf>
    <xf numFmtId="49" fontId="14" fillId="0" borderId="0" xfId="5" applyNumberFormat="1" applyFont="1" applyAlignment="1">
      <alignment horizontal="left" indent="1"/>
    </xf>
    <xf numFmtId="178" fontId="14" fillId="0" borderId="51" xfId="5" applyNumberFormat="1" applyFont="1" applyFill="1" applyBorder="1" applyAlignment="1">
      <alignment horizontal="center" vertical="center"/>
    </xf>
    <xf numFmtId="181" fontId="14" fillId="0" borderId="15" xfId="5" applyNumberFormat="1" applyFont="1" applyFill="1" applyBorder="1" applyAlignment="1"/>
    <xf numFmtId="178" fontId="14" fillId="0" borderId="52" xfId="5" applyNumberFormat="1" applyFont="1" applyFill="1" applyBorder="1" applyAlignment="1">
      <alignment horizontal="center" vertical="center"/>
    </xf>
    <xf numFmtId="181" fontId="14" fillId="0" borderId="53" xfId="5" applyNumberFormat="1" applyFont="1" applyFill="1" applyBorder="1" applyAlignment="1"/>
    <xf numFmtId="178" fontId="14" fillId="0" borderId="54" xfId="5" applyNumberFormat="1" applyFont="1" applyFill="1" applyBorder="1" applyAlignment="1">
      <alignment horizontal="center" vertical="center"/>
    </xf>
    <xf numFmtId="181" fontId="14" fillId="0" borderId="13" xfId="5" applyNumberFormat="1" applyFont="1" applyFill="1" applyBorder="1" applyAlignment="1"/>
    <xf numFmtId="178" fontId="14" fillId="0" borderId="55" xfId="5" applyNumberFormat="1" applyFont="1" applyFill="1" applyBorder="1" applyAlignment="1">
      <alignment horizontal="center" vertical="center"/>
    </xf>
    <xf numFmtId="181" fontId="14" fillId="0" borderId="12" xfId="5" applyNumberFormat="1" applyFont="1" applyFill="1" applyBorder="1"/>
    <xf numFmtId="181" fontId="14" fillId="0" borderId="56" xfId="5" applyNumberFormat="1" applyFont="1" applyFill="1" applyBorder="1"/>
    <xf numFmtId="181" fontId="14" fillId="0" borderId="56" xfId="5" applyNumberFormat="1" applyFont="1" applyFill="1" applyBorder="1" applyAlignment="1">
      <alignment horizontal="center"/>
    </xf>
    <xf numFmtId="178" fontId="14" fillId="0" borderId="57" xfId="5" applyNumberFormat="1" applyFont="1" applyFill="1" applyBorder="1" applyAlignment="1">
      <alignment horizontal="center" vertical="center"/>
    </xf>
    <xf numFmtId="178" fontId="14" fillId="0" borderId="15" xfId="5" applyNumberFormat="1" applyFont="1" applyFill="1" applyBorder="1" applyAlignment="1">
      <alignment horizontal="center" vertical="center"/>
    </xf>
    <xf numFmtId="49" fontId="14" fillId="0" borderId="0" xfId="5" applyNumberFormat="1" applyFont="1"/>
    <xf numFmtId="0" fontId="14" fillId="10" borderId="17" xfId="4" applyFont="1" applyFill="1" applyBorder="1" applyAlignment="1">
      <alignment horizontal="center" vertical="center"/>
    </xf>
    <xf numFmtId="49" fontId="14" fillId="3" borderId="2" xfId="5" applyNumberFormat="1" applyFont="1" applyFill="1" applyBorder="1" applyAlignment="1">
      <alignment horizontal="center" vertical="center"/>
    </xf>
    <xf numFmtId="182" fontId="20" fillId="3" borderId="58" xfId="5" applyNumberFormat="1" applyFont="1" applyFill="1" applyBorder="1" applyAlignment="1">
      <alignment horizontal="center" vertical="center"/>
    </xf>
    <xf numFmtId="182" fontId="20" fillId="3" borderId="3" xfId="5" applyNumberFormat="1" applyFont="1" applyFill="1" applyBorder="1" applyAlignment="1">
      <alignment horizontal="center" vertical="center"/>
    </xf>
    <xf numFmtId="182" fontId="20" fillId="3" borderId="58" xfId="5" applyNumberFormat="1" applyFont="1" applyFill="1" applyBorder="1" applyAlignment="1">
      <alignment horizontal="center" vertical="center" shrinkToFit="1"/>
    </xf>
    <xf numFmtId="182" fontId="20" fillId="3" borderId="4" xfId="5" applyNumberFormat="1" applyFont="1" applyFill="1" applyBorder="1" applyAlignment="1">
      <alignment horizontal="center" vertical="center" shrinkToFit="1"/>
    </xf>
    <xf numFmtId="182" fontId="20" fillId="3" borderId="3" xfId="5" applyNumberFormat="1" applyFont="1" applyFill="1" applyBorder="1" applyAlignment="1">
      <alignment horizontal="center" vertical="center" shrinkToFit="1"/>
    </xf>
    <xf numFmtId="182" fontId="20" fillId="3" borderId="4" xfId="5" applyNumberFormat="1" applyFont="1" applyFill="1" applyBorder="1" applyAlignment="1">
      <alignment horizontal="center" vertical="center"/>
    </xf>
    <xf numFmtId="49" fontId="14" fillId="3" borderId="2" xfId="5" applyNumberFormat="1" applyFont="1" applyFill="1" applyBorder="1" applyAlignment="1">
      <alignment horizontal="center" vertical="center"/>
    </xf>
    <xf numFmtId="49" fontId="14" fillId="3" borderId="3" xfId="5" applyNumberFormat="1" applyFont="1" applyFill="1" applyBorder="1" applyAlignment="1">
      <alignment horizontal="center" vertical="center"/>
    </xf>
    <xf numFmtId="182" fontId="20" fillId="3" borderId="59" xfId="5" applyNumberFormat="1" applyFont="1" applyFill="1" applyBorder="1" applyAlignment="1">
      <alignment horizontal="center" vertical="center"/>
    </xf>
    <xf numFmtId="182" fontId="20" fillId="3" borderId="60" xfId="5" applyNumberFormat="1" applyFont="1" applyFill="1" applyBorder="1" applyAlignment="1">
      <alignment horizontal="center" vertical="center"/>
    </xf>
    <xf numFmtId="182" fontId="20" fillId="3" borderId="61" xfId="5" applyNumberFormat="1" applyFont="1" applyFill="1" applyBorder="1" applyAlignment="1">
      <alignment horizontal="center" vertical="center"/>
    </xf>
    <xf numFmtId="0" fontId="14" fillId="9" borderId="40" xfId="5" applyFont="1" applyFill="1" applyBorder="1" applyAlignment="1">
      <alignment horizontal="center"/>
    </xf>
    <xf numFmtId="181" fontId="14" fillId="0" borderId="45" xfId="5" applyNumberFormat="1" applyFont="1" applyBorder="1"/>
    <xf numFmtId="181" fontId="14" fillId="0" borderId="44" xfId="5" applyNumberFormat="1" applyFont="1" applyBorder="1"/>
    <xf numFmtId="181" fontId="14" fillId="0" borderId="46" xfId="5" applyNumberFormat="1" applyFont="1" applyBorder="1"/>
    <xf numFmtId="0" fontId="14" fillId="9" borderId="62" xfId="5" applyFont="1" applyFill="1" applyBorder="1" applyAlignment="1">
      <alignment horizontal="center"/>
    </xf>
    <xf numFmtId="0" fontId="14" fillId="9" borderId="31" xfId="5" applyFont="1" applyFill="1" applyBorder="1" applyAlignment="1">
      <alignment horizontal="center"/>
    </xf>
    <xf numFmtId="181" fontId="14" fillId="0" borderId="63" xfId="5" applyNumberFormat="1" applyFont="1" applyBorder="1"/>
    <xf numFmtId="181" fontId="14" fillId="0" borderId="64" xfId="5" applyNumberFormat="1" applyFont="1" applyBorder="1"/>
    <xf numFmtId="181" fontId="14" fillId="0" borderId="31" xfId="5" applyNumberFormat="1" applyFont="1" applyBorder="1"/>
    <xf numFmtId="0" fontId="14" fillId="10" borderId="40" xfId="5" applyFont="1" applyFill="1" applyBorder="1" applyAlignment="1">
      <alignment horizontal="center"/>
    </xf>
    <xf numFmtId="181" fontId="14" fillId="0" borderId="65" xfId="5" applyNumberFormat="1" applyFont="1" applyBorder="1"/>
    <xf numFmtId="181" fontId="14" fillId="0" borderId="63" xfId="5" applyNumberFormat="1" applyFont="1" applyBorder="1"/>
    <xf numFmtId="181" fontId="14" fillId="0" borderId="31" xfId="5" applyNumberFormat="1" applyFont="1" applyBorder="1"/>
    <xf numFmtId="0" fontId="14" fillId="10" borderId="62" xfId="5" applyFont="1" applyFill="1" applyBorder="1" applyAlignment="1">
      <alignment horizontal="center"/>
    </xf>
    <xf numFmtId="0" fontId="14" fillId="10" borderId="31" xfId="5" applyFont="1" applyFill="1" applyBorder="1" applyAlignment="1">
      <alignment horizontal="center"/>
    </xf>
    <xf numFmtId="180" fontId="21" fillId="0" borderId="30" xfId="5" applyNumberFormat="1" applyFont="1" applyFill="1" applyBorder="1" applyAlignment="1"/>
    <xf numFmtId="0" fontId="22" fillId="2" borderId="2" xfId="4" applyFont="1" applyFill="1" applyBorder="1" applyAlignment="1">
      <alignment horizontal="left" vertical="center" indent="1"/>
    </xf>
    <xf numFmtId="0" fontId="17" fillId="2" borderId="3" xfId="4" applyFont="1" applyFill="1" applyBorder="1">
      <alignment vertical="center"/>
    </xf>
    <xf numFmtId="0" fontId="17" fillId="2" borderId="3" xfId="5" applyFont="1" applyFill="1" applyBorder="1" applyAlignment="1">
      <alignment horizontal="right"/>
    </xf>
    <xf numFmtId="0" fontId="17" fillId="2" borderId="4" xfId="5" applyFont="1" applyFill="1" applyBorder="1" applyAlignment="1">
      <alignment horizontal="right"/>
    </xf>
    <xf numFmtId="0" fontId="17" fillId="0" borderId="0" xfId="4" applyFont="1">
      <alignment vertical="center"/>
    </xf>
    <xf numFmtId="0" fontId="14" fillId="0" borderId="0" xfId="4" applyFont="1" applyBorder="1">
      <alignment vertical="center"/>
    </xf>
    <xf numFmtId="0" fontId="14" fillId="0" borderId="0" xfId="5" applyFont="1" applyBorder="1" applyAlignment="1">
      <alignment horizontal="right"/>
    </xf>
    <xf numFmtId="0" fontId="14" fillId="3" borderId="24" xfId="5" applyFont="1" applyFill="1" applyBorder="1" applyAlignment="1">
      <alignment horizontal="center"/>
    </xf>
    <xf numFmtId="183" fontId="14" fillId="3" borderId="25" xfId="5" applyNumberFormat="1" applyFont="1" applyFill="1" applyBorder="1" applyAlignment="1">
      <alignment horizontal="center"/>
    </xf>
    <xf numFmtId="183" fontId="14" fillId="3" borderId="26" xfId="5" applyNumberFormat="1" applyFont="1" applyFill="1" applyBorder="1" applyAlignment="1">
      <alignment horizontal="center"/>
    </xf>
    <xf numFmtId="183" fontId="14" fillId="3" borderId="66" xfId="5" applyNumberFormat="1" applyFont="1" applyFill="1" applyBorder="1" applyAlignment="1">
      <alignment horizontal="center"/>
    </xf>
    <xf numFmtId="183" fontId="14" fillId="3" borderId="26" xfId="4" applyNumberFormat="1" applyFont="1" applyFill="1" applyBorder="1" applyAlignment="1">
      <alignment horizontal="center"/>
    </xf>
    <xf numFmtId="183" fontId="14" fillId="3" borderId="27" xfId="4" applyNumberFormat="1" applyFont="1" applyFill="1" applyBorder="1" applyAlignment="1">
      <alignment horizontal="center"/>
    </xf>
    <xf numFmtId="184" fontId="14" fillId="0" borderId="67" xfId="5" applyNumberFormat="1" applyFont="1" applyFill="1" applyBorder="1" applyAlignment="1">
      <alignment horizontal="center" vertical="center" shrinkToFit="1"/>
    </xf>
    <xf numFmtId="0" fontId="14" fillId="0" borderId="68" xfId="5" applyNumberFormat="1" applyFont="1" applyFill="1" applyBorder="1" applyAlignment="1">
      <alignment horizontal="right" vertical="center"/>
    </xf>
    <xf numFmtId="0" fontId="14" fillId="0" borderId="69" xfId="5" applyNumberFormat="1" applyFont="1" applyFill="1" applyBorder="1" applyAlignment="1">
      <alignment horizontal="right" vertical="center"/>
    </xf>
    <xf numFmtId="0" fontId="14" fillId="0" borderId="69" xfId="4" applyFont="1" applyBorder="1" applyAlignment="1">
      <alignment horizontal="right" vertical="center"/>
    </xf>
    <xf numFmtId="0" fontId="14" fillId="0" borderId="70" xfId="4" applyFont="1" applyBorder="1" applyAlignment="1">
      <alignment horizontal="right" vertical="center"/>
    </xf>
    <xf numFmtId="184" fontId="14" fillId="0" borderId="71" xfId="5" applyNumberFormat="1" applyFont="1" applyFill="1" applyBorder="1" applyAlignment="1">
      <alignment horizontal="center" vertical="center" shrinkToFit="1"/>
    </xf>
    <xf numFmtId="0" fontId="14" fillId="0" borderId="72" xfId="5" applyNumberFormat="1" applyFont="1" applyFill="1" applyBorder="1" applyAlignment="1">
      <alignment horizontal="right" vertical="center"/>
    </xf>
    <xf numFmtId="0" fontId="14" fillId="0" borderId="73" xfId="5" applyNumberFormat="1" applyFont="1" applyFill="1" applyBorder="1" applyAlignment="1">
      <alignment horizontal="right" vertical="center"/>
    </xf>
    <xf numFmtId="0" fontId="14" fillId="0" borderId="73" xfId="4" applyFont="1" applyBorder="1" applyAlignment="1">
      <alignment horizontal="right" vertical="center"/>
    </xf>
    <xf numFmtId="0" fontId="14" fillId="0" borderId="74" xfId="4" applyFont="1" applyBorder="1" applyAlignment="1">
      <alignment horizontal="right" vertical="center"/>
    </xf>
    <xf numFmtId="184" fontId="14" fillId="0" borderId="75" xfId="5" applyNumberFormat="1" applyFont="1" applyFill="1" applyBorder="1" applyAlignment="1">
      <alignment horizontal="center" vertical="center" shrinkToFit="1"/>
    </xf>
    <xf numFmtId="0" fontId="14" fillId="0" borderId="76" xfId="5" applyNumberFormat="1" applyFont="1" applyFill="1" applyBorder="1" applyAlignment="1">
      <alignment horizontal="right" vertical="center"/>
    </xf>
    <xf numFmtId="0" fontId="14" fillId="0" borderId="77" xfId="5" applyNumberFormat="1" applyFont="1" applyFill="1" applyBorder="1" applyAlignment="1">
      <alignment horizontal="right" vertical="center"/>
    </xf>
    <xf numFmtId="0" fontId="14" fillId="0" borderId="77" xfId="4" applyFont="1" applyBorder="1" applyAlignment="1">
      <alignment horizontal="right" vertical="center"/>
    </xf>
    <xf numFmtId="0" fontId="14" fillId="0" borderId="78" xfId="4" applyFont="1" applyBorder="1" applyAlignment="1">
      <alignment horizontal="right" vertical="center"/>
    </xf>
    <xf numFmtId="0" fontId="20" fillId="3" borderId="79" xfId="6" applyFont="1" applyFill="1" applyBorder="1" applyAlignment="1" applyProtection="1">
      <alignment horizontal="center"/>
    </xf>
    <xf numFmtId="0" fontId="14" fillId="3" borderId="27" xfId="4" applyFont="1" applyFill="1" applyBorder="1" applyAlignment="1">
      <alignment horizontal="center"/>
    </xf>
    <xf numFmtId="0" fontId="14" fillId="3" borderId="80" xfId="4" applyFont="1" applyFill="1" applyBorder="1" applyAlignment="1">
      <alignment horizontal="center"/>
    </xf>
    <xf numFmtId="0" fontId="14" fillId="3" borderId="25" xfId="4" applyFont="1" applyFill="1" applyBorder="1" applyAlignment="1">
      <alignment horizontal="center"/>
    </xf>
    <xf numFmtId="0" fontId="20" fillId="8" borderId="81" xfId="6" applyNumberFormat="1" applyFont="1" applyFill="1" applyBorder="1" applyAlignment="1" applyProtection="1">
      <alignment horizontal="center" vertical="center"/>
    </xf>
    <xf numFmtId="185" fontId="14" fillId="0" borderId="70" xfId="4" applyNumberFormat="1" applyFont="1" applyBorder="1" applyAlignment="1">
      <alignment horizontal="right" vertical="center" shrinkToFit="1"/>
    </xf>
    <xf numFmtId="0" fontId="14" fillId="8" borderId="82" xfId="4" applyNumberFormat="1" applyFont="1" applyFill="1" applyBorder="1" applyAlignment="1">
      <alignment horizontal="center" vertical="center" shrinkToFit="1"/>
    </xf>
    <xf numFmtId="185" fontId="14" fillId="0" borderId="70" xfId="4" applyNumberFormat="1" applyFont="1" applyFill="1" applyBorder="1" applyAlignment="1">
      <alignment horizontal="right" vertical="center" shrinkToFit="1"/>
    </xf>
    <xf numFmtId="0" fontId="14" fillId="8" borderId="68" xfId="4" applyNumberFormat="1" applyFont="1" applyFill="1" applyBorder="1" applyAlignment="1">
      <alignment horizontal="center" vertical="center" shrinkToFit="1"/>
    </xf>
    <xf numFmtId="185" fontId="14" fillId="0" borderId="70" xfId="4" applyNumberFormat="1" applyFont="1" applyBorder="1" applyAlignment="1">
      <alignment horizontal="right" vertical="center"/>
    </xf>
    <xf numFmtId="0" fontId="14" fillId="0" borderId="0" xfId="4" applyFont="1" applyAlignment="1">
      <alignment horizontal="left" vertical="center" indent="1"/>
    </xf>
    <xf numFmtId="0" fontId="20" fillId="8" borderId="83" xfId="6" applyNumberFormat="1" applyFont="1" applyFill="1" applyBorder="1" applyAlignment="1" applyProtection="1">
      <alignment horizontal="center" vertical="center"/>
    </xf>
    <xf numFmtId="185" fontId="14" fillId="0" borderId="74" xfId="4" applyNumberFormat="1" applyFont="1" applyBorder="1" applyAlignment="1">
      <alignment horizontal="right" vertical="center" shrinkToFit="1"/>
    </xf>
    <xf numFmtId="0" fontId="14" fillId="8" borderId="84" xfId="4" applyNumberFormat="1" applyFont="1" applyFill="1" applyBorder="1" applyAlignment="1">
      <alignment horizontal="center" vertical="center" shrinkToFit="1"/>
    </xf>
    <xf numFmtId="185" fontId="14" fillId="0" borderId="74" xfId="4" applyNumberFormat="1" applyFont="1" applyFill="1" applyBorder="1" applyAlignment="1">
      <alignment horizontal="right" vertical="center" shrinkToFit="1"/>
    </xf>
    <xf numFmtId="0" fontId="14" fillId="8" borderId="72" xfId="4" applyNumberFormat="1" applyFont="1" applyFill="1" applyBorder="1" applyAlignment="1">
      <alignment horizontal="center" vertical="center" shrinkToFit="1"/>
    </xf>
    <xf numFmtId="185" fontId="14" fillId="0" borderId="74" xfId="4" applyNumberFormat="1" applyFont="1" applyBorder="1" applyAlignment="1">
      <alignment horizontal="right" vertical="center"/>
    </xf>
    <xf numFmtId="186" fontId="6" fillId="0" borderId="0" xfId="2" applyNumberFormat="1" applyFont="1" applyFill="1" applyBorder="1" applyAlignment="1" applyProtection="1">
      <alignment horizontal="left" vertical="center" indent="1"/>
    </xf>
    <xf numFmtId="0" fontId="20" fillId="8" borderId="85" xfId="6" applyNumberFormat="1" applyFont="1" applyFill="1" applyBorder="1" applyAlignment="1" applyProtection="1">
      <alignment horizontal="center" vertical="center"/>
    </xf>
    <xf numFmtId="185" fontId="14" fillId="0" borderId="78" xfId="4" applyNumberFormat="1" applyFont="1" applyBorder="1" applyAlignment="1">
      <alignment horizontal="right" vertical="center" shrinkToFit="1"/>
    </xf>
    <xf numFmtId="0" fontId="14" fillId="8" borderId="86" xfId="4" applyNumberFormat="1" applyFont="1" applyFill="1" applyBorder="1" applyAlignment="1">
      <alignment horizontal="center" vertical="center" shrinkToFit="1"/>
    </xf>
    <xf numFmtId="185" fontId="14" fillId="0" borderId="78" xfId="4" applyNumberFormat="1" applyFont="1" applyFill="1" applyBorder="1" applyAlignment="1">
      <alignment horizontal="right" vertical="center" shrinkToFit="1"/>
    </xf>
    <xf numFmtId="0" fontId="14" fillId="8" borderId="76" xfId="4" applyNumberFormat="1" applyFont="1" applyFill="1" applyBorder="1" applyAlignment="1">
      <alignment horizontal="center" vertical="center" shrinkToFit="1"/>
    </xf>
    <xf numFmtId="185" fontId="14" fillId="0" borderId="78" xfId="4" applyNumberFormat="1" applyFont="1" applyBorder="1" applyAlignment="1">
      <alignment horizontal="right" vertical="center"/>
    </xf>
    <xf numFmtId="0" fontId="24" fillId="0" borderId="72" xfId="5" applyNumberFormat="1" applyFont="1" applyFill="1" applyBorder="1" applyAlignment="1">
      <alignment horizontal="right" vertical="center"/>
    </xf>
    <xf numFmtId="0" fontId="24" fillId="0" borderId="73" xfId="5" applyNumberFormat="1" applyFont="1" applyFill="1" applyBorder="1" applyAlignment="1">
      <alignment horizontal="right" vertical="center"/>
    </xf>
    <xf numFmtId="0" fontId="24" fillId="0" borderId="73" xfId="4" applyFont="1" applyBorder="1" applyAlignment="1">
      <alignment horizontal="right" vertical="center"/>
    </xf>
    <xf numFmtId="0" fontId="24" fillId="0" borderId="74" xfId="4" applyFont="1" applyBorder="1" applyAlignment="1">
      <alignment horizontal="right" vertical="center"/>
    </xf>
    <xf numFmtId="0" fontId="24" fillId="0" borderId="76" xfId="5" applyNumberFormat="1" applyFont="1" applyFill="1" applyBorder="1" applyAlignment="1">
      <alignment horizontal="right" vertical="center"/>
    </xf>
    <xf numFmtId="0" fontId="24" fillId="0" borderId="77" xfId="5" applyNumberFormat="1" applyFont="1" applyFill="1" applyBorder="1" applyAlignment="1">
      <alignment horizontal="right" vertical="center"/>
    </xf>
    <xf numFmtId="0" fontId="24" fillId="0" borderId="77" xfId="4" applyFont="1" applyBorder="1" applyAlignment="1">
      <alignment horizontal="right" vertical="center"/>
    </xf>
    <xf numFmtId="0" fontId="24" fillId="0" borderId="78" xfId="4" applyFont="1" applyBorder="1" applyAlignment="1">
      <alignment horizontal="right" vertical="center"/>
    </xf>
    <xf numFmtId="0" fontId="24" fillId="0" borderId="68" xfId="5" applyNumberFormat="1" applyFont="1" applyFill="1" applyBorder="1" applyAlignment="1">
      <alignment horizontal="right" vertical="center"/>
    </xf>
    <xf numFmtId="0" fontId="24" fillId="0" borderId="69" xfId="5" applyNumberFormat="1" applyFont="1" applyFill="1" applyBorder="1" applyAlignment="1">
      <alignment horizontal="right" vertical="center"/>
    </xf>
    <xf numFmtId="0" fontId="24" fillId="0" borderId="69" xfId="4" applyFont="1" applyBorder="1" applyAlignment="1">
      <alignment horizontal="right" vertical="center"/>
    </xf>
    <xf numFmtId="0" fontId="24" fillId="0" borderId="70" xfId="4" applyFont="1" applyBorder="1" applyAlignment="1">
      <alignment horizontal="right" vertical="center"/>
    </xf>
    <xf numFmtId="0" fontId="25" fillId="2" borderId="2" xfId="7" applyNumberFormat="1" applyFont="1" applyFill="1" applyBorder="1" applyAlignment="1">
      <alignment horizontal="left" vertical="center" indent="1"/>
    </xf>
    <xf numFmtId="0" fontId="14" fillId="2" borderId="3" xfId="7" applyNumberFormat="1" applyFont="1" applyFill="1" applyBorder="1"/>
    <xf numFmtId="0" fontId="14" fillId="2" borderId="4" xfId="7" applyNumberFormat="1" applyFont="1" applyFill="1" applyBorder="1"/>
    <xf numFmtId="0" fontId="14" fillId="0" borderId="0" xfId="8" applyFont="1"/>
    <xf numFmtId="0" fontId="14" fillId="0" borderId="0" xfId="8" applyNumberFormat="1" applyFont="1" applyBorder="1" applyAlignment="1">
      <alignment horizontal="center"/>
    </xf>
    <xf numFmtId="0" fontId="14" fillId="0" borderId="0" xfId="8" applyNumberFormat="1" applyFont="1" applyBorder="1"/>
    <xf numFmtId="0" fontId="14" fillId="0" borderId="87" xfId="8" applyNumberFormat="1" applyFont="1" applyBorder="1" applyAlignment="1">
      <alignment horizontal="right"/>
    </xf>
    <xf numFmtId="49" fontId="26" fillId="3" borderId="88" xfId="3" applyNumberFormat="1" applyFont="1" applyFill="1" applyBorder="1" applyAlignment="1">
      <alignment horizontal="center" vertical="center"/>
    </xf>
    <xf numFmtId="0" fontId="26" fillId="3" borderId="89" xfId="3" applyFont="1" applyFill="1" applyBorder="1" applyAlignment="1">
      <alignment horizontal="center" vertical="center" wrapText="1"/>
    </xf>
    <xf numFmtId="0" fontId="26" fillId="3" borderId="90" xfId="3" applyFont="1" applyFill="1" applyBorder="1" applyAlignment="1">
      <alignment horizontal="center" vertical="center" wrapText="1"/>
    </xf>
    <xf numFmtId="0" fontId="26" fillId="3" borderId="91" xfId="3" applyFont="1" applyFill="1" applyBorder="1" applyAlignment="1">
      <alignment horizontal="center" vertical="center" wrapText="1"/>
    </xf>
    <xf numFmtId="0" fontId="14" fillId="0" borderId="0" xfId="8" applyFont="1" applyBorder="1"/>
    <xf numFmtId="49" fontId="26" fillId="3" borderId="92" xfId="3" applyNumberFormat="1" applyFont="1" applyFill="1" applyBorder="1" applyAlignment="1">
      <alignment horizontal="center" vertical="center"/>
    </xf>
    <xf numFmtId="0" fontId="26" fillId="3" borderId="93" xfId="3" applyFont="1" applyFill="1" applyBorder="1" applyAlignment="1">
      <alignment horizontal="center" vertical="center" wrapText="1"/>
    </xf>
    <xf numFmtId="0" fontId="26" fillId="3" borderId="94" xfId="3" applyFont="1" applyFill="1" applyBorder="1" applyAlignment="1">
      <alignment horizontal="center" vertical="center" wrapText="1"/>
    </xf>
    <xf numFmtId="0" fontId="26" fillId="3" borderId="95" xfId="3" applyFont="1" applyFill="1" applyBorder="1" applyAlignment="1">
      <alignment horizontal="center" vertical="center" wrapText="1"/>
    </xf>
    <xf numFmtId="0" fontId="26" fillId="3" borderId="50" xfId="3" applyFont="1" applyFill="1" applyBorder="1" applyAlignment="1">
      <alignment horizontal="center" vertical="center" wrapText="1"/>
    </xf>
    <xf numFmtId="49" fontId="26" fillId="0" borderId="96" xfId="3" applyNumberFormat="1" applyFont="1" applyFill="1" applyBorder="1" applyAlignment="1">
      <alignment horizontal="center"/>
    </xf>
    <xf numFmtId="181" fontId="26" fillId="0" borderId="97" xfId="3" applyNumberFormat="1" applyFont="1" applyFill="1" applyBorder="1" applyAlignment="1"/>
    <xf numFmtId="181" fontId="26" fillId="0" borderId="97" xfId="3" applyNumberFormat="1" applyFont="1" applyFill="1" applyBorder="1" applyAlignment="1">
      <alignment horizontal="center"/>
    </xf>
    <xf numFmtId="181" fontId="26" fillId="0" borderId="98" xfId="3" applyNumberFormat="1" applyFont="1" applyFill="1" applyBorder="1" applyAlignment="1">
      <alignment horizontal="center"/>
    </xf>
    <xf numFmtId="0" fontId="26" fillId="0" borderId="99" xfId="3" applyFont="1" applyFill="1" applyBorder="1" applyAlignment="1">
      <alignment horizontal="center"/>
    </xf>
    <xf numFmtId="181" fontId="26" fillId="0" borderId="100" xfId="3" applyNumberFormat="1" applyFont="1" applyFill="1" applyBorder="1" applyAlignment="1"/>
    <xf numFmtId="181" fontId="26" fillId="0" borderId="100" xfId="3" applyNumberFormat="1" applyFont="1" applyFill="1" applyBorder="1" applyAlignment="1">
      <alignment horizontal="center"/>
    </xf>
    <xf numFmtId="181" fontId="26" fillId="0" borderId="101" xfId="3" applyNumberFormat="1" applyFont="1" applyFill="1" applyBorder="1" applyAlignment="1">
      <alignment horizontal="center"/>
    </xf>
    <xf numFmtId="49" fontId="26" fillId="0" borderId="99" xfId="3" applyNumberFormat="1" applyFont="1" applyFill="1" applyBorder="1" applyAlignment="1">
      <alignment horizontal="center"/>
    </xf>
    <xf numFmtId="0" fontId="14" fillId="0" borderId="102" xfId="8" applyFont="1" applyBorder="1"/>
    <xf numFmtId="0" fontId="14" fillId="0" borderId="103" xfId="8" applyFont="1" applyBorder="1"/>
    <xf numFmtId="0" fontId="14" fillId="0" borderId="45" xfId="8" applyFont="1" applyBorder="1"/>
    <xf numFmtId="49" fontId="27" fillId="2" borderId="2" xfId="5" applyNumberFormat="1" applyFont="1" applyFill="1" applyBorder="1" applyAlignment="1">
      <alignment horizontal="left" vertical="center" indent="1"/>
    </xf>
    <xf numFmtId="0" fontId="28" fillId="0" borderId="0" xfId="5" applyFont="1" applyBorder="1"/>
    <xf numFmtId="0" fontId="14" fillId="0" borderId="20" xfId="5" applyFont="1" applyBorder="1"/>
    <xf numFmtId="0" fontId="14" fillId="3" borderId="104" xfId="9" applyFont="1" applyFill="1" applyBorder="1" applyAlignment="1">
      <alignment horizontal="centerContinuous"/>
    </xf>
    <xf numFmtId="0" fontId="14" fillId="3" borderId="105" xfId="5" applyFont="1" applyFill="1" applyBorder="1" applyAlignment="1">
      <alignment horizontal="centerContinuous"/>
    </xf>
    <xf numFmtId="0" fontId="14" fillId="3" borderId="91" xfId="5" applyFont="1" applyFill="1" applyBorder="1" applyAlignment="1">
      <alignment horizontal="centerContinuous"/>
    </xf>
    <xf numFmtId="0" fontId="14" fillId="3" borderId="106" xfId="9" applyFont="1" applyFill="1" applyBorder="1" applyAlignment="1">
      <alignment horizontal="center"/>
    </xf>
    <xf numFmtId="0" fontId="14" fillId="3" borderId="107" xfId="9" applyFont="1" applyFill="1" applyBorder="1" applyAlignment="1">
      <alignment horizontal="center"/>
    </xf>
    <xf numFmtId="0" fontId="14" fillId="3" borderId="50" xfId="9" applyFont="1" applyFill="1" applyBorder="1" applyAlignment="1">
      <alignment horizontal="center"/>
    </xf>
    <xf numFmtId="187" fontId="14" fillId="0" borderId="108" xfId="5" applyNumberFormat="1" applyFont="1" applyBorder="1" applyAlignment="1">
      <alignment horizontal="center" shrinkToFit="1"/>
    </xf>
    <xf numFmtId="187" fontId="14" fillId="0" borderId="109" xfId="5" applyNumberFormat="1" applyFont="1" applyBorder="1" applyAlignment="1">
      <alignment horizontal="center" shrinkToFit="1"/>
    </xf>
    <xf numFmtId="187" fontId="14" fillId="0" borderId="31" xfId="5" applyNumberFormat="1" applyFont="1" applyBorder="1" applyAlignment="1">
      <alignment horizontal="center" shrinkToFit="1"/>
    </xf>
    <xf numFmtId="0" fontId="14" fillId="4" borderId="110" xfId="4" applyFont="1" applyFill="1" applyBorder="1" applyAlignment="1">
      <alignment horizontal="center" vertical="center"/>
    </xf>
    <xf numFmtId="0" fontId="14" fillId="3" borderId="32" xfId="5" applyFont="1" applyFill="1" applyBorder="1" applyAlignment="1">
      <alignment horizontal="center"/>
    </xf>
    <xf numFmtId="0" fontId="14" fillId="3" borderId="25" xfId="5" applyFont="1" applyFill="1" applyBorder="1" applyAlignment="1">
      <alignment horizontal="center"/>
    </xf>
    <xf numFmtId="0" fontId="14" fillId="3" borderId="26" xfId="5" applyFont="1" applyFill="1" applyBorder="1" applyAlignment="1">
      <alignment horizontal="center"/>
    </xf>
    <xf numFmtId="0" fontId="14" fillId="3" borderId="27" xfId="5" applyFont="1" applyFill="1" applyBorder="1" applyAlignment="1">
      <alignment horizontal="center"/>
    </xf>
    <xf numFmtId="0" fontId="14" fillId="0" borderId="111" xfId="5" applyFont="1" applyBorder="1" applyAlignment="1">
      <alignment horizontal="center" shrinkToFit="1"/>
    </xf>
    <xf numFmtId="0" fontId="14" fillId="0" borderId="112" xfId="5" applyFont="1" applyBorder="1"/>
    <xf numFmtId="0" fontId="14" fillId="0" borderId="113" xfId="5" applyFont="1" applyBorder="1"/>
    <xf numFmtId="0" fontId="14" fillId="0" borderId="114" xfId="5" applyFont="1" applyBorder="1"/>
    <xf numFmtId="0" fontId="14" fillId="0" borderId="112" xfId="5" applyFont="1" applyBorder="1"/>
    <xf numFmtId="0" fontId="14" fillId="0" borderId="113" xfId="5" applyFont="1" applyBorder="1"/>
    <xf numFmtId="0" fontId="14" fillId="0" borderId="114" xfId="5" applyFont="1" applyBorder="1"/>
    <xf numFmtId="0" fontId="14" fillId="0" borderId="115" xfId="5" applyFont="1" applyBorder="1" applyAlignment="1">
      <alignment horizontal="center" shrinkToFit="1"/>
    </xf>
    <xf numFmtId="0" fontId="14" fillId="0" borderId="116" xfId="5" applyFont="1" applyBorder="1"/>
    <xf numFmtId="0" fontId="14" fillId="0" borderId="117" xfId="5" applyFont="1" applyBorder="1"/>
    <xf numFmtId="0" fontId="14" fillId="0" borderId="118" xfId="5" applyFont="1" applyBorder="1"/>
    <xf numFmtId="0" fontId="14" fillId="0" borderId="116" xfId="5" applyFont="1" applyBorder="1"/>
    <xf numFmtId="0" fontId="14" fillId="0" borderId="117" xfId="5" applyFont="1" applyBorder="1"/>
    <xf numFmtId="0" fontId="14" fillId="0" borderId="118" xfId="5" applyFont="1" applyBorder="1"/>
    <xf numFmtId="0" fontId="14" fillId="0" borderId="115" xfId="5" applyFont="1" applyBorder="1" applyAlignment="1">
      <alignment horizontal="center"/>
    </xf>
    <xf numFmtId="0" fontId="14" fillId="0" borderId="119" xfId="5" applyFont="1" applyBorder="1" applyAlignment="1">
      <alignment horizontal="center" vertical="center"/>
    </xf>
    <xf numFmtId="0" fontId="14" fillId="0" borderId="120" xfId="5" applyFont="1" applyBorder="1" applyAlignment="1">
      <alignment wrapText="1"/>
    </xf>
    <xf numFmtId="0" fontId="14" fillId="0" borderId="121" xfId="5" applyFont="1" applyBorder="1"/>
    <xf numFmtId="0" fontId="14" fillId="0" borderId="122" xfId="5" applyFont="1" applyBorder="1"/>
    <xf numFmtId="0" fontId="14" fillId="0" borderId="36" xfId="5" applyFont="1" applyBorder="1" applyAlignment="1">
      <alignment horizontal="center" vertical="center"/>
    </xf>
    <xf numFmtId="0" fontId="14" fillId="0" borderId="72" xfId="5" applyFont="1" applyBorder="1"/>
    <xf numFmtId="0" fontId="14" fillId="0" borderId="73" xfId="5" applyFont="1" applyBorder="1"/>
    <xf numFmtId="0" fontId="14" fillId="0" borderId="74" xfId="5" applyFont="1" applyBorder="1"/>
    <xf numFmtId="0" fontId="14" fillId="0" borderId="123" xfId="5" applyFont="1" applyBorder="1" applyAlignment="1">
      <alignment horizontal="center" vertical="center"/>
    </xf>
    <xf numFmtId="0" fontId="14" fillId="0" borderId="124" xfId="5" applyFont="1" applyBorder="1" applyAlignment="1">
      <alignment shrinkToFit="1"/>
    </xf>
    <xf numFmtId="0" fontId="14" fillId="0" borderId="125" xfId="5" applyFont="1" applyBorder="1" applyAlignment="1">
      <alignment shrinkToFit="1"/>
    </xf>
    <xf numFmtId="0" fontId="14" fillId="0" borderId="126" xfId="5" applyFont="1" applyBorder="1" applyAlignment="1">
      <alignment shrinkToFit="1"/>
    </xf>
    <xf numFmtId="0" fontId="14" fillId="0" borderId="127" xfId="5" applyFont="1" applyBorder="1" applyAlignment="1">
      <alignment horizontal="center" vertical="center"/>
    </xf>
    <xf numFmtId="0" fontId="14" fillId="0" borderId="71" xfId="5" applyFont="1" applyBorder="1" applyAlignment="1">
      <alignment horizontal="center" vertical="center"/>
    </xf>
    <xf numFmtId="0" fontId="14" fillId="0" borderId="128" xfId="5" applyFont="1" applyBorder="1" applyAlignment="1">
      <alignment horizontal="center" vertical="center"/>
    </xf>
    <xf numFmtId="0" fontId="14" fillId="5" borderId="40" xfId="4" applyFont="1" applyFill="1" applyBorder="1" applyAlignment="1">
      <alignment horizontal="center" vertical="center"/>
    </xf>
    <xf numFmtId="184" fontId="14" fillId="3" borderId="26" xfId="5" applyNumberFormat="1" applyFont="1" applyFill="1" applyBorder="1" applyAlignment="1">
      <alignment horizontal="center"/>
    </xf>
    <xf numFmtId="184" fontId="14" fillId="3" borderId="26" xfId="4" applyNumberFormat="1" applyFont="1" applyFill="1" applyBorder="1" applyAlignment="1">
      <alignment horizontal="center"/>
    </xf>
    <xf numFmtId="184" fontId="14" fillId="3" borderId="27" xfId="4" applyNumberFormat="1" applyFont="1" applyFill="1" applyBorder="1" applyAlignment="1">
      <alignment horizontal="center"/>
    </xf>
    <xf numFmtId="0" fontId="24" fillId="0" borderId="120" xfId="5" applyFont="1" applyBorder="1"/>
    <xf numFmtId="0" fontId="24" fillId="0" borderId="121" xfId="5" applyFont="1" applyBorder="1"/>
    <xf numFmtId="0" fontId="24" fillId="0" borderId="122" xfId="5" applyFont="1" applyBorder="1"/>
    <xf numFmtId="0" fontId="24" fillId="0" borderId="72" xfId="5" applyFont="1" applyBorder="1"/>
    <xf numFmtId="0" fontId="24" fillId="0" borderId="73" xfId="5" applyFont="1" applyBorder="1"/>
    <xf numFmtId="0" fontId="24" fillId="0" borderId="74" xfId="5" applyFont="1" applyBorder="1"/>
    <xf numFmtId="0" fontId="24" fillId="0" borderId="124" xfId="5" applyFont="1" applyBorder="1"/>
    <xf numFmtId="0" fontId="24" fillId="0" borderId="125" xfId="5" applyFont="1" applyBorder="1"/>
    <xf numFmtId="0" fontId="24" fillId="0" borderId="126" xfId="5" applyFont="1" applyBorder="1"/>
    <xf numFmtId="0" fontId="30" fillId="2" borderId="2" xfId="2" applyFont="1" applyFill="1" applyBorder="1" applyAlignment="1" applyProtection="1">
      <alignment horizontal="left" vertical="center" indent="1"/>
      <protection locked="0"/>
    </xf>
    <xf numFmtId="0" fontId="3" fillId="2" borderId="3" xfId="2" applyFont="1" applyFill="1" applyBorder="1" applyProtection="1">
      <protection locked="0"/>
    </xf>
    <xf numFmtId="0" fontId="3" fillId="2" borderId="3" xfId="2" applyFont="1" applyFill="1" applyBorder="1" applyAlignment="1" applyProtection="1">
      <alignment horizontal="center"/>
      <protection locked="0"/>
    </xf>
    <xf numFmtId="0" fontId="3" fillId="2" borderId="4" xfId="2" applyFont="1" applyFill="1" applyBorder="1" applyProtection="1">
      <protection locked="0"/>
    </xf>
    <xf numFmtId="0" fontId="3" fillId="0" borderId="0" xfId="2" applyFont="1" applyProtection="1">
      <protection locked="0"/>
    </xf>
    <xf numFmtId="0" fontId="6" fillId="0" borderId="0" xfId="10" applyFont="1" applyBorder="1"/>
    <xf numFmtId="0" fontId="6" fillId="0" borderId="0" xfId="10" applyFont="1" applyBorder="1" applyAlignment="1">
      <alignment horizontal="center"/>
    </xf>
    <xf numFmtId="188" fontId="6" fillId="0" borderId="0" xfId="10" applyNumberFormat="1" applyFont="1" applyBorder="1" applyAlignment="1"/>
    <xf numFmtId="0" fontId="6" fillId="0" borderId="0" xfId="10" applyFont="1" applyBorder="1" applyAlignment="1"/>
    <xf numFmtId="0" fontId="6" fillId="0" borderId="0" xfId="10" applyFont="1"/>
    <xf numFmtId="0" fontId="19" fillId="3" borderId="79" xfId="10" applyFont="1" applyFill="1" applyBorder="1" applyAlignment="1">
      <alignment horizontal="center" vertical="center"/>
    </xf>
    <xf numFmtId="0" fontId="19" fillId="3" borderId="129" xfId="10" applyFont="1" applyFill="1" applyBorder="1" applyAlignment="1">
      <alignment horizontal="center" vertical="center" textRotation="255"/>
    </xf>
    <xf numFmtId="0" fontId="19" fillId="3" borderId="129" xfId="10" applyFont="1" applyFill="1" applyBorder="1" applyAlignment="1">
      <alignment horizontal="center" vertical="center"/>
    </xf>
    <xf numFmtId="188" fontId="19" fillId="3" borderId="26" xfId="10" applyNumberFormat="1" applyFont="1" applyFill="1" applyBorder="1" applyAlignment="1">
      <alignment horizontal="center" vertical="center" wrapText="1"/>
    </xf>
    <xf numFmtId="0" fontId="19" fillId="3" borderId="26" xfId="10" applyFont="1" applyFill="1" applyBorder="1" applyAlignment="1">
      <alignment horizontal="center" vertical="center" wrapText="1" shrinkToFit="1"/>
    </xf>
    <xf numFmtId="0" fontId="19" fillId="3" borderId="129" xfId="10" applyFont="1" applyFill="1" applyBorder="1" applyAlignment="1">
      <alignment horizontal="center" vertical="center" wrapText="1"/>
    </xf>
    <xf numFmtId="0" fontId="19" fillId="3" borderId="27" xfId="10" applyFont="1" applyFill="1" applyBorder="1" applyAlignment="1">
      <alignment horizontal="center" vertical="center" wrapText="1"/>
    </xf>
    <xf numFmtId="0" fontId="19" fillId="3" borderId="106" xfId="10" applyFont="1" applyFill="1" applyBorder="1" applyAlignment="1">
      <alignment horizontal="center" vertical="center"/>
    </xf>
    <xf numFmtId="0" fontId="19" fillId="3" borderId="107" xfId="10" applyFont="1" applyFill="1" applyBorder="1" applyAlignment="1">
      <alignment horizontal="center" vertical="center" textRotation="255"/>
    </xf>
    <xf numFmtId="0" fontId="19" fillId="3" borderId="66" xfId="10" applyFont="1" applyFill="1" applyBorder="1" applyAlignment="1">
      <alignment horizontal="center" vertical="center"/>
    </xf>
    <xf numFmtId="188" fontId="19" fillId="3" borderId="66" xfId="10" applyNumberFormat="1" applyFont="1" applyFill="1" applyBorder="1" applyAlignment="1">
      <alignment horizontal="center" vertical="center" wrapText="1"/>
    </xf>
    <xf numFmtId="0" fontId="19" fillId="3" borderId="66" xfId="10" applyFont="1" applyFill="1" applyBorder="1" applyAlignment="1">
      <alignment horizontal="center" vertical="center" wrapText="1" shrinkToFit="1"/>
    </xf>
    <xf numFmtId="0" fontId="19" fillId="3" borderId="130" xfId="10" applyFont="1" applyFill="1" applyBorder="1" applyAlignment="1">
      <alignment horizontal="center" vertical="center" wrapText="1"/>
    </xf>
    <xf numFmtId="0" fontId="19" fillId="3" borderId="66" xfId="10" applyFont="1" applyFill="1" applyBorder="1" applyAlignment="1">
      <alignment horizontal="center" vertical="center" textRotation="255"/>
    </xf>
    <xf numFmtId="0" fontId="19" fillId="3" borderId="131" xfId="10" applyFont="1" applyFill="1" applyBorder="1" applyAlignment="1">
      <alignment horizontal="center" vertical="center" wrapText="1"/>
    </xf>
    <xf numFmtId="0" fontId="19" fillId="0" borderId="132" xfId="10" applyFont="1" applyBorder="1"/>
    <xf numFmtId="0" fontId="6" fillId="0" borderId="132" xfId="10" applyFont="1" applyBorder="1" applyAlignment="1">
      <alignment horizontal="center"/>
    </xf>
    <xf numFmtId="0" fontId="6" fillId="0" borderId="132" xfId="10" applyFont="1" applyBorder="1" applyAlignment="1">
      <alignment shrinkToFit="1"/>
    </xf>
    <xf numFmtId="189" fontId="6" fillId="0" borderId="132" xfId="10" applyNumberFormat="1" applyFont="1" applyBorder="1" applyAlignment="1">
      <alignment shrinkToFit="1"/>
    </xf>
    <xf numFmtId="0" fontId="6" fillId="0" borderId="132" xfId="10" applyNumberFormat="1" applyFont="1" applyBorder="1" applyAlignment="1">
      <alignment horizontal="right"/>
    </xf>
    <xf numFmtId="188" fontId="6" fillId="11" borderId="133" xfId="10" applyNumberFormat="1" applyFont="1" applyFill="1" applyBorder="1" applyAlignment="1"/>
    <xf numFmtId="0" fontId="19" fillId="0" borderId="107" xfId="10" applyFont="1" applyBorder="1"/>
    <xf numFmtId="0" fontId="6" fillId="0" borderId="107" xfId="10" applyFont="1" applyBorder="1" applyAlignment="1">
      <alignment horizontal="center"/>
    </xf>
    <xf numFmtId="0" fontId="6" fillId="0" borderId="107" xfId="10" applyFont="1" applyBorder="1" applyAlignment="1">
      <alignment shrinkToFit="1"/>
    </xf>
    <xf numFmtId="189" fontId="6" fillId="0" borderId="107" xfId="10" applyNumberFormat="1" applyFont="1" applyBorder="1" applyAlignment="1">
      <alignment shrinkToFit="1"/>
    </xf>
    <xf numFmtId="0" fontId="6" fillId="0" borderId="107" xfId="10" applyNumberFormat="1" applyFont="1" applyBorder="1" applyAlignment="1">
      <alignment horizontal="right"/>
    </xf>
    <xf numFmtId="188" fontId="6" fillId="11" borderId="50" xfId="10" applyNumberFormat="1" applyFont="1" applyFill="1" applyBorder="1" applyAlignment="1"/>
    <xf numFmtId="0" fontId="19" fillId="0" borderId="134" xfId="10" applyFont="1" applyBorder="1"/>
    <xf numFmtId="0" fontId="6" fillId="0" borderId="134" xfId="10" applyFont="1" applyBorder="1" applyAlignment="1">
      <alignment horizontal="center"/>
    </xf>
    <xf numFmtId="0" fontId="6" fillId="0" borderId="134" xfId="10" applyFont="1" applyBorder="1" applyAlignment="1">
      <alignment shrinkToFit="1"/>
    </xf>
    <xf numFmtId="189" fontId="6" fillId="0" borderId="134" xfId="10" applyNumberFormat="1" applyFont="1" applyBorder="1" applyAlignment="1">
      <alignment shrinkToFit="1"/>
    </xf>
    <xf numFmtId="0" fontId="6" fillId="0" borderId="134" xfId="10" applyNumberFormat="1" applyFont="1" applyBorder="1" applyAlignment="1">
      <alignment horizontal="right"/>
    </xf>
    <xf numFmtId="188" fontId="6" fillId="11" borderId="49" xfId="10" applyNumberFormat="1" applyFont="1" applyFill="1" applyBorder="1" applyAlignment="1"/>
    <xf numFmtId="0" fontId="6" fillId="0" borderId="135" xfId="10" applyFont="1" applyBorder="1"/>
    <xf numFmtId="0" fontId="6" fillId="0" borderId="135" xfId="10" applyFont="1" applyBorder="1" applyAlignment="1">
      <alignment horizontal="center"/>
    </xf>
    <xf numFmtId="188" fontId="6" fillId="0" borderId="135" xfId="10" applyNumberFormat="1" applyFont="1" applyBorder="1" applyAlignment="1"/>
    <xf numFmtId="188" fontId="6" fillId="11" borderId="136" xfId="10" applyNumberFormat="1" applyFont="1" applyFill="1" applyBorder="1" applyAlignment="1"/>
    <xf numFmtId="0" fontId="19" fillId="0" borderId="20" xfId="10" applyFont="1" applyBorder="1"/>
    <xf numFmtId="0" fontId="19" fillId="0" borderId="20" xfId="10" applyFont="1" applyBorder="1" applyAlignment="1">
      <alignment horizontal="center"/>
    </xf>
    <xf numFmtId="0" fontId="19" fillId="0" borderId="20" xfId="10" applyFont="1" applyFill="1" applyBorder="1" applyAlignment="1"/>
    <xf numFmtId="188" fontId="19" fillId="0" borderId="20" xfId="10" applyNumberFormat="1" applyFont="1" applyFill="1" applyBorder="1" applyAlignment="1"/>
    <xf numFmtId="0" fontId="19" fillId="0" borderId="20" xfId="10" applyNumberFormat="1" applyFont="1" applyFill="1" applyBorder="1" applyAlignment="1"/>
    <xf numFmtId="188" fontId="19" fillId="0" borderId="49" xfId="10" applyNumberFormat="1" applyFont="1" applyFill="1" applyBorder="1" applyAlignment="1"/>
    <xf numFmtId="0" fontId="6" fillId="0" borderId="107" xfId="10" applyFont="1" applyFill="1" applyBorder="1" applyAlignment="1">
      <alignment shrinkToFit="1"/>
    </xf>
    <xf numFmtId="0" fontId="6" fillId="0" borderId="107" xfId="10" applyNumberFormat="1" applyFont="1" applyFill="1" applyBorder="1" applyAlignment="1">
      <alignment horizontal="right"/>
    </xf>
    <xf numFmtId="188" fontId="6" fillId="0" borderId="50" xfId="10" applyNumberFormat="1" applyFont="1" applyFill="1" applyBorder="1" applyAlignment="1"/>
    <xf numFmtId="0" fontId="6" fillId="0" borderId="134" xfId="10" applyFont="1" applyFill="1" applyBorder="1" applyAlignment="1">
      <alignment shrinkToFit="1"/>
    </xf>
    <xf numFmtId="0" fontId="6" fillId="0" borderId="134" xfId="10" applyNumberFormat="1" applyFont="1" applyFill="1" applyBorder="1" applyAlignment="1">
      <alignment horizontal="right"/>
    </xf>
    <xf numFmtId="188" fontId="6" fillId="0" borderId="49" xfId="10" applyNumberFormat="1" applyFont="1" applyFill="1" applyBorder="1" applyAlignment="1"/>
    <xf numFmtId="0" fontId="6" fillId="0" borderId="135" xfId="10" applyFont="1" applyFill="1" applyBorder="1" applyAlignment="1"/>
    <xf numFmtId="188" fontId="6" fillId="0" borderId="135" xfId="10" applyNumberFormat="1" applyFont="1" applyFill="1" applyBorder="1" applyAlignment="1"/>
    <xf numFmtId="188" fontId="6" fillId="0" borderId="136" xfId="10" applyNumberFormat="1" applyFont="1" applyFill="1" applyBorder="1" applyAlignment="1"/>
    <xf numFmtId="0" fontId="19" fillId="0" borderId="86" xfId="10" applyFont="1" applyBorder="1"/>
    <xf numFmtId="0" fontId="19" fillId="0" borderId="86" xfId="10" applyFont="1" applyBorder="1" applyAlignment="1">
      <alignment horizontal="center"/>
    </xf>
    <xf numFmtId="0" fontId="19" fillId="0" borderId="86" xfId="10" applyFont="1" applyFill="1" applyBorder="1" applyAlignment="1"/>
    <xf numFmtId="188" fontId="19" fillId="0" borderId="86" xfId="10" applyNumberFormat="1" applyFont="1" applyFill="1" applyBorder="1" applyAlignment="1"/>
    <xf numFmtId="0" fontId="19" fillId="0" borderId="86" xfId="10" applyNumberFormat="1" applyFont="1" applyFill="1" applyBorder="1" applyAlignment="1"/>
    <xf numFmtId="188" fontId="19" fillId="0" borderId="137" xfId="10" applyNumberFormat="1" applyFont="1" applyFill="1" applyBorder="1" applyAlignment="1"/>
    <xf numFmtId="0" fontId="6" fillId="0" borderId="0" xfId="10" applyFont="1" applyAlignment="1">
      <alignment horizontal="center"/>
    </xf>
    <xf numFmtId="188" fontId="6" fillId="0" borderId="0" xfId="10" applyNumberFormat="1" applyFont="1" applyAlignment="1"/>
    <xf numFmtId="0" fontId="6" fillId="0" borderId="0" xfId="10" applyFont="1" applyAlignment="1"/>
    <xf numFmtId="0" fontId="19" fillId="12" borderId="0" xfId="10" applyFont="1" applyFill="1"/>
    <xf numFmtId="189" fontId="6" fillId="0" borderId="132" xfId="10" applyNumberFormat="1" applyFont="1" applyBorder="1" applyAlignment="1">
      <alignment horizontal="center" shrinkToFit="1"/>
    </xf>
    <xf numFmtId="189" fontId="6" fillId="0" borderId="107" xfId="10" applyNumberFormat="1" applyFont="1" applyBorder="1" applyAlignment="1">
      <alignment horizontal="center" shrinkToFit="1"/>
    </xf>
    <xf numFmtId="0" fontId="6" fillId="0" borderId="107" xfId="10" applyNumberFormat="1" applyFont="1" applyBorder="1" applyAlignment="1">
      <alignment horizontal="center"/>
    </xf>
    <xf numFmtId="0" fontId="6" fillId="0" borderId="107" xfId="10" applyNumberFormat="1" applyFont="1" applyFill="1" applyBorder="1" applyAlignment="1">
      <alignment horizontal="center"/>
    </xf>
    <xf numFmtId="0" fontId="6" fillId="0" borderId="138" xfId="10" applyFont="1" applyBorder="1" applyAlignment="1">
      <alignment vertical="top" wrapText="1" shrinkToFit="1"/>
    </xf>
    <xf numFmtId="0" fontId="0" fillId="0" borderId="66" xfId="0" applyBorder="1" applyAlignment="1">
      <alignment vertical="top" wrapText="1" shrinkToFit="1"/>
    </xf>
    <xf numFmtId="0" fontId="31" fillId="2" borderId="2" xfId="2" applyFont="1" applyFill="1" applyBorder="1" applyAlignment="1" applyProtection="1">
      <alignment horizontal="left" vertical="center" indent="1"/>
      <protection locked="0"/>
    </xf>
    <xf numFmtId="0" fontId="32" fillId="2" borderId="3" xfId="2" applyFont="1" applyFill="1" applyBorder="1" applyAlignment="1" applyProtection="1">
      <alignment horizontal="left" vertical="center" indent="1"/>
      <protection locked="0"/>
    </xf>
    <xf numFmtId="0" fontId="32" fillId="2" borderId="3" xfId="2" applyFont="1" applyFill="1" applyBorder="1" applyAlignment="1" applyProtection="1">
      <alignment horizontal="left" vertical="center" indent="1"/>
      <protection locked="0"/>
    </xf>
    <xf numFmtId="0" fontId="32" fillId="2" borderId="3" xfId="2" applyFont="1" applyFill="1" applyBorder="1" applyAlignment="1" applyProtection="1">
      <alignment horizontal="right" vertical="center" indent="1"/>
      <protection locked="0"/>
    </xf>
    <xf numFmtId="0" fontId="32" fillId="2" borderId="4" xfId="2" applyFont="1" applyFill="1" applyBorder="1" applyAlignment="1" applyProtection="1">
      <alignment horizontal="left" vertical="center" indent="1"/>
      <protection locked="0"/>
    </xf>
    <xf numFmtId="0" fontId="32" fillId="0" borderId="139" xfId="2" applyFont="1" applyFill="1" applyBorder="1" applyAlignment="1" applyProtection="1">
      <alignment horizontal="left" vertical="center" indent="1"/>
      <protection locked="0"/>
    </xf>
    <xf numFmtId="0" fontId="32" fillId="0" borderId="0" xfId="2" applyFont="1" applyFill="1" applyBorder="1" applyAlignment="1" applyProtection="1">
      <alignment horizontal="left" vertical="center" indent="1"/>
      <protection locked="0"/>
    </xf>
    <xf numFmtId="0" fontId="32" fillId="0" borderId="0" xfId="2" applyNumberFormat="1" applyFont="1" applyFill="1" applyBorder="1" applyAlignment="1" applyProtection="1">
      <alignment horizontal="left" vertical="center" indent="1"/>
      <protection locked="0"/>
    </xf>
    <xf numFmtId="176" fontId="19" fillId="0" borderId="0" xfId="2" applyNumberFormat="1" applyFont="1" applyFill="1" applyAlignment="1" applyProtection="1">
      <alignment horizontal="left" vertical="center" indent="1"/>
      <protection locked="0"/>
    </xf>
    <xf numFmtId="0" fontId="32" fillId="0" borderId="0" xfId="2" applyFont="1" applyFill="1" applyAlignment="1" applyProtection="1">
      <alignment horizontal="left" vertical="center" indent="1"/>
      <protection locked="0"/>
    </xf>
    <xf numFmtId="0" fontId="32" fillId="0" borderId="0" xfId="2" applyFont="1" applyAlignment="1" applyProtection="1">
      <alignment horizontal="left" vertical="center" indent="1"/>
      <protection locked="0"/>
    </xf>
    <xf numFmtId="0" fontId="6" fillId="0" borderId="0" xfId="2" applyFont="1" applyFill="1" applyBorder="1" applyProtection="1">
      <protection locked="0"/>
    </xf>
    <xf numFmtId="0" fontId="6" fillId="0" borderId="0" xfId="2" applyFont="1" applyFill="1" applyProtection="1">
      <protection locked="0"/>
    </xf>
    <xf numFmtId="0" fontId="6" fillId="0" borderId="80" xfId="2" applyFont="1" applyFill="1" applyBorder="1" applyProtection="1">
      <protection locked="0"/>
    </xf>
    <xf numFmtId="0" fontId="6" fillId="0" borderId="139" xfId="2" applyFont="1" applyFill="1" applyBorder="1" applyProtection="1">
      <protection locked="0"/>
    </xf>
    <xf numFmtId="0" fontId="6" fillId="0" borderId="0" xfId="2" applyFont="1" applyFill="1" applyAlignment="1" applyProtection="1">
      <alignment vertical="center"/>
      <protection locked="0"/>
    </xf>
    <xf numFmtId="0" fontId="6" fillId="0" borderId="0" xfId="2" applyFont="1" applyFill="1" applyBorder="1" applyAlignment="1" applyProtection="1">
      <alignment vertical="center"/>
      <protection locked="0"/>
    </xf>
    <xf numFmtId="0" fontId="6" fillId="0" borderId="0" xfId="2" applyFont="1" applyProtection="1">
      <protection locked="0"/>
    </xf>
    <xf numFmtId="0" fontId="6" fillId="0" borderId="141" xfId="2" applyFont="1" applyFill="1" applyBorder="1" applyAlignment="1" applyProtection="1">
      <alignment horizontal="center" vertical="center"/>
    </xf>
    <xf numFmtId="0" fontId="6" fillId="0" borderId="142" xfId="2" applyNumberFormat="1" applyFont="1" applyFill="1" applyBorder="1" applyAlignment="1" applyProtection="1">
      <alignment horizontal="center" vertical="center" shrinkToFit="1"/>
    </xf>
    <xf numFmtId="0" fontId="6" fillId="0" borderId="143" xfId="2" applyFont="1" applyFill="1" applyBorder="1" applyAlignment="1" applyProtection="1">
      <alignment horizontal="center" vertical="center"/>
    </xf>
    <xf numFmtId="190" fontId="6" fillId="0" borderId="80" xfId="2" applyNumberFormat="1" applyFont="1" applyFill="1" applyBorder="1" applyAlignment="1" applyProtection="1">
      <alignment horizontal="left" vertical="center" indent="1" shrinkToFit="1"/>
    </xf>
    <xf numFmtId="190" fontId="6" fillId="0" borderId="144" xfId="2" applyNumberFormat="1" applyFont="1" applyFill="1" applyBorder="1" applyAlignment="1" applyProtection="1">
      <alignment horizontal="left" vertical="center" indent="1" shrinkToFit="1"/>
    </xf>
    <xf numFmtId="0" fontId="6" fillId="0" borderId="145" xfId="2" applyFont="1" applyFill="1" applyBorder="1" applyAlignment="1" applyProtection="1">
      <alignment horizontal="center" vertical="center" wrapText="1"/>
    </xf>
    <xf numFmtId="0" fontId="6" fillId="0" borderId="144" xfId="2" applyFont="1" applyFill="1" applyBorder="1" applyAlignment="1" applyProtection="1">
      <alignment horizontal="center" vertical="center" wrapText="1"/>
    </xf>
    <xf numFmtId="0" fontId="6" fillId="0" borderId="146" xfId="2" applyFont="1" applyFill="1" applyBorder="1" applyAlignment="1" applyProtection="1">
      <alignment horizontal="center" vertical="center"/>
    </xf>
    <xf numFmtId="0" fontId="6" fillId="0" borderId="147" xfId="2" applyFont="1" applyFill="1" applyBorder="1" applyAlignment="1" applyProtection="1">
      <alignment horizontal="center" vertical="center"/>
    </xf>
    <xf numFmtId="0" fontId="6" fillId="0" borderId="148" xfId="2" applyFont="1" applyFill="1" applyBorder="1" applyAlignment="1" applyProtection="1">
      <alignment horizontal="center" vertical="center"/>
    </xf>
    <xf numFmtId="0" fontId="6" fillId="0" borderId="149" xfId="2" applyFont="1" applyFill="1" applyBorder="1" applyAlignment="1" applyProtection="1">
      <alignment horizontal="center" vertical="center"/>
    </xf>
    <xf numFmtId="0" fontId="6" fillId="0" borderId="90" xfId="2" applyFont="1" applyFill="1" applyBorder="1" applyAlignment="1" applyProtection="1">
      <alignment horizontal="center" vertical="center"/>
    </xf>
    <xf numFmtId="0" fontId="6" fillId="0" borderId="91" xfId="2" applyFont="1" applyFill="1" applyBorder="1" applyAlignment="1" applyProtection="1">
      <alignment horizontal="center" vertical="center"/>
    </xf>
    <xf numFmtId="0" fontId="6" fillId="0" borderId="0" xfId="2" applyFont="1" applyFill="1" applyBorder="1" applyAlignment="1" applyProtection="1">
      <alignment horizontal="center"/>
    </xf>
    <xf numFmtId="190" fontId="6" fillId="0" borderId="80" xfId="2" applyNumberFormat="1" applyFont="1" applyFill="1" applyBorder="1" applyAlignment="1" applyProtection="1">
      <alignment vertical="center" shrinkToFit="1"/>
    </xf>
    <xf numFmtId="190" fontId="6" fillId="0" borderId="144" xfId="2" applyNumberFormat="1" applyFont="1" applyFill="1" applyBorder="1" applyAlignment="1" applyProtection="1">
      <alignment vertical="center" shrinkToFit="1"/>
    </xf>
    <xf numFmtId="0" fontId="6" fillId="0" borderId="0" xfId="2" applyFont="1" applyFill="1" applyBorder="1" applyAlignment="1" applyProtection="1">
      <alignment vertical="center"/>
    </xf>
    <xf numFmtId="177" fontId="19" fillId="0" borderId="21" xfId="2" applyNumberFormat="1" applyFont="1" applyFill="1" applyBorder="1" applyAlignment="1" applyProtection="1">
      <alignment horizontal="center" vertical="center"/>
    </xf>
    <xf numFmtId="177" fontId="19" fillId="0" borderId="22" xfId="2" applyNumberFormat="1" applyFont="1" applyFill="1" applyBorder="1" applyAlignment="1" applyProtection="1">
      <alignment horizontal="center" vertical="center"/>
    </xf>
    <xf numFmtId="177" fontId="19" fillId="0" borderId="23" xfId="2" applyNumberFormat="1" applyFont="1" applyFill="1" applyBorder="1" applyAlignment="1" applyProtection="1">
      <alignment horizontal="center" vertical="center"/>
    </xf>
    <xf numFmtId="177" fontId="6" fillId="0" borderId="0" xfId="2" applyNumberFormat="1" applyFont="1" applyFill="1" applyBorder="1" applyAlignment="1" applyProtection="1">
      <alignment vertical="center"/>
    </xf>
    <xf numFmtId="0" fontId="6" fillId="0" borderId="0" xfId="2" applyFont="1" applyFill="1" applyBorder="1" applyAlignment="1" applyProtection="1">
      <alignment horizontal="center" shrinkToFit="1"/>
      <protection locked="0"/>
    </xf>
    <xf numFmtId="0" fontId="6" fillId="0" borderId="0" xfId="2" applyFont="1" applyFill="1" applyAlignment="1" applyProtection="1">
      <alignment horizontal="left"/>
      <protection locked="0"/>
    </xf>
    <xf numFmtId="0" fontId="6" fillId="0" borderId="0" xfId="11" applyFont="1" applyFill="1" applyBorder="1" applyAlignment="1">
      <alignment horizontal="left"/>
    </xf>
    <xf numFmtId="0" fontId="6" fillId="0" borderId="150" xfId="2" applyFont="1" applyFill="1" applyBorder="1" applyAlignment="1" applyProtection="1">
      <alignment horizontal="center" vertical="center"/>
    </xf>
    <xf numFmtId="0" fontId="6" fillId="0" borderId="151" xfId="2" applyNumberFormat="1" applyFont="1" applyFill="1" applyBorder="1" applyAlignment="1" applyProtection="1">
      <alignment horizontal="center" vertical="center" shrinkToFit="1"/>
    </xf>
    <xf numFmtId="0" fontId="6" fillId="0" borderId="152" xfId="2" applyFont="1" applyFill="1" applyBorder="1" applyAlignment="1" applyProtection="1">
      <alignment horizontal="center" vertical="center"/>
    </xf>
    <xf numFmtId="190" fontId="6" fillId="0" borderId="20" xfId="2" applyNumberFormat="1" applyFont="1" applyFill="1" applyBorder="1" applyAlignment="1" applyProtection="1">
      <alignment horizontal="left" vertical="center" indent="1" shrinkToFit="1"/>
    </xf>
    <xf numFmtId="190" fontId="6" fillId="0" borderId="153" xfId="2" applyNumberFormat="1" applyFont="1" applyFill="1" applyBorder="1" applyAlignment="1" applyProtection="1">
      <alignment horizontal="left" vertical="center" indent="1" shrinkToFit="1"/>
    </xf>
    <xf numFmtId="0" fontId="6" fillId="0" borderId="154" xfId="2" applyFont="1" applyFill="1" applyBorder="1" applyAlignment="1" applyProtection="1">
      <alignment horizontal="center" vertical="center" wrapText="1"/>
    </xf>
    <xf numFmtId="0" fontId="6" fillId="0" borderId="155" xfId="2" applyFont="1" applyFill="1" applyBorder="1" applyAlignment="1" applyProtection="1">
      <alignment horizontal="center" vertical="center" wrapText="1"/>
    </xf>
    <xf numFmtId="0" fontId="6" fillId="0" borderId="156" xfId="2" applyFont="1" applyFill="1" applyBorder="1" applyAlignment="1" applyProtection="1">
      <alignment horizontal="center" vertical="center"/>
    </xf>
    <xf numFmtId="0" fontId="6" fillId="0" borderId="157" xfId="2" applyFont="1" applyFill="1" applyBorder="1" applyAlignment="1" applyProtection="1">
      <alignment horizontal="center" vertical="center"/>
    </xf>
    <xf numFmtId="0" fontId="6" fillId="0" borderId="158" xfId="2" applyFont="1" applyFill="1" applyBorder="1" applyAlignment="1" applyProtection="1">
      <alignment horizontal="center" vertical="center"/>
    </xf>
    <xf numFmtId="0" fontId="6" fillId="0" borderId="159" xfId="2" applyFont="1" applyFill="1" applyBorder="1" applyAlignment="1" applyProtection="1">
      <alignment horizontal="center" vertical="center"/>
    </xf>
    <xf numFmtId="0" fontId="6" fillId="0" borderId="160" xfId="2" applyFont="1" applyFill="1" applyBorder="1" applyAlignment="1" applyProtection="1">
      <alignment horizontal="center" vertical="center"/>
    </xf>
    <xf numFmtId="0" fontId="6" fillId="0" borderId="161" xfId="2" applyFont="1" applyFill="1" applyBorder="1" applyAlignment="1" applyProtection="1">
      <alignment horizontal="center" vertical="center"/>
    </xf>
    <xf numFmtId="0" fontId="6" fillId="0" borderId="162" xfId="2" applyFont="1" applyFill="1" applyBorder="1" applyAlignment="1" applyProtection="1">
      <alignment horizontal="center" vertical="center"/>
    </xf>
    <xf numFmtId="190" fontId="6" fillId="0" borderId="163" xfId="2" applyNumberFormat="1" applyFont="1" applyFill="1" applyBorder="1" applyAlignment="1" applyProtection="1">
      <alignment horizontal="center" vertical="center" shrinkToFit="1"/>
    </xf>
    <xf numFmtId="190" fontId="6" fillId="0" borderId="0" xfId="2" applyNumberFormat="1" applyFont="1" applyFill="1" applyBorder="1" applyAlignment="1" applyProtection="1">
      <alignment horizontal="center" vertical="center" shrinkToFit="1"/>
    </xf>
    <xf numFmtId="190" fontId="6" fillId="0" borderId="50" xfId="2" applyNumberFormat="1" applyFont="1" applyFill="1" applyBorder="1" applyAlignment="1" applyProtection="1">
      <alignment horizontal="center" vertical="center" shrinkToFit="1"/>
    </xf>
    <xf numFmtId="190" fontId="6" fillId="0" borderId="20" xfId="2" applyNumberFormat="1" applyFont="1" applyFill="1" applyBorder="1" applyAlignment="1" applyProtection="1">
      <alignment vertical="center" shrinkToFit="1"/>
    </xf>
    <xf numFmtId="190" fontId="6" fillId="0" borderId="153" xfId="2" applyNumberFormat="1" applyFont="1" applyFill="1" applyBorder="1" applyAlignment="1" applyProtection="1">
      <alignment vertical="center" shrinkToFit="1"/>
    </xf>
    <xf numFmtId="177" fontId="19" fillId="0" borderId="0" xfId="2" applyNumberFormat="1" applyFont="1" applyFill="1" applyBorder="1" applyAlignment="1" applyProtection="1">
      <alignment horizontal="center" vertical="center"/>
    </xf>
    <xf numFmtId="0" fontId="6" fillId="0" borderId="0" xfId="2" applyFont="1" applyFill="1" applyBorder="1" applyAlignment="1" applyProtection="1">
      <alignment horizontal="left"/>
      <protection locked="0"/>
    </xf>
    <xf numFmtId="0" fontId="6" fillId="0" borderId="165" xfId="2" applyFont="1" applyFill="1" applyBorder="1" applyAlignment="1" applyProtection="1">
      <alignment horizontal="center" vertical="center"/>
    </xf>
    <xf numFmtId="0" fontId="6" fillId="0" borderId="166" xfId="2" applyNumberFormat="1" applyFont="1" applyFill="1" applyBorder="1" applyAlignment="1" applyProtection="1">
      <alignment horizontal="center" vertical="center"/>
    </xf>
    <xf numFmtId="0" fontId="6" fillId="0" borderId="167" xfId="2" applyFont="1" applyFill="1" applyBorder="1" applyAlignment="1" applyProtection="1">
      <alignment horizontal="center" vertical="center"/>
    </xf>
    <xf numFmtId="191" fontId="6" fillId="0" borderId="166" xfId="2" applyNumberFormat="1" applyFont="1" applyFill="1" applyBorder="1" applyAlignment="1" applyProtection="1">
      <alignment vertical="center"/>
    </xf>
    <xf numFmtId="0" fontId="6" fillId="0" borderId="168" xfId="2" applyFont="1" applyFill="1" applyBorder="1" applyAlignment="1" applyProtection="1">
      <alignment horizontal="center" vertical="center"/>
    </xf>
    <xf numFmtId="192" fontId="6" fillId="0" borderId="166" xfId="2" applyNumberFormat="1" applyFont="1" applyFill="1" applyBorder="1" applyAlignment="1" applyProtection="1">
      <alignment vertical="center"/>
      <protection locked="0"/>
    </xf>
    <xf numFmtId="0" fontId="6" fillId="0" borderId="169" xfId="2" applyFont="1" applyFill="1" applyBorder="1" applyAlignment="1" applyProtection="1">
      <alignment horizontal="center" vertical="center" shrinkToFit="1"/>
    </xf>
    <xf numFmtId="0" fontId="6" fillId="0" borderId="170" xfId="2" applyFont="1" applyFill="1" applyBorder="1" applyAlignment="1" applyProtection="1">
      <alignment horizontal="center" vertical="center" shrinkToFit="1"/>
    </xf>
    <xf numFmtId="193" fontId="6" fillId="0" borderId="171" xfId="2" applyNumberFormat="1" applyFont="1" applyFill="1" applyBorder="1" applyAlignment="1" applyProtection="1">
      <alignment vertical="center"/>
      <protection locked="0"/>
    </xf>
    <xf numFmtId="193" fontId="6" fillId="0" borderId="166" xfId="2" applyNumberFormat="1" applyFont="1" applyFill="1" applyBorder="1" applyAlignment="1" applyProtection="1">
      <alignment vertical="center"/>
      <protection locked="0"/>
    </xf>
    <xf numFmtId="194" fontId="6" fillId="0" borderId="172" xfId="2" applyNumberFormat="1" applyFont="1" applyFill="1" applyBorder="1" applyAlignment="1" applyProtection="1">
      <alignment vertical="center" shrinkToFit="1"/>
      <protection locked="0"/>
    </xf>
    <xf numFmtId="194" fontId="6" fillId="0" borderId="166" xfId="2" applyNumberFormat="1" applyFont="1" applyFill="1" applyBorder="1" applyAlignment="1" applyProtection="1">
      <alignment vertical="center" shrinkToFit="1"/>
      <protection locked="0"/>
    </xf>
    <xf numFmtId="195" fontId="6" fillId="0" borderId="173" xfId="2" applyNumberFormat="1" applyFont="1" applyFill="1" applyBorder="1" applyAlignment="1" applyProtection="1">
      <alignment horizontal="center" vertical="center" shrinkToFit="1"/>
      <protection locked="0"/>
    </xf>
    <xf numFmtId="196" fontId="6" fillId="0" borderId="173" xfId="2" applyNumberFormat="1" applyFont="1" applyFill="1" applyBorder="1" applyAlignment="1" applyProtection="1">
      <alignment horizontal="center" vertical="center" shrinkToFit="1"/>
      <protection locked="0"/>
    </xf>
    <xf numFmtId="197" fontId="6" fillId="0" borderId="47" xfId="2" applyNumberFormat="1" applyFont="1" applyFill="1" applyBorder="1" applyAlignment="1" applyProtection="1">
      <alignment horizontal="center" vertical="center" shrinkToFit="1"/>
      <protection locked="0"/>
    </xf>
    <xf numFmtId="198" fontId="6" fillId="0" borderId="166" xfId="2" applyNumberFormat="1" applyFont="1" applyFill="1" applyBorder="1" applyAlignment="1" applyProtection="1">
      <alignment horizontal="center" vertical="center" shrinkToFit="1"/>
      <protection locked="0"/>
    </xf>
    <xf numFmtId="190" fontId="6" fillId="0" borderId="172" xfId="2" applyNumberFormat="1" applyFont="1" applyFill="1" applyBorder="1" applyAlignment="1" applyProtection="1">
      <alignment horizontal="center" vertical="center" shrinkToFit="1"/>
    </xf>
    <xf numFmtId="190" fontId="6" fillId="0" borderId="45" xfId="2" applyNumberFormat="1" applyFont="1" applyFill="1" applyBorder="1" applyAlignment="1" applyProtection="1">
      <alignment horizontal="center" vertical="center" shrinkToFit="1"/>
    </xf>
    <xf numFmtId="190" fontId="6" fillId="0" borderId="46" xfId="2" applyNumberFormat="1" applyFont="1" applyFill="1" applyBorder="1" applyAlignment="1" applyProtection="1">
      <alignment horizontal="center" vertical="center" shrinkToFit="1"/>
    </xf>
    <xf numFmtId="199" fontId="6" fillId="0" borderId="0" xfId="2" applyNumberFormat="1" applyFont="1" applyFill="1" applyBorder="1" applyAlignment="1" applyProtection="1">
      <alignment horizontal="center" shrinkToFit="1"/>
      <protection locked="0"/>
    </xf>
    <xf numFmtId="0" fontId="6" fillId="0" borderId="0" xfId="2" applyFont="1" applyFill="1" applyBorder="1" applyAlignment="1" applyProtection="1">
      <alignment vertical="center" shrinkToFit="1"/>
      <protection locked="0"/>
    </xf>
    <xf numFmtId="0" fontId="6" fillId="0" borderId="0" xfId="2" applyFont="1" applyFill="1" applyBorder="1" applyAlignment="1" applyProtection="1">
      <alignment vertical="center" shrinkToFit="1"/>
    </xf>
    <xf numFmtId="200" fontId="6" fillId="0" borderId="0" xfId="2" applyNumberFormat="1" applyFont="1" applyFill="1" applyBorder="1" applyAlignment="1" applyProtection="1">
      <alignment vertical="center"/>
    </xf>
    <xf numFmtId="177" fontId="6" fillId="0" borderId="139" xfId="2" applyNumberFormat="1" applyFont="1" applyFill="1" applyBorder="1" applyAlignment="1" applyProtection="1">
      <alignment horizontal="center"/>
    </xf>
    <xf numFmtId="0" fontId="6" fillId="0" borderId="0" xfId="2" applyFont="1" applyFill="1" applyBorder="1" applyAlignment="1" applyProtection="1">
      <alignment horizontal="left" indent="1"/>
    </xf>
    <xf numFmtId="0" fontId="6" fillId="0" borderId="0" xfId="2" applyFont="1" applyFill="1" applyBorder="1" applyProtection="1"/>
    <xf numFmtId="0" fontId="6" fillId="0" borderId="175" xfId="2" applyFont="1" applyFill="1" applyBorder="1" applyAlignment="1" applyProtection="1">
      <alignment horizontal="right" shrinkToFit="1"/>
    </xf>
    <xf numFmtId="201" fontId="6" fillId="0" borderId="175" xfId="2" applyNumberFormat="1" applyFont="1" applyFill="1" applyBorder="1" applyAlignment="1" applyProtection="1">
      <alignment horizontal="left"/>
    </xf>
    <xf numFmtId="200" fontId="6" fillId="0" borderId="0" xfId="2" applyNumberFormat="1" applyFont="1" applyFill="1" applyBorder="1" applyAlignment="1" applyProtection="1">
      <alignment horizontal="left"/>
    </xf>
    <xf numFmtId="177" fontId="6" fillId="0" borderId="0" xfId="2" applyNumberFormat="1" applyFont="1" applyFill="1" applyBorder="1" applyProtection="1"/>
    <xf numFmtId="0" fontId="6" fillId="0" borderId="0" xfId="2" applyFont="1" applyFill="1" applyBorder="1" applyAlignment="1" applyProtection="1">
      <alignment horizontal="right"/>
    </xf>
    <xf numFmtId="201" fontId="6" fillId="0" borderId="0" xfId="2" applyNumberFormat="1" applyFont="1" applyFill="1" applyBorder="1" applyAlignment="1" applyProtection="1">
      <alignment horizontal="left"/>
    </xf>
    <xf numFmtId="3" fontId="6" fillId="0" borderId="0" xfId="12" applyNumberFormat="1" applyFont="1" applyFill="1" applyBorder="1" applyProtection="1"/>
    <xf numFmtId="177" fontId="6" fillId="0" borderId="0" xfId="2" applyNumberFormat="1" applyFont="1" applyFill="1" applyBorder="1" applyAlignment="1" applyProtection="1">
      <alignment horizontal="right"/>
    </xf>
    <xf numFmtId="202" fontId="6" fillId="0" borderId="0" xfId="12" applyNumberFormat="1" applyFont="1" applyFill="1" applyBorder="1" applyAlignment="1" applyProtection="1">
      <alignment horizontal="left"/>
    </xf>
    <xf numFmtId="200" fontId="6" fillId="0" borderId="0" xfId="2" applyNumberFormat="1" applyFont="1" applyFill="1" applyBorder="1" applyAlignment="1" applyProtection="1">
      <alignment horizontal="left"/>
    </xf>
    <xf numFmtId="200" fontId="6" fillId="0" borderId="0" xfId="2" applyNumberFormat="1" applyFont="1" applyFill="1" applyBorder="1" applyAlignment="1" applyProtection="1">
      <alignment horizontal="right"/>
    </xf>
    <xf numFmtId="0" fontId="6" fillId="0" borderId="176" xfId="2" applyFont="1" applyFill="1" applyBorder="1" applyAlignment="1" applyProtection="1">
      <alignment horizontal="right"/>
    </xf>
    <xf numFmtId="0" fontId="14" fillId="5" borderId="21" xfId="4" applyFont="1" applyFill="1" applyBorder="1" applyAlignment="1">
      <alignment horizontal="center" vertical="center"/>
    </xf>
    <xf numFmtId="0" fontId="6" fillId="0" borderId="139" xfId="2" applyFont="1" applyFill="1" applyBorder="1" applyAlignment="1" applyProtection="1">
      <alignment horizontal="right"/>
    </xf>
    <xf numFmtId="0" fontId="14" fillId="6" borderId="21" xfId="4" applyFont="1" applyFill="1" applyBorder="1" applyAlignment="1">
      <alignment horizontal="center" vertical="center"/>
    </xf>
    <xf numFmtId="203" fontId="6" fillId="0" borderId="0" xfId="2" applyNumberFormat="1" applyFont="1" applyFill="1" applyBorder="1" applyAlignment="1" applyProtection="1">
      <alignment vertical="center"/>
    </xf>
    <xf numFmtId="200" fontId="6" fillId="0" borderId="0" xfId="2" applyNumberFormat="1" applyFont="1" applyFill="1" applyBorder="1" applyAlignment="1" applyProtection="1">
      <alignment vertical="center"/>
    </xf>
    <xf numFmtId="204" fontId="6" fillId="0" borderId="0" xfId="2" applyNumberFormat="1" applyFont="1" applyFill="1" applyBorder="1" applyAlignment="1" applyProtection="1">
      <alignment horizontal="left" vertical="center"/>
    </xf>
    <xf numFmtId="203" fontId="6" fillId="0" borderId="0" xfId="2" applyNumberFormat="1" applyFont="1" applyFill="1" applyBorder="1" applyAlignment="1" applyProtection="1">
      <alignment vertical="center"/>
      <protection locked="0"/>
    </xf>
    <xf numFmtId="203" fontId="6" fillId="0" borderId="139" xfId="2" applyNumberFormat="1" applyFont="1" applyFill="1" applyBorder="1" applyAlignment="1" applyProtection="1"/>
    <xf numFmtId="0" fontId="15" fillId="3" borderId="177" xfId="2" applyFont="1" applyFill="1" applyBorder="1" applyAlignment="1" applyProtection="1">
      <alignment horizontal="left" vertical="center" wrapText="1" indent="1"/>
      <protection locked="0"/>
    </xf>
    <xf numFmtId="0" fontId="15" fillId="3" borderId="178" xfId="2" applyFont="1" applyFill="1" applyBorder="1" applyAlignment="1" applyProtection="1">
      <alignment horizontal="left" vertical="center" wrapText="1" indent="1"/>
      <protection locked="0"/>
    </xf>
    <xf numFmtId="0" fontId="15" fillId="3" borderId="179" xfId="2" applyFont="1" applyFill="1" applyBorder="1" applyAlignment="1" applyProtection="1">
      <alignment horizontal="left" vertical="center" wrapText="1" indent="1"/>
      <protection locked="0"/>
    </xf>
    <xf numFmtId="177" fontId="6" fillId="3" borderId="180" xfId="2" applyNumberFormat="1" applyFont="1" applyFill="1" applyBorder="1" applyAlignment="1" applyProtection="1">
      <alignment horizontal="center" vertical="center"/>
    </xf>
    <xf numFmtId="177" fontId="6" fillId="3" borderId="181" xfId="2" applyNumberFormat="1" applyFont="1" applyFill="1" applyBorder="1" applyAlignment="1" applyProtection="1">
      <alignment horizontal="center" vertical="center"/>
    </xf>
    <xf numFmtId="177" fontId="6" fillId="3" borderId="182" xfId="2" applyNumberFormat="1" applyFont="1" applyFill="1" applyBorder="1" applyAlignment="1" applyProtection="1">
      <alignment horizontal="center" vertical="center"/>
    </xf>
    <xf numFmtId="177" fontId="6" fillId="3" borderId="180" xfId="2" applyNumberFormat="1" applyFont="1" applyFill="1" applyBorder="1" applyAlignment="1" applyProtection="1">
      <alignment horizontal="centerContinuous" vertical="center"/>
    </xf>
    <xf numFmtId="177" fontId="6" fillId="3" borderId="181" xfId="2" applyNumberFormat="1" applyFont="1" applyFill="1" applyBorder="1" applyAlignment="1" applyProtection="1">
      <alignment horizontal="centerContinuous" vertical="center"/>
    </xf>
    <xf numFmtId="177" fontId="6" fillId="3" borderId="183" xfId="2" applyNumberFormat="1" applyFont="1" applyFill="1" applyBorder="1" applyAlignment="1" applyProtection="1">
      <alignment horizontal="center" vertical="center"/>
    </xf>
    <xf numFmtId="177" fontId="6" fillId="3" borderId="178" xfId="2" applyNumberFormat="1" applyFont="1" applyFill="1" applyBorder="1" applyAlignment="1" applyProtection="1">
      <alignment horizontal="center" vertical="center"/>
    </xf>
    <xf numFmtId="177" fontId="6" fillId="3" borderId="184" xfId="2" applyNumberFormat="1" applyFont="1" applyFill="1" applyBorder="1" applyAlignment="1" applyProtection="1">
      <alignment horizontal="center" vertical="center"/>
    </xf>
    <xf numFmtId="205" fontId="6" fillId="0" borderId="0" xfId="2" applyNumberFormat="1" applyFont="1" applyFill="1" applyBorder="1" applyAlignment="1" applyProtection="1">
      <alignment horizontal="right" shrinkToFit="1"/>
    </xf>
    <xf numFmtId="0" fontId="6" fillId="0" borderId="0" xfId="2" applyNumberFormat="1" applyFont="1" applyFill="1" applyBorder="1" applyAlignment="1" applyProtection="1">
      <alignment vertical="center"/>
    </xf>
    <xf numFmtId="0" fontId="11" fillId="0" borderId="0" xfId="3" applyNumberFormat="1" applyAlignment="1">
      <alignment vertical="center"/>
    </xf>
    <xf numFmtId="0" fontId="11" fillId="0" borderId="0" xfId="3" applyNumberFormat="1" applyFill="1" applyAlignment="1">
      <alignment vertical="center"/>
    </xf>
    <xf numFmtId="3" fontId="6" fillId="0" borderId="140" xfId="12" applyNumberFormat="1" applyFont="1" applyFill="1" applyBorder="1" applyAlignment="1" applyProtection="1">
      <alignment horizontal="center" vertical="center" shrinkToFit="1"/>
    </xf>
    <xf numFmtId="2" fontId="6" fillId="0" borderId="0" xfId="2" applyNumberFormat="1" applyFont="1" applyFill="1" applyBorder="1" applyAlignment="1" applyProtection="1">
      <protection locked="0"/>
    </xf>
    <xf numFmtId="0" fontId="15" fillId="3" borderId="103" xfId="2" applyFont="1" applyFill="1" applyBorder="1" applyAlignment="1" applyProtection="1">
      <alignment horizontal="left" vertical="center" wrapText="1" indent="1"/>
      <protection locked="0"/>
    </xf>
    <xf numFmtId="0" fontId="15" fillId="3" borderId="45" xfId="2" applyFont="1" applyFill="1" applyBorder="1" applyAlignment="1" applyProtection="1">
      <alignment horizontal="left" vertical="center" wrapText="1" indent="1"/>
      <protection locked="0"/>
    </xf>
    <xf numFmtId="0" fontId="15" fillId="3" borderId="185" xfId="2" applyFont="1" applyFill="1" applyBorder="1" applyAlignment="1" applyProtection="1">
      <alignment horizontal="left" vertical="center" wrapText="1" indent="1"/>
      <protection locked="0"/>
    </xf>
    <xf numFmtId="183" fontId="6" fillId="13" borderId="186" xfId="2" applyNumberFormat="1" applyFont="1" applyFill="1" applyBorder="1" applyAlignment="1" applyProtection="1">
      <alignment horizontal="centerContinuous"/>
      <protection locked="0"/>
    </xf>
    <xf numFmtId="183" fontId="6" fillId="13" borderId="0" xfId="2" applyNumberFormat="1" applyFont="1" applyFill="1" applyBorder="1" applyAlignment="1" applyProtection="1">
      <alignment horizontal="centerContinuous"/>
    </xf>
    <xf numFmtId="183" fontId="6" fillId="13" borderId="187" xfId="2" applyNumberFormat="1" applyFont="1" applyFill="1" applyBorder="1" applyAlignment="1" applyProtection="1">
      <alignment horizontal="centerContinuous"/>
      <protection locked="0"/>
    </xf>
    <xf numFmtId="183" fontId="6" fillId="13" borderId="50" xfId="2" applyNumberFormat="1" applyFont="1" applyFill="1" applyBorder="1" applyAlignment="1" applyProtection="1">
      <alignment horizontal="centerContinuous"/>
    </xf>
    <xf numFmtId="183" fontId="6" fillId="14" borderId="186" xfId="2" applyNumberFormat="1" applyFont="1" applyFill="1" applyBorder="1" applyAlignment="1" applyProtection="1">
      <alignment horizontal="centerContinuous"/>
      <protection locked="0"/>
    </xf>
    <xf numFmtId="183" fontId="6" fillId="15" borderId="0" xfId="2" applyNumberFormat="1" applyFont="1" applyFill="1" applyBorder="1" applyAlignment="1" applyProtection="1">
      <alignment horizontal="centerContinuous"/>
    </xf>
    <xf numFmtId="183" fontId="6" fillId="15" borderId="187" xfId="2" applyNumberFormat="1" applyFont="1" applyFill="1" applyBorder="1" applyAlignment="1" applyProtection="1">
      <alignment horizontal="centerContinuous"/>
      <protection locked="0"/>
    </xf>
    <xf numFmtId="183" fontId="6" fillId="15" borderId="50" xfId="2" applyNumberFormat="1" applyFont="1" applyFill="1" applyBorder="1" applyAlignment="1" applyProtection="1">
      <alignment horizontal="centerContinuous"/>
    </xf>
    <xf numFmtId="183" fontId="6" fillId="16" borderId="186" xfId="2" applyNumberFormat="1" applyFont="1" applyFill="1" applyBorder="1" applyAlignment="1" applyProtection="1">
      <alignment horizontal="centerContinuous"/>
      <protection locked="0"/>
    </xf>
    <xf numFmtId="183" fontId="6" fillId="16" borderId="0" xfId="2" applyNumberFormat="1" applyFont="1" applyFill="1" applyBorder="1" applyAlignment="1" applyProtection="1">
      <alignment horizontal="centerContinuous"/>
    </xf>
    <xf numFmtId="183" fontId="6" fillId="16" borderId="187" xfId="2" applyNumberFormat="1" applyFont="1" applyFill="1" applyBorder="1" applyAlignment="1" applyProtection="1">
      <alignment horizontal="centerContinuous"/>
      <protection locked="0"/>
    </xf>
    <xf numFmtId="183" fontId="6" fillId="16" borderId="50" xfId="2" applyNumberFormat="1" applyFont="1" applyFill="1" applyBorder="1" applyAlignment="1" applyProtection="1">
      <alignment horizontal="centerContinuous"/>
    </xf>
    <xf numFmtId="203" fontId="6" fillId="17" borderId="188" xfId="2" applyNumberFormat="1" applyFont="1" applyFill="1" applyBorder="1" applyAlignment="1" applyProtection="1">
      <alignment horizontal="centerContinuous" vertical="center"/>
      <protection locked="0"/>
    </xf>
    <xf numFmtId="203" fontId="6" fillId="17" borderId="189" xfId="2" applyNumberFormat="1" applyFont="1" applyFill="1" applyBorder="1" applyAlignment="1" applyProtection="1">
      <alignment horizontal="centerContinuous" vertical="center"/>
      <protection locked="0"/>
    </xf>
    <xf numFmtId="203" fontId="6" fillId="17" borderId="190" xfId="2" applyNumberFormat="1" applyFont="1" applyFill="1" applyBorder="1" applyAlignment="1" applyProtection="1">
      <alignment horizontal="centerContinuous" vertical="center"/>
      <protection locked="0"/>
    </xf>
    <xf numFmtId="203" fontId="6" fillId="18" borderId="191" xfId="2" applyNumberFormat="1" applyFont="1" applyFill="1" applyBorder="1" applyAlignment="1" applyProtection="1">
      <alignment horizontal="centerContinuous" vertical="center"/>
      <protection locked="0"/>
    </xf>
    <xf numFmtId="203" fontId="6" fillId="18" borderId="189" xfId="2" applyNumberFormat="1" applyFont="1" applyFill="1" applyBorder="1" applyAlignment="1" applyProtection="1">
      <alignment horizontal="centerContinuous" vertical="center"/>
      <protection locked="0"/>
    </xf>
    <xf numFmtId="177" fontId="6" fillId="3" borderId="186" xfId="2" applyNumberFormat="1" applyFont="1" applyFill="1" applyBorder="1" applyAlignment="1" applyProtection="1">
      <alignment horizontal="center" vertical="center"/>
    </xf>
    <xf numFmtId="177" fontId="6" fillId="3" borderId="0" xfId="2" applyNumberFormat="1" applyFont="1" applyFill="1" applyBorder="1" applyAlignment="1" applyProtection="1">
      <alignment horizontal="center" vertical="center"/>
    </xf>
    <xf numFmtId="177" fontId="6" fillId="3" borderId="50" xfId="2" applyNumberFormat="1" applyFont="1" applyFill="1" applyBorder="1" applyAlignment="1" applyProtection="1">
      <alignment horizontal="center" vertical="center"/>
    </xf>
    <xf numFmtId="203" fontId="19" fillId="0" borderId="0" xfId="2" applyNumberFormat="1" applyFont="1" applyFill="1" applyBorder="1" applyAlignment="1" applyProtection="1">
      <alignment vertical="center"/>
    </xf>
    <xf numFmtId="205" fontId="6" fillId="0" borderId="0" xfId="2" applyNumberFormat="1" applyFont="1" applyFill="1" applyBorder="1" applyAlignment="1" applyProtection="1">
      <alignment vertical="center"/>
    </xf>
    <xf numFmtId="194" fontId="6" fillId="0" borderId="0" xfId="12" applyNumberFormat="1" applyFont="1" applyFill="1" applyBorder="1" applyAlignment="1" applyProtection="1">
      <alignment vertical="center"/>
    </xf>
    <xf numFmtId="0" fontId="6" fillId="0" borderId="0" xfId="2" applyFont="1" applyAlignment="1" applyProtection="1">
      <alignment horizontal="center"/>
      <protection locked="0"/>
    </xf>
    <xf numFmtId="0" fontId="6" fillId="19" borderId="102" xfId="2" applyFont="1" applyFill="1" applyBorder="1" applyAlignment="1" applyProtection="1">
      <alignment horizontal="center" vertical="center" textRotation="255" shrinkToFit="1"/>
    </xf>
    <xf numFmtId="0" fontId="6" fillId="3" borderId="108" xfId="2" applyFont="1" applyFill="1" applyBorder="1" applyAlignment="1" applyProtection="1">
      <alignment horizontal="center" vertical="center" shrinkToFit="1"/>
    </xf>
    <xf numFmtId="0" fontId="6" fillId="3" borderId="109" xfId="2" applyFont="1" applyFill="1" applyBorder="1" applyAlignment="1" applyProtection="1">
      <alignment horizontal="center" vertical="center" shrinkToFit="1"/>
    </xf>
    <xf numFmtId="0" fontId="6" fillId="3" borderId="192" xfId="2" applyFont="1" applyFill="1" applyBorder="1" applyAlignment="1" applyProtection="1">
      <alignment horizontal="center" vertical="center" shrinkToFit="1"/>
    </xf>
    <xf numFmtId="0" fontId="6" fillId="3" borderId="65" xfId="2" applyFont="1" applyFill="1" applyBorder="1" applyAlignment="1" applyProtection="1">
      <alignment horizontal="center" vertical="center" shrinkToFit="1"/>
    </xf>
    <xf numFmtId="177" fontId="6" fillId="3" borderId="193" xfId="2" applyNumberFormat="1" applyFont="1" applyFill="1" applyBorder="1" applyAlignment="1" applyProtection="1">
      <alignment horizontal="center" vertical="center" wrapText="1" shrinkToFit="1"/>
    </xf>
    <xf numFmtId="3" fontId="6" fillId="3" borderId="65" xfId="12" applyNumberFormat="1" applyFont="1" applyFill="1" applyBorder="1" applyAlignment="1" applyProtection="1">
      <alignment horizontal="center" vertical="center" shrinkToFit="1"/>
    </xf>
    <xf numFmtId="177" fontId="6" fillId="3" borderId="194" xfId="2" applyNumberFormat="1" applyFont="1" applyFill="1" applyBorder="1" applyAlignment="1" applyProtection="1">
      <alignment horizontal="center" vertical="center" wrapText="1" shrinkToFit="1"/>
    </xf>
    <xf numFmtId="3" fontId="6" fillId="3" borderId="31" xfId="12" applyNumberFormat="1" applyFont="1" applyFill="1" applyBorder="1" applyAlignment="1" applyProtection="1">
      <alignment horizontal="center" vertical="center" shrinkToFit="1"/>
    </xf>
    <xf numFmtId="3" fontId="6" fillId="0" borderId="139" xfId="12" applyNumberFormat="1" applyFont="1" applyFill="1" applyBorder="1" applyAlignment="1" applyProtection="1">
      <alignment horizontal="center" vertical="center" shrinkToFit="1"/>
    </xf>
    <xf numFmtId="0" fontId="6" fillId="19" borderId="62" xfId="2" applyFont="1" applyFill="1" applyBorder="1" applyAlignment="1" applyProtection="1">
      <alignment horizontal="center" vertical="center" textRotation="255" shrinkToFit="1"/>
    </xf>
    <xf numFmtId="183" fontId="6" fillId="3" borderId="193" xfId="2" applyNumberFormat="1" applyFont="1" applyFill="1" applyBorder="1" applyAlignment="1" applyProtection="1">
      <alignment horizontal="center" vertical="center" wrapText="1" shrinkToFit="1"/>
    </xf>
    <xf numFmtId="177" fontId="6" fillId="3" borderId="109" xfId="2" applyNumberFormat="1" applyFont="1" applyFill="1" applyBorder="1" applyAlignment="1" applyProtection="1">
      <alignment horizontal="center" vertical="center" shrinkToFit="1"/>
    </xf>
    <xf numFmtId="183" fontId="6" fillId="3" borderId="194" xfId="2" applyNumberFormat="1" applyFont="1" applyFill="1" applyBorder="1" applyAlignment="1" applyProtection="1">
      <alignment horizontal="center" vertical="center" wrapText="1" shrinkToFit="1"/>
    </xf>
    <xf numFmtId="177" fontId="6" fillId="3" borderId="45" xfId="2" applyNumberFormat="1" applyFont="1" applyFill="1" applyBorder="1" applyAlignment="1" applyProtection="1">
      <alignment horizontal="center" vertical="center"/>
    </xf>
    <xf numFmtId="177" fontId="6" fillId="3" borderId="46" xfId="2" applyNumberFormat="1" applyFont="1" applyFill="1" applyBorder="1" applyAlignment="1" applyProtection="1">
      <alignment horizontal="center" vertical="center"/>
    </xf>
    <xf numFmtId="3" fontId="6" fillId="0" borderId="0" xfId="12" applyNumberFormat="1" applyFont="1" applyFill="1" applyBorder="1" applyAlignment="1" applyProtection="1">
      <alignment horizontal="center" vertical="center" wrapText="1"/>
    </xf>
    <xf numFmtId="206" fontId="6" fillId="0" borderId="0" xfId="12" applyNumberFormat="1" applyFont="1" applyFill="1" applyBorder="1" applyAlignment="1" applyProtection="1">
      <alignment vertical="center"/>
    </xf>
    <xf numFmtId="205" fontId="6" fillId="0" borderId="0" xfId="2" applyNumberFormat="1" applyFont="1" applyFill="1" applyBorder="1" applyAlignment="1" applyProtection="1">
      <alignment horizontal="center" vertical="center" shrinkToFit="1"/>
    </xf>
    <xf numFmtId="206" fontId="6" fillId="0" borderId="0" xfId="2" applyNumberFormat="1" applyFont="1" applyFill="1" applyBorder="1" applyAlignment="1" applyProtection="1">
      <alignment vertical="center"/>
      <protection locked="0"/>
    </xf>
    <xf numFmtId="0" fontId="6" fillId="19" borderId="36" xfId="2" applyFont="1" applyFill="1" applyBorder="1" applyAlignment="1" applyProtection="1">
      <alignment horizontal="center" vertical="center" textRotation="255" shrinkToFit="1"/>
    </xf>
    <xf numFmtId="0" fontId="6" fillId="0" borderId="195" xfId="2" applyNumberFormat="1" applyFont="1" applyFill="1" applyBorder="1" applyAlignment="1" applyProtection="1">
      <alignment horizontal="center"/>
    </xf>
    <xf numFmtId="0" fontId="6" fillId="0" borderId="196" xfId="2" applyNumberFormat="1" applyFont="1" applyFill="1" applyBorder="1" applyAlignment="1" applyProtection="1">
      <alignment horizontal="center"/>
    </xf>
    <xf numFmtId="207" fontId="6" fillId="0" borderId="197" xfId="2" applyNumberFormat="1" applyFont="1" applyFill="1" applyBorder="1" applyProtection="1"/>
    <xf numFmtId="205" fontId="6" fillId="0" borderId="198" xfId="2" applyNumberFormat="1" applyFont="1" applyFill="1" applyBorder="1" applyAlignment="1" applyProtection="1">
      <alignment horizontal="right" shrinkToFit="1"/>
    </xf>
    <xf numFmtId="194" fontId="6" fillId="0" borderId="155" xfId="12" applyNumberFormat="1" applyFont="1" applyFill="1" applyBorder="1" applyAlignment="1" applyProtection="1">
      <alignment horizontal="right" shrinkToFit="1"/>
    </xf>
    <xf numFmtId="205" fontId="6" fillId="0" borderId="135" xfId="2" applyNumberFormat="1" applyFont="1" applyFill="1" applyBorder="1" applyAlignment="1" applyProtection="1">
      <alignment horizontal="right" shrinkToFit="1"/>
    </xf>
    <xf numFmtId="194" fontId="6" fillId="0" borderId="196" xfId="12" applyNumberFormat="1" applyFont="1" applyFill="1" applyBorder="1" applyAlignment="1" applyProtection="1">
      <alignment horizontal="right" shrinkToFit="1"/>
    </xf>
    <xf numFmtId="205" fontId="6" fillId="0" borderId="199" xfId="2" applyNumberFormat="1" applyFont="1" applyFill="1" applyBorder="1" applyAlignment="1" applyProtection="1">
      <alignment horizontal="right" shrinkToFit="1"/>
    </xf>
    <xf numFmtId="194" fontId="6" fillId="0" borderId="200" xfId="12" applyNumberFormat="1" applyFont="1" applyFill="1" applyBorder="1" applyAlignment="1" applyProtection="1">
      <alignment horizontal="right" shrinkToFit="1"/>
    </xf>
    <xf numFmtId="194" fontId="6" fillId="0" borderId="140" xfId="12" applyNumberFormat="1" applyFont="1" applyFill="1" applyBorder="1" applyAlignment="1" applyProtection="1">
      <alignment horizontal="right" shrinkToFit="1"/>
    </xf>
    <xf numFmtId="194" fontId="6" fillId="0" borderId="139" xfId="12" applyNumberFormat="1" applyFont="1" applyFill="1" applyBorder="1" applyAlignment="1" applyProtection="1">
      <alignment horizontal="right" shrinkToFit="1"/>
    </xf>
    <xf numFmtId="0" fontId="6" fillId="19" borderId="28" xfId="2" applyFont="1" applyFill="1" applyBorder="1" applyAlignment="1" applyProtection="1">
      <alignment horizontal="center" vertical="center" textRotation="255" shrinkToFit="1"/>
    </xf>
    <xf numFmtId="183" fontId="6" fillId="0" borderId="198" xfId="2" applyNumberFormat="1" applyFont="1" applyFill="1" applyBorder="1" applyAlignment="1" applyProtection="1">
      <alignment horizontal="right" shrinkToFit="1"/>
    </xf>
    <xf numFmtId="183" fontId="6" fillId="0" borderId="135" xfId="2" applyNumberFormat="1" applyFont="1" applyFill="1" applyBorder="1" applyAlignment="1" applyProtection="1">
      <alignment horizontal="right" shrinkToFit="1"/>
    </xf>
    <xf numFmtId="194" fontId="6" fillId="0" borderId="201" xfId="12" applyNumberFormat="1" applyFont="1" applyFill="1" applyBorder="1" applyAlignment="1" applyProtection="1">
      <alignment horizontal="right" shrinkToFit="1"/>
    </xf>
    <xf numFmtId="203" fontId="6" fillId="13" borderId="202" xfId="2" applyNumberFormat="1" applyFont="1" applyFill="1" applyBorder="1" applyAlignment="1" applyProtection="1">
      <alignment horizontal="center" vertical="center" wrapText="1"/>
      <protection locked="0"/>
    </xf>
    <xf numFmtId="203" fontId="6" fillId="13" borderId="203" xfId="2" applyNumberFormat="1" applyFont="1" applyFill="1" applyBorder="1" applyAlignment="1" applyProtection="1">
      <alignment horizontal="center" vertical="center" wrapText="1"/>
      <protection locked="0"/>
    </xf>
    <xf numFmtId="203" fontId="6" fillId="15" borderId="204" xfId="2" applyNumberFormat="1" applyFont="1" applyFill="1" applyBorder="1" applyAlignment="1" applyProtection="1">
      <alignment horizontal="center" vertical="center" wrapText="1"/>
      <protection locked="0"/>
    </xf>
    <xf numFmtId="203" fontId="6" fillId="15" borderId="203" xfId="2" applyNumberFormat="1" applyFont="1" applyFill="1" applyBorder="1" applyAlignment="1" applyProtection="1">
      <alignment horizontal="center" vertical="center" wrapText="1"/>
      <protection locked="0"/>
    </xf>
    <xf numFmtId="203" fontId="6" fillId="16" borderId="204" xfId="2" applyNumberFormat="1" applyFont="1" applyFill="1" applyBorder="1" applyAlignment="1" applyProtection="1">
      <alignment horizontal="center" vertical="center" wrapText="1"/>
      <protection locked="0"/>
    </xf>
    <xf numFmtId="203" fontId="6" fillId="16" borderId="203" xfId="2" applyNumberFormat="1" applyFont="1" applyFill="1" applyBorder="1" applyAlignment="1" applyProtection="1">
      <alignment horizontal="center" vertical="center" wrapText="1"/>
      <protection locked="0"/>
    </xf>
    <xf numFmtId="203" fontId="19" fillId="3" borderId="204" xfId="2" applyNumberFormat="1" applyFont="1" applyFill="1" applyBorder="1" applyAlignment="1" applyProtection="1">
      <alignment horizontal="center" vertical="center" wrapText="1"/>
      <protection locked="0"/>
    </xf>
    <xf numFmtId="203" fontId="19" fillId="3" borderId="203" xfId="2" applyNumberFormat="1" applyFont="1" applyFill="1" applyBorder="1" applyAlignment="1" applyProtection="1">
      <alignment horizontal="center" vertical="center" wrapText="1"/>
      <protection locked="0"/>
    </xf>
    <xf numFmtId="203" fontId="19" fillId="3" borderId="205" xfId="2" applyNumberFormat="1" applyFont="1" applyFill="1" applyBorder="1" applyAlignment="1" applyProtection="1">
      <alignment horizontal="center" vertical="center" wrapText="1"/>
      <protection locked="0"/>
    </xf>
    <xf numFmtId="203" fontId="19" fillId="3" borderId="133" xfId="2" applyNumberFormat="1" applyFont="1" applyFill="1" applyBorder="1" applyAlignment="1" applyProtection="1">
      <alignment horizontal="center" vertical="center" wrapText="1"/>
      <protection locked="0"/>
    </xf>
    <xf numFmtId="0" fontId="6" fillId="0" borderId="0" xfId="12" applyNumberFormat="1" applyFont="1" applyFill="1" applyBorder="1" applyAlignment="1" applyProtection="1">
      <alignment vertical="center"/>
    </xf>
    <xf numFmtId="0" fontId="6" fillId="0" borderId="0" xfId="2" applyNumberFormat="1" applyFont="1" applyFill="1" applyBorder="1" applyAlignment="1" applyProtection="1">
      <alignment vertical="center"/>
      <protection locked="0"/>
    </xf>
    <xf numFmtId="3" fontId="6" fillId="0" borderId="0" xfId="12" applyNumberFormat="1" applyFont="1" applyFill="1" applyBorder="1" applyAlignment="1" applyProtection="1">
      <alignment vertical="center"/>
    </xf>
    <xf numFmtId="0" fontId="6" fillId="0" borderId="206" xfId="2" applyNumberFormat="1" applyFont="1" applyFill="1" applyBorder="1" applyAlignment="1" applyProtection="1">
      <alignment horizontal="center"/>
    </xf>
    <xf numFmtId="0" fontId="6" fillId="0" borderId="84" xfId="2" applyNumberFormat="1" applyFont="1" applyFill="1" applyBorder="1" applyAlignment="1" applyProtection="1">
      <alignment horizontal="center"/>
    </xf>
    <xf numFmtId="207" fontId="6" fillId="0" borderId="207" xfId="2" applyNumberFormat="1" applyFont="1" applyFill="1" applyBorder="1" applyProtection="1"/>
    <xf numFmtId="205" fontId="6" fillId="0" borderId="208" xfId="2" applyNumberFormat="1" applyFont="1" applyFill="1" applyBorder="1" applyAlignment="1" applyProtection="1">
      <alignment horizontal="right" shrinkToFit="1"/>
    </xf>
    <xf numFmtId="194" fontId="6" fillId="0" borderId="209" xfId="12" applyNumberFormat="1" applyFont="1" applyFill="1" applyBorder="1" applyAlignment="1" applyProtection="1">
      <alignment horizontal="right" shrinkToFit="1"/>
    </xf>
    <xf numFmtId="205" fontId="6" fillId="0" borderId="72" xfId="2" applyNumberFormat="1" applyFont="1" applyFill="1" applyBorder="1" applyAlignment="1" applyProtection="1">
      <alignment horizontal="right" shrinkToFit="1"/>
    </xf>
    <xf numFmtId="194" fontId="6" fillId="0" borderId="84" xfId="12" applyNumberFormat="1" applyFont="1" applyFill="1" applyBorder="1" applyAlignment="1" applyProtection="1">
      <alignment horizontal="right" shrinkToFit="1"/>
    </xf>
    <xf numFmtId="205" fontId="6" fillId="0" borderId="210" xfId="2" applyNumberFormat="1" applyFont="1" applyFill="1" applyBorder="1" applyAlignment="1" applyProtection="1">
      <alignment horizontal="right" shrinkToFit="1"/>
    </xf>
    <xf numFmtId="194" fontId="6" fillId="0" borderId="211" xfId="12" applyNumberFormat="1" applyFont="1" applyFill="1" applyBorder="1" applyAlignment="1" applyProtection="1">
      <alignment horizontal="right" shrinkToFit="1"/>
    </xf>
    <xf numFmtId="183" fontId="6" fillId="0" borderId="208" xfId="2" applyNumberFormat="1" applyFont="1" applyFill="1" applyBorder="1" applyAlignment="1" applyProtection="1">
      <alignment horizontal="right" shrinkToFit="1"/>
    </xf>
    <xf numFmtId="183" fontId="6" fillId="0" borderId="72" xfId="2" applyNumberFormat="1" applyFont="1" applyFill="1" applyBorder="1" applyAlignment="1" applyProtection="1">
      <alignment horizontal="right" shrinkToFit="1"/>
    </xf>
    <xf numFmtId="194" fontId="6" fillId="0" borderId="212" xfId="12" applyNumberFormat="1" applyFont="1" applyFill="1" applyBorder="1" applyAlignment="1" applyProtection="1">
      <alignment horizontal="right" shrinkToFit="1"/>
    </xf>
    <xf numFmtId="203" fontId="6" fillId="13" borderId="186" xfId="2" applyNumberFormat="1" applyFont="1" applyFill="1" applyBorder="1" applyAlignment="1" applyProtection="1">
      <alignment horizontal="center" vertical="center" wrapText="1"/>
      <protection locked="0"/>
    </xf>
    <xf numFmtId="203" fontId="6" fillId="13" borderId="213" xfId="2" applyNumberFormat="1" applyFont="1" applyFill="1" applyBorder="1" applyAlignment="1" applyProtection="1">
      <alignment horizontal="center" vertical="center" wrapText="1"/>
      <protection locked="0"/>
    </xf>
    <xf numFmtId="203" fontId="6" fillId="15" borderId="214" xfId="2" applyNumberFormat="1" applyFont="1" applyFill="1" applyBorder="1" applyAlignment="1" applyProtection="1">
      <alignment horizontal="center" vertical="center" wrapText="1"/>
      <protection locked="0"/>
    </xf>
    <xf numFmtId="203" fontId="6" fillId="15" borderId="213" xfId="2" applyNumberFormat="1" applyFont="1" applyFill="1" applyBorder="1" applyAlignment="1" applyProtection="1">
      <alignment horizontal="center" vertical="center" wrapText="1"/>
      <protection locked="0"/>
    </xf>
    <xf numFmtId="203" fontId="6" fillId="16" borderId="214" xfId="2" applyNumberFormat="1" applyFont="1" applyFill="1" applyBorder="1" applyAlignment="1" applyProtection="1">
      <alignment horizontal="center" vertical="center" wrapText="1"/>
      <protection locked="0"/>
    </xf>
    <xf numFmtId="203" fontId="6" fillId="16" borderId="213" xfId="2" applyNumberFormat="1" applyFont="1" applyFill="1" applyBorder="1" applyAlignment="1" applyProtection="1">
      <alignment horizontal="center" vertical="center" wrapText="1"/>
      <protection locked="0"/>
    </xf>
    <xf numFmtId="203" fontId="19" fillId="3" borderId="214" xfId="2" applyNumberFormat="1" applyFont="1" applyFill="1" applyBorder="1" applyAlignment="1" applyProtection="1">
      <alignment horizontal="center" vertical="center" wrapText="1"/>
      <protection locked="0"/>
    </xf>
    <xf numFmtId="203" fontId="19" fillId="3" borderId="213" xfId="2" applyNumberFormat="1" applyFont="1" applyFill="1" applyBorder="1" applyAlignment="1" applyProtection="1">
      <alignment horizontal="center" vertical="center" wrapText="1"/>
      <protection locked="0"/>
    </xf>
    <xf numFmtId="203" fontId="19" fillId="3" borderId="50" xfId="2" applyNumberFormat="1" applyFont="1" applyFill="1" applyBorder="1" applyAlignment="1" applyProtection="1">
      <alignment horizontal="center" vertical="center" wrapText="1"/>
      <protection locked="0"/>
    </xf>
    <xf numFmtId="194" fontId="6" fillId="0" borderId="0" xfId="12" applyNumberFormat="1" applyFont="1" applyFill="1" applyBorder="1" applyAlignment="1" applyProtection="1">
      <alignment vertical="center" shrinkToFit="1"/>
    </xf>
    <xf numFmtId="177" fontId="6" fillId="3" borderId="14" xfId="2" applyNumberFormat="1" applyFont="1" applyFill="1" applyBorder="1" applyAlignment="1" applyProtection="1">
      <alignment horizontal="center" vertical="center"/>
    </xf>
    <xf numFmtId="177" fontId="6" fillId="3" borderId="15" xfId="2" applyNumberFormat="1" applyFont="1" applyFill="1" applyBorder="1" applyAlignment="1" applyProtection="1">
      <alignment horizontal="center" vertical="center"/>
    </xf>
    <xf numFmtId="0" fontId="6" fillId="3" borderId="215" xfId="2" applyFont="1" applyFill="1" applyBorder="1" applyAlignment="1" applyProtection="1">
      <alignment horizontal="center" vertical="center"/>
    </xf>
    <xf numFmtId="0" fontId="6" fillId="3" borderId="6" xfId="2" applyFont="1" applyFill="1" applyBorder="1" applyAlignment="1" applyProtection="1">
      <alignment horizontal="center" vertical="center"/>
    </xf>
    <xf numFmtId="177" fontId="6" fillId="3" borderId="6" xfId="2" applyNumberFormat="1" applyFont="1" applyFill="1" applyBorder="1" applyAlignment="1" applyProtection="1">
      <alignment horizontal="center" vertical="center"/>
    </xf>
    <xf numFmtId="177" fontId="6" fillId="3" borderId="7" xfId="2" applyNumberFormat="1" applyFont="1" applyFill="1" applyBorder="1" applyAlignment="1" applyProtection="1">
      <alignment horizontal="center" vertical="center"/>
    </xf>
    <xf numFmtId="3" fontId="6" fillId="0" borderId="0" xfId="12" applyNumberFormat="1" applyFont="1" applyFill="1" applyBorder="1" applyAlignment="1" applyProtection="1">
      <alignment horizontal="center" vertical="center"/>
    </xf>
    <xf numFmtId="0" fontId="6" fillId="3" borderId="216" xfId="2" applyFont="1" applyFill="1" applyBorder="1" applyAlignment="1" applyProtection="1">
      <alignment horizontal="center" vertical="center"/>
    </xf>
    <xf numFmtId="0" fontId="6" fillId="3" borderId="217" xfId="2" applyFont="1" applyFill="1" applyBorder="1" applyAlignment="1" applyProtection="1">
      <alignment horizontal="center" vertical="center"/>
    </xf>
    <xf numFmtId="3" fontId="6" fillId="3" borderId="6" xfId="12" applyNumberFormat="1" applyFont="1" applyFill="1" applyBorder="1" applyAlignment="1" applyProtection="1">
      <alignment horizontal="center" vertical="center"/>
    </xf>
    <xf numFmtId="177" fontId="6" fillId="3" borderId="218" xfId="2" applyNumberFormat="1" applyFont="1" applyFill="1" applyBorder="1" applyAlignment="1" applyProtection="1">
      <alignment horizontal="center" vertical="center"/>
    </xf>
    <xf numFmtId="177" fontId="6" fillId="3" borderId="61" xfId="2" applyNumberFormat="1" applyFont="1" applyFill="1" applyBorder="1" applyAlignment="1" applyProtection="1">
      <alignment horizontal="center" vertical="center"/>
    </xf>
    <xf numFmtId="208" fontId="6" fillId="0" borderId="0" xfId="2" applyNumberFormat="1" applyFont="1" applyFill="1" applyBorder="1" applyAlignment="1" applyProtection="1">
      <alignment vertical="center"/>
      <protection locked="0"/>
    </xf>
    <xf numFmtId="0" fontId="6" fillId="0" borderId="219" xfId="2" applyNumberFormat="1" applyFont="1" applyFill="1" applyBorder="1" applyAlignment="1" applyProtection="1">
      <alignment horizontal="center"/>
    </xf>
    <xf numFmtId="0" fontId="6" fillId="0" borderId="220" xfId="2" applyNumberFormat="1" applyFont="1" applyFill="1" applyBorder="1" applyAlignment="1" applyProtection="1">
      <alignment horizontal="center"/>
    </xf>
    <xf numFmtId="207" fontId="6" fillId="0" borderId="221" xfId="2" applyNumberFormat="1" applyFont="1" applyFill="1" applyBorder="1" applyProtection="1"/>
    <xf numFmtId="205" fontId="6" fillId="0" borderId="222" xfId="2" applyNumberFormat="1" applyFont="1" applyFill="1" applyBorder="1" applyAlignment="1" applyProtection="1">
      <alignment horizontal="right" shrinkToFit="1"/>
    </xf>
    <xf numFmtId="194" fontId="6" fillId="0" borderId="223" xfId="12" applyNumberFormat="1" applyFont="1" applyFill="1" applyBorder="1" applyAlignment="1" applyProtection="1">
      <alignment horizontal="right" shrinkToFit="1"/>
    </xf>
    <xf numFmtId="205" fontId="6" fillId="0" borderId="224" xfId="2" applyNumberFormat="1" applyFont="1" applyFill="1" applyBorder="1" applyAlignment="1" applyProtection="1">
      <alignment horizontal="right" shrinkToFit="1"/>
    </xf>
    <xf numFmtId="194" fontId="6" fillId="0" borderId="220" xfId="12" applyNumberFormat="1" applyFont="1" applyFill="1" applyBorder="1" applyAlignment="1" applyProtection="1">
      <alignment horizontal="right" shrinkToFit="1"/>
    </xf>
    <xf numFmtId="205" fontId="6" fillId="0" borderId="225" xfId="2" applyNumberFormat="1" applyFont="1" applyFill="1" applyBorder="1" applyAlignment="1" applyProtection="1">
      <alignment horizontal="right" shrinkToFit="1"/>
    </xf>
    <xf numFmtId="194" fontId="6" fillId="0" borderId="226" xfId="12" applyNumberFormat="1" applyFont="1" applyFill="1" applyBorder="1" applyAlignment="1" applyProtection="1">
      <alignment horizontal="right" shrinkToFit="1"/>
    </xf>
    <xf numFmtId="183" fontId="6" fillId="0" borderId="222" xfId="2" applyNumberFormat="1" applyFont="1" applyFill="1" applyBorder="1" applyAlignment="1" applyProtection="1">
      <alignment horizontal="right" shrinkToFit="1"/>
    </xf>
    <xf numFmtId="183" fontId="6" fillId="0" borderId="224" xfId="2" applyNumberFormat="1" applyFont="1" applyFill="1" applyBorder="1" applyAlignment="1" applyProtection="1">
      <alignment horizontal="right" shrinkToFit="1"/>
    </xf>
    <xf numFmtId="194" fontId="6" fillId="0" borderId="227" xfId="12" applyNumberFormat="1" applyFont="1" applyFill="1" applyBorder="1" applyAlignment="1" applyProtection="1">
      <alignment horizontal="right" shrinkToFit="1"/>
    </xf>
    <xf numFmtId="0" fontId="6" fillId="0" borderId="11" xfId="2" applyNumberFormat="1" applyFont="1" applyFill="1" applyBorder="1" applyAlignment="1" applyProtection="1">
      <alignment horizontal="center" vertical="center"/>
    </xf>
    <xf numFmtId="0" fontId="6" fillId="0" borderId="12" xfId="2" applyNumberFormat="1" applyFont="1" applyFill="1" applyBorder="1" applyAlignment="1" applyProtection="1">
      <alignment horizontal="center" vertical="center"/>
    </xf>
    <xf numFmtId="0" fontId="6" fillId="0" borderId="228" xfId="2" applyNumberFormat="1" applyFont="1" applyFill="1" applyBorder="1" applyAlignment="1" applyProtection="1">
      <alignment horizontal="center" vertical="center" shrinkToFit="1"/>
      <protection locked="0"/>
    </xf>
    <xf numFmtId="209" fontId="6" fillId="0" borderId="12" xfId="2" applyNumberFormat="1" applyFont="1" applyFill="1" applyBorder="1" applyAlignment="1" applyProtection="1">
      <alignment vertical="center"/>
      <protection locked="0"/>
    </xf>
    <xf numFmtId="2" fontId="6" fillId="0" borderId="12" xfId="12" applyNumberFormat="1" applyFont="1" applyFill="1" applyBorder="1" applyAlignment="1" applyProtection="1">
      <alignment vertical="center"/>
    </xf>
    <xf numFmtId="209" fontId="6" fillId="0" borderId="12" xfId="2" applyNumberFormat="1" applyFont="1" applyFill="1" applyBorder="1" applyAlignment="1" applyProtection="1">
      <alignment vertical="center"/>
    </xf>
    <xf numFmtId="209" fontId="6" fillId="0" borderId="13" xfId="2" applyNumberFormat="1" applyFont="1" applyFill="1" applyBorder="1" applyAlignment="1" applyProtection="1">
      <alignment vertical="center"/>
    </xf>
    <xf numFmtId="0" fontId="6" fillId="0" borderId="229" xfId="2" applyNumberFormat="1" applyFont="1" applyFill="1" applyBorder="1" applyAlignment="1" applyProtection="1">
      <alignment horizontal="center" vertical="center" shrinkToFit="1"/>
      <protection locked="0"/>
    </xf>
    <xf numFmtId="209" fontId="6" fillId="0" borderId="229" xfId="2" applyNumberFormat="1" applyFont="1" applyFill="1" applyBorder="1" applyAlignment="1" applyProtection="1">
      <alignment vertical="center"/>
      <protection locked="0"/>
    </xf>
    <xf numFmtId="209" fontId="6" fillId="0" borderId="228" xfId="2" applyNumberFormat="1" applyFont="1" applyFill="1" applyBorder="1" applyAlignment="1" applyProtection="1">
      <alignment vertical="center"/>
      <protection locked="0"/>
    </xf>
    <xf numFmtId="209" fontId="6" fillId="0" borderId="12" xfId="12" applyNumberFormat="1" applyFont="1" applyFill="1" applyBorder="1" applyAlignment="1" applyProtection="1">
      <alignment vertical="center"/>
    </xf>
    <xf numFmtId="209" fontId="6" fillId="0" borderId="12" xfId="2" applyNumberFormat="1" applyFont="1" applyFill="1" applyBorder="1" applyAlignment="1" applyProtection="1">
      <alignment vertical="center"/>
    </xf>
    <xf numFmtId="209" fontId="6" fillId="0" borderId="13" xfId="2" applyNumberFormat="1" applyFont="1" applyFill="1" applyBorder="1" applyAlignment="1" applyProtection="1">
      <alignment vertical="center"/>
    </xf>
    <xf numFmtId="0" fontId="6" fillId="19" borderId="230" xfId="2" applyFont="1" applyFill="1" applyBorder="1" applyAlignment="1" applyProtection="1">
      <alignment horizontal="center" vertical="center" textRotation="255" shrinkToFit="1"/>
    </xf>
    <xf numFmtId="0" fontId="6" fillId="0" borderId="231" xfId="2" applyFont="1" applyFill="1" applyBorder="1" applyProtection="1"/>
    <xf numFmtId="210" fontId="6" fillId="0" borderId="231" xfId="2" applyNumberFormat="1" applyFont="1" applyFill="1" applyBorder="1" applyProtection="1"/>
    <xf numFmtId="177" fontId="6" fillId="0" borderId="202" xfId="2" applyNumberFormat="1" applyFont="1" applyFill="1" applyBorder="1" applyAlignment="1" applyProtection="1">
      <alignment horizontal="right" shrinkToFit="1"/>
    </xf>
    <xf numFmtId="3" fontId="6" fillId="0" borderId="232" xfId="12" applyNumberFormat="1" applyFont="1" applyFill="1" applyBorder="1" applyAlignment="1" applyProtection="1">
      <alignment horizontal="right" shrinkToFit="1"/>
    </xf>
    <xf numFmtId="177" fontId="6" fillId="0" borderId="204" xfId="2" applyNumberFormat="1" applyFont="1" applyFill="1" applyBorder="1" applyAlignment="1" applyProtection="1">
      <alignment horizontal="right" shrinkToFit="1"/>
    </xf>
    <xf numFmtId="3" fontId="6" fillId="0" borderId="233" xfId="12" applyNumberFormat="1" applyFont="1" applyFill="1" applyBorder="1" applyAlignment="1" applyProtection="1">
      <alignment horizontal="right" shrinkToFit="1"/>
    </xf>
    <xf numFmtId="3" fontId="6" fillId="0" borderId="140" xfId="12" applyNumberFormat="1" applyFont="1" applyFill="1" applyBorder="1" applyAlignment="1" applyProtection="1">
      <alignment horizontal="right" shrinkToFit="1"/>
    </xf>
    <xf numFmtId="3" fontId="6" fillId="0" borderId="139" xfId="12" applyNumberFormat="1" applyFont="1" applyFill="1" applyBorder="1" applyAlignment="1" applyProtection="1">
      <alignment horizontal="right" shrinkToFit="1"/>
    </xf>
    <xf numFmtId="183" fontId="6" fillId="0" borderId="234" xfId="2" applyNumberFormat="1" applyFont="1" applyFill="1" applyBorder="1" applyAlignment="1" applyProtection="1">
      <alignment horizontal="right" shrinkToFit="1"/>
    </xf>
    <xf numFmtId="177" fontId="6" fillId="0" borderId="231" xfId="2" applyNumberFormat="1" applyFont="1" applyFill="1" applyBorder="1" applyAlignment="1" applyProtection="1">
      <alignment horizontal="right" shrinkToFit="1"/>
    </xf>
    <xf numFmtId="183" fontId="6" fillId="0" borderId="235" xfId="2" applyNumberFormat="1" applyFont="1" applyFill="1" applyBorder="1" applyAlignment="1" applyProtection="1">
      <alignment horizontal="right" shrinkToFit="1"/>
    </xf>
    <xf numFmtId="3" fontId="6" fillId="0" borderId="236" xfId="12" applyNumberFormat="1" applyFont="1" applyFill="1" applyBorder="1" applyAlignment="1" applyProtection="1">
      <alignment horizontal="right" shrinkToFit="1"/>
    </xf>
    <xf numFmtId="177" fontId="6" fillId="0" borderId="0" xfId="2" applyNumberFormat="1" applyFont="1" applyFill="1" applyBorder="1" applyAlignment="1" applyProtection="1">
      <alignment horizontal="right" shrinkToFit="1"/>
    </xf>
    <xf numFmtId="3" fontId="6" fillId="0" borderId="0" xfId="12" applyNumberFormat="1" applyFont="1" applyFill="1" applyBorder="1" applyAlignment="1" applyProtection="1">
      <alignment vertical="center" shrinkToFit="1"/>
    </xf>
    <xf numFmtId="2" fontId="6" fillId="0" borderId="12" xfId="2" applyNumberFormat="1" applyFont="1" applyFill="1" applyBorder="1" applyAlignment="1" applyProtection="1">
      <alignment vertical="center"/>
    </xf>
    <xf numFmtId="177" fontId="6" fillId="0" borderId="0" xfId="2" applyNumberFormat="1" applyFont="1" applyFill="1" applyBorder="1" applyAlignment="1" applyProtection="1">
      <alignment vertical="center" wrapText="1" shrinkToFit="1"/>
    </xf>
    <xf numFmtId="0" fontId="6" fillId="3" borderId="237" xfId="2" applyFont="1" applyFill="1" applyBorder="1" applyAlignment="1" applyProtection="1">
      <alignment horizontal="center" vertical="center" shrinkToFit="1"/>
      <protection locked="0"/>
    </xf>
    <xf numFmtId="0" fontId="6" fillId="3" borderId="238" xfId="2" applyFont="1" applyFill="1" applyBorder="1" applyAlignment="1" applyProtection="1">
      <alignment horizontal="center" vertical="center" shrinkToFit="1"/>
    </xf>
    <xf numFmtId="0" fontId="6" fillId="3" borderId="239" xfId="2" applyFont="1" applyFill="1" applyBorder="1" applyAlignment="1" applyProtection="1">
      <alignment horizontal="center" vertical="center" shrinkToFit="1"/>
    </xf>
    <xf numFmtId="211" fontId="6" fillId="3" borderId="240" xfId="2" applyNumberFormat="1" applyFont="1" applyFill="1" applyBorder="1" applyAlignment="1" applyProtection="1">
      <alignment horizontal="center" vertical="center" shrinkToFit="1"/>
      <protection locked="0"/>
    </xf>
    <xf numFmtId="177" fontId="6" fillId="3" borderId="241" xfId="2" applyNumberFormat="1" applyFont="1" applyFill="1" applyBorder="1" applyAlignment="1" applyProtection="1">
      <alignment horizontal="center" vertical="center" wrapText="1" shrinkToFit="1"/>
    </xf>
    <xf numFmtId="0" fontId="6" fillId="3" borderId="3" xfId="2" applyFont="1" applyFill="1" applyBorder="1" applyAlignment="1" applyProtection="1">
      <alignment horizontal="center" vertical="center" shrinkToFit="1"/>
    </xf>
    <xf numFmtId="177" fontId="6" fillId="3" borderId="242" xfId="2" applyNumberFormat="1" applyFont="1" applyFill="1" applyBorder="1" applyAlignment="1" applyProtection="1">
      <alignment horizontal="center" vertical="center" wrapText="1" shrinkToFit="1"/>
    </xf>
    <xf numFmtId="0" fontId="6" fillId="3" borderId="4" xfId="2" applyFont="1" applyFill="1" applyBorder="1" applyAlignment="1" applyProtection="1">
      <alignment horizontal="center" vertical="center" shrinkToFit="1"/>
    </xf>
    <xf numFmtId="0" fontId="6" fillId="0" borderId="140" xfId="2" applyFont="1" applyFill="1" applyBorder="1" applyAlignment="1" applyProtection="1">
      <alignment horizontal="center" vertical="center" shrinkToFit="1"/>
    </xf>
    <xf numFmtId="0" fontId="6" fillId="20" borderId="237" xfId="2" applyFont="1" applyFill="1" applyBorder="1" applyAlignment="1" applyProtection="1">
      <alignment horizontal="center" vertical="center" shrinkToFit="1"/>
      <protection locked="0"/>
    </xf>
    <xf numFmtId="0" fontId="6" fillId="20" borderId="238" xfId="2" applyFont="1" applyFill="1" applyBorder="1" applyAlignment="1" applyProtection="1">
      <alignment horizontal="center" vertical="center" shrinkToFit="1"/>
    </xf>
    <xf numFmtId="0" fontId="6" fillId="20" borderId="239" xfId="2" applyFont="1" applyFill="1" applyBorder="1" applyAlignment="1" applyProtection="1">
      <alignment horizontal="center" vertical="center" shrinkToFit="1"/>
    </xf>
    <xf numFmtId="211" fontId="6" fillId="20" borderId="240" xfId="2" applyNumberFormat="1" applyFont="1" applyFill="1" applyBorder="1" applyAlignment="1" applyProtection="1">
      <alignment horizontal="center" vertical="center" shrinkToFit="1"/>
      <protection locked="0"/>
    </xf>
    <xf numFmtId="0" fontId="6" fillId="0" borderId="139" xfId="2" applyFont="1" applyFill="1" applyBorder="1" applyAlignment="1" applyProtection="1">
      <alignment horizontal="center" vertical="center" shrinkToFit="1"/>
    </xf>
    <xf numFmtId="183" fontId="6" fillId="3" borderId="241" xfId="2" applyNumberFormat="1" applyFont="1" applyFill="1" applyBorder="1" applyAlignment="1" applyProtection="1">
      <alignment horizontal="center" vertical="center" wrapText="1" shrinkToFit="1"/>
    </xf>
    <xf numFmtId="177" fontId="6" fillId="3" borderId="239" xfId="2" applyNumberFormat="1" applyFont="1" applyFill="1" applyBorder="1" applyAlignment="1" applyProtection="1">
      <alignment horizontal="center" vertical="center" shrinkToFit="1"/>
    </xf>
    <xf numFmtId="183" fontId="6" fillId="3" borderId="242" xfId="2" applyNumberFormat="1" applyFont="1" applyFill="1" applyBorder="1" applyAlignment="1" applyProtection="1">
      <alignment horizontal="center" vertical="center" wrapText="1" shrinkToFit="1"/>
    </xf>
    <xf numFmtId="0" fontId="6" fillId="3" borderId="243" xfId="2" applyFont="1" applyFill="1" applyBorder="1" applyAlignment="1" applyProtection="1">
      <alignment horizontal="center" vertical="center" shrinkToFit="1"/>
    </xf>
    <xf numFmtId="177" fontId="6" fillId="0" borderId="0" xfId="2" applyNumberFormat="1" applyFont="1" applyFill="1" applyBorder="1" applyAlignment="1" applyProtection="1">
      <alignment horizontal="center" vertical="center" wrapText="1" shrinkToFit="1"/>
    </xf>
    <xf numFmtId="0" fontId="6" fillId="0" borderId="0" xfId="2" applyFont="1" applyFill="1" applyBorder="1" applyAlignment="1" applyProtection="1">
      <alignment horizontal="center" vertical="center" wrapText="1"/>
    </xf>
    <xf numFmtId="194" fontId="6" fillId="0" borderId="0" xfId="12" applyNumberFormat="1" applyFont="1" applyFill="1" applyBorder="1" applyAlignment="1" applyProtection="1">
      <alignment horizontal="center" vertical="center"/>
    </xf>
    <xf numFmtId="0" fontId="6" fillId="0" borderId="244" xfId="2" applyNumberFormat="1" applyFont="1" applyFill="1" applyBorder="1" applyAlignment="1" applyProtection="1">
      <alignment horizontal="center"/>
    </xf>
    <xf numFmtId="207" fontId="6" fillId="0" borderId="196" xfId="2" applyNumberFormat="1" applyFont="1" applyFill="1" applyBorder="1" applyAlignment="1" applyProtection="1">
      <alignment horizontal="center"/>
      <protection locked="0"/>
    </xf>
    <xf numFmtId="0" fontId="6" fillId="0" borderId="244" xfId="2" applyNumberFormat="1" applyFont="1" applyFill="1" applyBorder="1" applyAlignment="1" applyProtection="1">
      <alignment horizontal="center"/>
      <protection locked="0"/>
    </xf>
    <xf numFmtId="208" fontId="6" fillId="0" borderId="198" xfId="2" applyNumberFormat="1" applyFont="1" applyFill="1" applyBorder="1" applyAlignment="1" applyProtection="1">
      <alignment horizontal="right" shrinkToFit="1"/>
      <protection locked="0"/>
    </xf>
    <xf numFmtId="208" fontId="6" fillId="0" borderId="245" xfId="2" applyNumberFormat="1" applyFont="1" applyFill="1" applyBorder="1" applyAlignment="1" applyProtection="1">
      <alignment horizontal="right" shrinkToFit="1"/>
      <protection locked="0"/>
    </xf>
    <xf numFmtId="194" fontId="6" fillId="0" borderId="136" xfId="12" applyNumberFormat="1" applyFont="1" applyFill="1" applyBorder="1" applyAlignment="1" applyProtection="1">
      <alignment horizontal="right" shrinkToFit="1"/>
    </xf>
    <xf numFmtId="183" fontId="6" fillId="0" borderId="198" xfId="2" applyNumberFormat="1" applyFont="1" applyFill="1" applyBorder="1" applyAlignment="1" applyProtection="1">
      <alignment horizontal="right" shrinkToFit="1"/>
      <protection locked="0"/>
    </xf>
    <xf numFmtId="208" fontId="6" fillId="0" borderId="135" xfId="2" applyNumberFormat="1" applyFont="1" applyFill="1" applyBorder="1" applyAlignment="1" applyProtection="1">
      <alignment horizontal="right" shrinkToFit="1"/>
      <protection locked="0"/>
    </xf>
    <xf numFmtId="183" fontId="6" fillId="0" borderId="245" xfId="2" applyNumberFormat="1" applyFont="1" applyFill="1" applyBorder="1" applyAlignment="1" applyProtection="1">
      <alignment horizontal="right" shrinkToFit="1"/>
      <protection locked="0"/>
    </xf>
    <xf numFmtId="208" fontId="6" fillId="0" borderId="0" xfId="2" applyNumberFormat="1" applyFont="1" applyFill="1" applyBorder="1" applyAlignment="1" applyProtection="1">
      <alignment horizontal="right" shrinkToFit="1"/>
      <protection locked="0"/>
    </xf>
    <xf numFmtId="0" fontId="6" fillId="0" borderId="0" xfId="2" applyNumberFormat="1" applyFont="1" applyFill="1" applyBorder="1" applyAlignment="1" applyProtection="1">
      <alignment vertical="center" shrinkToFit="1"/>
      <protection locked="0"/>
    </xf>
    <xf numFmtId="209" fontId="6" fillId="0" borderId="0" xfId="12" applyNumberFormat="1" applyFont="1" applyFill="1" applyBorder="1" applyAlignment="1" applyProtection="1">
      <alignment vertical="center"/>
    </xf>
    <xf numFmtId="0" fontId="6" fillId="0" borderId="246" xfId="2" applyNumberFormat="1" applyFont="1" applyFill="1" applyBorder="1" applyAlignment="1" applyProtection="1">
      <alignment horizontal="center"/>
    </xf>
    <xf numFmtId="207" fontId="6" fillId="0" borderId="84" xfId="2" applyNumberFormat="1" applyFont="1" applyFill="1" applyBorder="1" applyAlignment="1" applyProtection="1">
      <alignment horizontal="center"/>
      <protection locked="0"/>
    </xf>
    <xf numFmtId="0" fontId="6" fillId="0" borderId="246" xfId="2" applyNumberFormat="1" applyFont="1" applyFill="1" applyBorder="1" applyAlignment="1" applyProtection="1">
      <alignment horizontal="center"/>
      <protection locked="0"/>
    </xf>
    <xf numFmtId="208" fontId="6" fillId="0" borderId="208" xfId="2" applyNumberFormat="1" applyFont="1" applyFill="1" applyBorder="1" applyAlignment="1" applyProtection="1">
      <alignment horizontal="right" shrinkToFit="1"/>
      <protection locked="0"/>
    </xf>
    <xf numFmtId="208" fontId="6" fillId="0" borderId="247" xfId="2" applyNumberFormat="1" applyFont="1" applyFill="1" applyBorder="1" applyAlignment="1" applyProtection="1">
      <alignment horizontal="right" shrinkToFit="1"/>
      <protection locked="0"/>
    </xf>
    <xf numFmtId="183" fontId="6" fillId="0" borderId="208" xfId="2" applyNumberFormat="1" applyFont="1" applyFill="1" applyBorder="1" applyAlignment="1" applyProtection="1">
      <alignment horizontal="right" shrinkToFit="1"/>
      <protection locked="0"/>
    </xf>
    <xf numFmtId="208" fontId="6" fillId="0" borderId="72" xfId="2" applyNumberFormat="1" applyFont="1" applyFill="1" applyBorder="1" applyAlignment="1" applyProtection="1">
      <alignment horizontal="right" shrinkToFit="1"/>
      <protection locked="0"/>
    </xf>
    <xf numFmtId="183" fontId="6" fillId="0" borderId="247" xfId="2" applyNumberFormat="1" applyFont="1" applyFill="1" applyBorder="1" applyAlignment="1" applyProtection="1">
      <alignment horizontal="right" shrinkToFit="1"/>
      <protection locked="0"/>
    </xf>
    <xf numFmtId="177" fontId="6" fillId="0" borderId="0" xfId="2" applyNumberFormat="1" applyFont="1" applyFill="1" applyBorder="1" applyAlignment="1" applyProtection="1">
      <alignment horizontal="right" vertical="center"/>
    </xf>
    <xf numFmtId="0" fontId="6" fillId="0" borderId="84" xfId="2" applyNumberFormat="1" applyFont="1" applyFill="1" applyBorder="1" applyAlignment="1" applyProtection="1">
      <alignment horizontal="center"/>
      <protection locked="0"/>
    </xf>
    <xf numFmtId="0" fontId="6" fillId="0" borderId="62" xfId="12" applyNumberFormat="1" applyFont="1" applyFill="1" applyBorder="1" applyAlignment="1" applyProtection="1">
      <alignment horizontal="center" vertical="center" shrinkToFit="1"/>
    </xf>
    <xf numFmtId="0" fontId="6" fillId="0" borderId="65" xfId="12" applyNumberFormat="1" applyFont="1" applyFill="1" applyBorder="1" applyAlignment="1" applyProtection="1">
      <alignment horizontal="center" vertical="center" shrinkToFit="1"/>
    </xf>
    <xf numFmtId="0" fontId="6" fillId="0" borderId="228" xfId="12" applyNumberFormat="1" applyFont="1" applyFill="1" applyBorder="1" applyAlignment="1" applyProtection="1">
      <alignment horizontal="center" vertical="center" shrinkToFit="1"/>
    </xf>
    <xf numFmtId="209" fontId="6" fillId="0" borderId="56" xfId="12" applyNumberFormat="1" applyFont="1" applyFill="1" applyBorder="1" applyAlignment="1" applyProtection="1">
      <alignment vertical="center"/>
    </xf>
    <xf numFmtId="209" fontId="6" fillId="0" borderId="56" xfId="2" applyNumberFormat="1" applyFont="1" applyFill="1" applyBorder="1" applyAlignment="1" applyProtection="1">
      <alignment vertical="center"/>
    </xf>
    <xf numFmtId="209" fontId="6" fillId="0" borderId="229" xfId="12" applyNumberFormat="1" applyFont="1" applyFill="1" applyBorder="1" applyAlignment="1" applyProtection="1">
      <alignment vertical="center"/>
    </xf>
    <xf numFmtId="209" fontId="6" fillId="0" borderId="228" xfId="12" applyNumberFormat="1" applyFont="1" applyFill="1" applyBorder="1" applyAlignment="1" applyProtection="1">
      <alignment vertical="center"/>
    </xf>
    <xf numFmtId="209" fontId="6" fillId="0" borderId="229" xfId="2" applyNumberFormat="1" applyFont="1" applyFill="1" applyBorder="1" applyAlignment="1" applyProtection="1">
      <alignment vertical="center"/>
    </xf>
    <xf numFmtId="209" fontId="6" fillId="0" borderId="31" xfId="2" applyNumberFormat="1" applyFont="1" applyFill="1" applyBorder="1" applyAlignment="1" applyProtection="1">
      <alignment vertical="center"/>
    </xf>
    <xf numFmtId="199" fontId="6" fillId="0" borderId="0" xfId="2" applyNumberFormat="1" applyFont="1" applyFill="1" applyBorder="1" applyAlignment="1" applyProtection="1">
      <alignment vertical="center"/>
      <protection locked="0"/>
    </xf>
    <xf numFmtId="3" fontId="6" fillId="0" borderId="62" xfId="12" applyNumberFormat="1" applyFont="1" applyFill="1" applyBorder="1" applyAlignment="1" applyProtection="1">
      <alignment horizontal="center" vertical="center"/>
    </xf>
    <xf numFmtId="3" fontId="6" fillId="0" borderId="65" xfId="12" applyNumberFormat="1" applyFont="1" applyFill="1" applyBorder="1" applyAlignment="1" applyProtection="1">
      <alignment horizontal="center" vertical="center"/>
    </xf>
    <xf numFmtId="3" fontId="6" fillId="0" borderId="228" xfId="12" applyNumberFormat="1" applyFont="1" applyFill="1" applyBorder="1" applyAlignment="1" applyProtection="1">
      <alignment horizontal="center" vertical="center"/>
    </xf>
    <xf numFmtId="209" fontId="6" fillId="0" borderId="56" xfId="12" applyNumberFormat="1" applyFont="1" applyFill="1" applyBorder="1" applyAlignment="1" applyProtection="1">
      <alignment horizontal="center" vertical="center"/>
    </xf>
    <xf numFmtId="209" fontId="6" fillId="0" borderId="248" xfId="2" applyNumberFormat="1" applyFont="1" applyFill="1" applyBorder="1" applyAlignment="1" applyProtection="1">
      <alignment vertical="center"/>
    </xf>
    <xf numFmtId="209" fontId="6" fillId="0" borderId="56" xfId="2" applyNumberFormat="1" applyFont="1" applyFill="1" applyBorder="1" applyAlignment="1" applyProtection="1">
      <alignment horizontal="center" vertical="center"/>
    </xf>
    <xf numFmtId="209" fontId="6" fillId="0" borderId="248" xfId="2" applyNumberFormat="1" applyFont="1" applyFill="1" applyBorder="1" applyAlignment="1" applyProtection="1">
      <alignment horizontal="center" vertical="center"/>
    </xf>
    <xf numFmtId="209" fontId="6" fillId="0" borderId="0" xfId="12" applyNumberFormat="1" applyFont="1" applyFill="1" applyBorder="1" applyAlignment="1" applyProtection="1">
      <alignment horizontal="center" vertical="center"/>
    </xf>
    <xf numFmtId="209" fontId="6" fillId="0" borderId="0" xfId="2" applyNumberFormat="1" applyFont="1" applyFill="1" applyBorder="1" applyAlignment="1" applyProtection="1">
      <alignment vertical="center"/>
    </xf>
    <xf numFmtId="212" fontId="6" fillId="0" borderId="0" xfId="2" applyNumberFormat="1" applyFont="1" applyFill="1" applyBorder="1" applyAlignment="1" applyProtection="1">
      <alignment vertical="center"/>
    </xf>
    <xf numFmtId="3" fontId="6" fillId="0" borderId="0" xfId="12" applyNumberFormat="1" applyFont="1" applyFill="1" applyBorder="1" applyAlignment="1" applyProtection="1">
      <alignment horizontal="right" vertical="center"/>
    </xf>
    <xf numFmtId="213" fontId="6" fillId="0" borderId="0" xfId="2" applyNumberFormat="1" applyFont="1" applyFill="1" applyBorder="1" applyAlignment="1" applyProtection="1">
      <alignment vertical="center"/>
    </xf>
    <xf numFmtId="0" fontId="6" fillId="0" borderId="140" xfId="2" applyFont="1" applyFill="1" applyBorder="1" applyAlignment="1" applyProtection="1">
      <alignment horizontal="center" shrinkToFit="1"/>
    </xf>
    <xf numFmtId="0" fontId="6" fillId="0" borderId="220" xfId="2" applyNumberFormat="1" applyFont="1" applyFill="1" applyBorder="1" applyAlignment="1" applyProtection="1">
      <alignment horizontal="center"/>
      <protection locked="0"/>
    </xf>
    <xf numFmtId="0" fontId="6" fillId="0" borderId="249" xfId="2" applyNumberFormat="1" applyFont="1" applyFill="1" applyBorder="1" applyAlignment="1" applyProtection="1">
      <alignment horizontal="center"/>
    </xf>
    <xf numFmtId="207" fontId="6" fillId="0" borderId="220" xfId="2" applyNumberFormat="1" applyFont="1" applyFill="1" applyBorder="1" applyAlignment="1" applyProtection="1">
      <alignment horizontal="center"/>
      <protection locked="0"/>
    </xf>
    <xf numFmtId="0" fontId="6" fillId="0" borderId="249" xfId="2" applyNumberFormat="1" applyFont="1" applyFill="1" applyBorder="1" applyAlignment="1" applyProtection="1">
      <alignment horizontal="center"/>
      <protection locked="0"/>
    </xf>
    <xf numFmtId="208" fontId="6" fillId="0" borderId="222" xfId="2" applyNumberFormat="1" applyFont="1" applyFill="1" applyBorder="1" applyAlignment="1" applyProtection="1">
      <alignment horizontal="right" shrinkToFit="1"/>
      <protection locked="0"/>
    </xf>
    <xf numFmtId="208" fontId="6" fillId="0" borderId="250" xfId="2" applyNumberFormat="1" applyFont="1" applyFill="1" applyBorder="1" applyAlignment="1" applyProtection="1">
      <alignment horizontal="right" shrinkToFit="1"/>
      <protection locked="0"/>
    </xf>
    <xf numFmtId="183" fontId="6" fillId="0" borderId="222" xfId="2" applyNumberFormat="1" applyFont="1" applyFill="1" applyBorder="1" applyAlignment="1" applyProtection="1">
      <alignment horizontal="right" shrinkToFit="1"/>
      <protection locked="0"/>
    </xf>
    <xf numFmtId="208" fontId="6" fillId="0" borderId="224" xfId="2" applyNumberFormat="1" applyFont="1" applyFill="1" applyBorder="1" applyAlignment="1" applyProtection="1">
      <alignment horizontal="right" shrinkToFit="1"/>
      <protection locked="0"/>
    </xf>
    <xf numFmtId="183" fontId="6" fillId="0" borderId="250" xfId="2" applyNumberFormat="1" applyFont="1" applyFill="1" applyBorder="1" applyAlignment="1" applyProtection="1">
      <alignment horizontal="right" shrinkToFit="1"/>
      <protection locked="0"/>
    </xf>
    <xf numFmtId="2" fontId="6" fillId="0" borderId="0" xfId="2" applyNumberFormat="1" applyFont="1" applyFill="1" applyBorder="1" applyAlignment="1" applyProtection="1">
      <alignment vertical="center"/>
    </xf>
    <xf numFmtId="177" fontId="6" fillId="0" borderId="251" xfId="2" applyNumberFormat="1" applyFont="1" applyFill="1" applyBorder="1" applyAlignment="1" applyProtection="1">
      <alignment horizontal="right" shrinkToFit="1"/>
    </xf>
    <xf numFmtId="177" fontId="6" fillId="0" borderId="252" xfId="2" applyNumberFormat="1" applyFont="1" applyFill="1" applyBorder="1" applyAlignment="1" applyProtection="1">
      <alignment horizontal="right" shrinkToFit="1"/>
    </xf>
    <xf numFmtId="183" fontId="6" fillId="0" borderId="253" xfId="2" applyNumberFormat="1" applyFont="1" applyFill="1" applyBorder="1" applyAlignment="1" applyProtection="1">
      <alignment horizontal="right" shrinkToFit="1"/>
    </xf>
    <xf numFmtId="0" fontId="6" fillId="19" borderId="254" xfId="2" applyFont="1" applyFill="1" applyBorder="1" applyAlignment="1" applyProtection="1">
      <alignment horizontal="center" vertical="center" textRotation="255" shrinkToFit="1"/>
    </xf>
    <xf numFmtId="0" fontId="6" fillId="3" borderId="2" xfId="2" applyFont="1" applyFill="1" applyBorder="1" applyAlignment="1" applyProtection="1">
      <alignment vertical="center"/>
    </xf>
    <xf numFmtId="0" fontId="6" fillId="3" borderId="3" xfId="2" applyFont="1" applyFill="1" applyBorder="1" applyAlignment="1" applyProtection="1">
      <alignment vertical="center" shrinkToFit="1"/>
    </xf>
    <xf numFmtId="177" fontId="6" fillId="3" borderId="241" xfId="2" applyNumberFormat="1" applyFont="1" applyFill="1" applyBorder="1" applyAlignment="1" applyProtection="1">
      <alignment horizontal="center" vertical="center" shrinkToFit="1"/>
    </xf>
    <xf numFmtId="177" fontId="6" fillId="3" borderId="242" xfId="2" applyNumberFormat="1" applyFont="1" applyFill="1" applyBorder="1" applyAlignment="1" applyProtection="1">
      <alignment horizontal="center" vertical="center" shrinkToFit="1"/>
    </xf>
    <xf numFmtId="177" fontId="6" fillId="3" borderId="255" xfId="2" applyNumberFormat="1" applyFont="1" applyFill="1" applyBorder="1" applyAlignment="1" applyProtection="1">
      <alignment horizontal="center" vertical="center" shrinkToFit="1"/>
    </xf>
    <xf numFmtId="0" fontId="6" fillId="3" borderId="2" xfId="2" applyFont="1" applyFill="1" applyBorder="1" applyProtection="1"/>
    <xf numFmtId="0" fontId="6" fillId="3" borderId="3" xfId="2" applyFont="1" applyFill="1" applyBorder="1" applyAlignment="1" applyProtection="1">
      <alignment shrinkToFit="1"/>
    </xf>
    <xf numFmtId="0" fontId="6" fillId="3" borderId="3" xfId="2" applyFont="1" applyFill="1" applyBorder="1" applyAlignment="1" applyProtection="1">
      <alignment horizontal="center" shrinkToFit="1"/>
    </xf>
    <xf numFmtId="0" fontId="6" fillId="0" borderId="139" xfId="2" applyFont="1" applyFill="1" applyBorder="1" applyAlignment="1" applyProtection="1">
      <alignment horizontal="center" shrinkToFit="1"/>
    </xf>
    <xf numFmtId="183" fontId="6" fillId="3" borderId="241" xfId="2" applyNumberFormat="1" applyFont="1" applyFill="1" applyBorder="1" applyAlignment="1" applyProtection="1">
      <alignment horizontal="center" vertical="center" shrinkToFit="1"/>
    </xf>
    <xf numFmtId="183" fontId="6" fillId="3" borderId="242" xfId="2" applyNumberFormat="1" applyFont="1" applyFill="1" applyBorder="1" applyAlignment="1" applyProtection="1">
      <alignment horizontal="center" vertical="center" shrinkToFit="1"/>
    </xf>
    <xf numFmtId="177" fontId="6" fillId="0" borderId="0" xfId="2" applyNumberFormat="1" applyFont="1" applyFill="1" applyBorder="1" applyAlignment="1" applyProtection="1">
      <alignment horizontal="center" shrinkToFit="1"/>
    </xf>
    <xf numFmtId="0" fontId="6" fillId="0" borderId="0" xfId="2" applyFont="1" applyFill="1" applyBorder="1" applyAlignment="1" applyProtection="1">
      <alignment vertical="center" shrinkToFit="1"/>
    </xf>
    <xf numFmtId="177" fontId="6" fillId="0" borderId="0" xfId="2" applyNumberFormat="1" applyFont="1" applyFill="1" applyBorder="1" applyAlignment="1" applyProtection="1">
      <alignment vertical="center"/>
      <protection locked="0"/>
    </xf>
    <xf numFmtId="0" fontId="6" fillId="0" borderId="196" xfId="2" applyFont="1" applyFill="1" applyBorder="1" applyAlignment="1" applyProtection="1">
      <alignment horizontal="left" indent="1"/>
    </xf>
    <xf numFmtId="0" fontId="6" fillId="0" borderId="196" xfId="2" applyNumberFormat="1" applyFont="1" applyFill="1" applyBorder="1" applyAlignment="1" applyProtection="1">
      <alignment horizontal="left" shrinkToFit="1"/>
    </xf>
    <xf numFmtId="214" fontId="6" fillId="0" borderId="196" xfId="2" applyNumberFormat="1" applyFont="1" applyFill="1" applyBorder="1" applyAlignment="1" applyProtection="1">
      <alignment shrinkToFit="1"/>
      <protection locked="0"/>
    </xf>
    <xf numFmtId="215" fontId="6" fillId="0" borderId="196" xfId="12" applyNumberFormat="1" applyFont="1" applyFill="1" applyBorder="1" applyAlignment="1" applyProtection="1">
      <alignment horizontal="center" shrinkToFit="1"/>
      <protection locked="0"/>
    </xf>
    <xf numFmtId="0" fontId="6" fillId="0" borderId="196" xfId="2" applyNumberFormat="1" applyFont="1" applyFill="1" applyBorder="1" applyAlignment="1" applyProtection="1">
      <alignment shrinkToFit="1"/>
    </xf>
    <xf numFmtId="0" fontId="6" fillId="0" borderId="198" xfId="2" applyNumberFormat="1" applyFont="1" applyFill="1" applyBorder="1" applyAlignment="1" applyProtection="1">
      <alignment horizontal="right" shrinkToFit="1"/>
      <protection locked="0"/>
    </xf>
    <xf numFmtId="0" fontId="6" fillId="0" borderId="199" xfId="2" applyNumberFormat="1" applyFont="1" applyFill="1" applyBorder="1" applyAlignment="1" applyProtection="1">
      <alignment horizontal="right" shrinkToFit="1"/>
      <protection locked="0"/>
    </xf>
    <xf numFmtId="216" fontId="6" fillId="0" borderId="196" xfId="2" applyNumberFormat="1" applyFont="1" applyFill="1" applyBorder="1" applyAlignment="1" applyProtection="1">
      <alignment shrinkToFit="1"/>
      <protection locked="0"/>
    </xf>
    <xf numFmtId="0" fontId="6" fillId="0" borderId="135" xfId="2" applyNumberFormat="1" applyFont="1" applyFill="1" applyBorder="1" applyAlignment="1" applyProtection="1">
      <alignment horizontal="right" shrinkToFit="1"/>
      <protection locked="0"/>
    </xf>
    <xf numFmtId="183" fontId="6" fillId="0" borderId="199" xfId="2" applyNumberFormat="1" applyFont="1" applyFill="1" applyBorder="1" applyAlignment="1" applyProtection="1">
      <alignment horizontal="right" shrinkToFit="1"/>
      <protection locked="0"/>
    </xf>
    <xf numFmtId="0" fontId="6" fillId="0" borderId="0" xfId="2" applyNumberFormat="1" applyFont="1" applyFill="1" applyBorder="1" applyAlignment="1" applyProtection="1">
      <alignment horizontal="right" shrinkToFit="1"/>
      <protection locked="0"/>
    </xf>
    <xf numFmtId="208" fontId="6" fillId="0" borderId="0" xfId="2" applyNumberFormat="1" applyFont="1" applyFill="1" applyBorder="1" applyAlignment="1" applyProtection="1">
      <alignment vertical="center" shrinkToFit="1"/>
      <protection locked="0"/>
    </xf>
    <xf numFmtId="0" fontId="6" fillId="0" borderId="84" xfId="2" applyFont="1" applyFill="1" applyBorder="1" applyAlignment="1" applyProtection="1">
      <alignment horizontal="left" indent="1"/>
    </xf>
    <xf numFmtId="0" fontId="6" fillId="0" borderId="84" xfId="2" applyNumberFormat="1" applyFont="1" applyFill="1" applyBorder="1" applyAlignment="1" applyProtection="1">
      <alignment horizontal="left" shrinkToFit="1"/>
    </xf>
    <xf numFmtId="217" fontId="6" fillId="0" borderId="84" xfId="2" applyNumberFormat="1" applyFont="1" applyFill="1" applyBorder="1" applyAlignment="1" applyProtection="1">
      <alignment shrinkToFit="1"/>
      <protection locked="0"/>
    </xf>
    <xf numFmtId="218" fontId="6" fillId="0" borderId="84" xfId="12" applyNumberFormat="1" applyFont="1" applyFill="1" applyBorder="1" applyAlignment="1" applyProtection="1">
      <alignment horizontal="center" shrinkToFit="1"/>
    </xf>
    <xf numFmtId="0" fontId="6" fillId="0" borderId="84" xfId="12" applyNumberFormat="1" applyFont="1" applyFill="1" applyBorder="1" applyAlignment="1" applyProtection="1">
      <alignment horizontal="left" shrinkToFit="1"/>
    </xf>
    <xf numFmtId="0" fontId="6" fillId="0" borderId="208" xfId="2" applyNumberFormat="1" applyFont="1" applyFill="1" applyBorder="1" applyAlignment="1" applyProtection="1">
      <alignment horizontal="right" shrinkToFit="1"/>
      <protection locked="0"/>
    </xf>
    <xf numFmtId="0" fontId="6" fillId="0" borderId="210" xfId="2" applyNumberFormat="1" applyFont="1" applyFill="1" applyBorder="1" applyAlignment="1" applyProtection="1">
      <alignment horizontal="right" shrinkToFit="1"/>
      <protection locked="0"/>
    </xf>
    <xf numFmtId="219" fontId="6" fillId="0" borderId="84" xfId="2" applyNumberFormat="1" applyFont="1" applyFill="1" applyBorder="1" applyAlignment="1" applyProtection="1">
      <alignment shrinkToFit="1"/>
      <protection locked="0"/>
    </xf>
    <xf numFmtId="0" fontId="6" fillId="0" borderId="72" xfId="2" applyNumberFormat="1" applyFont="1" applyFill="1" applyBorder="1" applyAlignment="1" applyProtection="1">
      <alignment horizontal="right" shrinkToFit="1"/>
      <protection locked="0"/>
    </xf>
    <xf numFmtId="183" fontId="6" fillId="0" borderId="210" xfId="2" applyNumberFormat="1" applyFont="1" applyFill="1" applyBorder="1" applyAlignment="1" applyProtection="1">
      <alignment horizontal="right" shrinkToFit="1"/>
      <protection locked="0"/>
    </xf>
    <xf numFmtId="194" fontId="6" fillId="0" borderId="0" xfId="12" applyNumberFormat="1" applyFont="1" applyFill="1" applyBorder="1" applyAlignment="1" applyProtection="1">
      <alignment horizontal="left" vertical="center"/>
    </xf>
    <xf numFmtId="2" fontId="19" fillId="0" borderId="0" xfId="2" applyNumberFormat="1" applyFont="1" applyFill="1" applyBorder="1" applyAlignment="1" applyProtection="1">
      <alignment vertical="center"/>
    </xf>
    <xf numFmtId="220" fontId="6" fillId="0" borderId="84" xfId="12" applyNumberFormat="1" applyFont="1" applyFill="1" applyBorder="1" applyAlignment="1" applyProtection="1">
      <alignment horizontal="center" shrinkToFit="1"/>
    </xf>
    <xf numFmtId="221" fontId="6" fillId="0" borderId="84" xfId="12" applyNumberFormat="1" applyFont="1" applyFill="1" applyBorder="1" applyAlignment="1" applyProtection="1">
      <alignment horizontal="left" shrinkToFit="1"/>
    </xf>
    <xf numFmtId="2" fontId="6" fillId="0" borderId="0" xfId="2" applyNumberFormat="1" applyFont="1" applyFill="1" applyBorder="1" applyAlignment="1" applyProtection="1">
      <alignment vertical="center"/>
      <protection locked="0"/>
    </xf>
    <xf numFmtId="0" fontId="6" fillId="3" borderId="102" xfId="2" applyFont="1" applyFill="1" applyBorder="1" applyAlignment="1" applyProtection="1">
      <alignment horizontal="center" vertical="center" shrinkToFit="1"/>
    </xf>
    <xf numFmtId="0" fontId="6" fillId="3" borderId="256" xfId="2" applyFont="1" applyFill="1" applyBorder="1" applyAlignment="1" applyProtection="1">
      <alignment horizontal="center" vertical="center" shrinkToFit="1"/>
    </xf>
    <xf numFmtId="3" fontId="6" fillId="3" borderId="22" xfId="12" applyNumberFormat="1" applyFont="1" applyFill="1" applyBorder="1" applyAlignment="1" applyProtection="1">
      <alignment horizontal="center" vertical="center"/>
    </xf>
    <xf numFmtId="3" fontId="6" fillId="3" borderId="257" xfId="12" applyNumberFormat="1" applyFont="1" applyFill="1" applyBorder="1" applyAlignment="1" applyProtection="1">
      <alignment horizontal="center" vertical="center"/>
    </xf>
    <xf numFmtId="3" fontId="6" fillId="3" borderId="258" xfId="12" applyNumberFormat="1" applyFont="1" applyFill="1" applyBorder="1" applyAlignment="1" applyProtection="1">
      <alignment horizontal="center" vertical="center" wrapText="1"/>
    </xf>
    <xf numFmtId="0" fontId="6" fillId="0" borderId="84" xfId="2" applyFont="1" applyFill="1" applyBorder="1" applyAlignment="1" applyProtection="1">
      <alignment horizontal="left" indent="1" shrinkToFit="1"/>
    </xf>
    <xf numFmtId="222" fontId="6" fillId="0" borderId="84" xfId="2" applyNumberFormat="1" applyFont="1" applyFill="1" applyBorder="1" applyAlignment="1" applyProtection="1">
      <alignment shrinkToFit="1"/>
      <protection locked="0"/>
    </xf>
    <xf numFmtId="220" fontId="6" fillId="0" borderId="84" xfId="2" applyNumberFormat="1" applyFont="1" applyFill="1" applyBorder="1" applyAlignment="1" applyProtection="1">
      <alignment horizontal="center"/>
    </xf>
    <xf numFmtId="0" fontId="6" fillId="0" borderId="84" xfId="2" applyNumberFormat="1" applyFont="1" applyFill="1" applyBorder="1" applyAlignment="1" applyProtection="1">
      <alignment horizontal="left" shrinkToFit="1"/>
      <protection locked="0"/>
    </xf>
    <xf numFmtId="223" fontId="6" fillId="0" borderId="84" xfId="2" applyNumberFormat="1" applyFont="1" applyFill="1" applyBorder="1" applyAlignment="1" applyProtection="1">
      <alignment shrinkToFit="1"/>
      <protection locked="0"/>
    </xf>
    <xf numFmtId="194" fontId="6" fillId="3" borderId="228" xfId="12" applyNumberFormat="1" applyFont="1" applyFill="1" applyBorder="1" applyAlignment="1" applyProtection="1">
      <alignment horizontal="center" vertical="center" wrapText="1" shrinkToFit="1"/>
    </xf>
    <xf numFmtId="194" fontId="6" fillId="3" borderId="12" xfId="12" applyNumberFormat="1" applyFont="1" applyFill="1" applyBorder="1" applyAlignment="1" applyProtection="1">
      <alignment horizontal="center" vertical="center" wrapText="1" shrinkToFit="1"/>
    </xf>
    <xf numFmtId="0" fontId="15" fillId="3" borderId="12" xfId="2" applyNumberFormat="1" applyFont="1" applyFill="1" applyBorder="1" applyAlignment="1" applyProtection="1">
      <alignment horizontal="center" vertical="center" wrapText="1"/>
      <protection locked="0"/>
    </xf>
    <xf numFmtId="0" fontId="6" fillId="3" borderId="12" xfId="2" applyNumberFormat="1" applyFont="1" applyFill="1" applyBorder="1" applyAlignment="1" applyProtection="1">
      <alignment horizontal="center" vertical="center" wrapText="1"/>
    </xf>
    <xf numFmtId="3" fontId="6" fillId="3" borderId="13" xfId="12" applyNumberFormat="1" applyFont="1" applyFill="1" applyBorder="1" applyAlignment="1" applyProtection="1">
      <alignment horizontal="center" vertical="center" wrapText="1"/>
    </xf>
    <xf numFmtId="0" fontId="6" fillId="0" borderId="259" xfId="2" applyFont="1" applyFill="1" applyBorder="1" applyAlignment="1" applyProtection="1">
      <alignment horizontal="left" indent="1" shrinkToFit="1"/>
    </xf>
    <xf numFmtId="0" fontId="6" fillId="0" borderId="260" xfId="2" applyFont="1" applyFill="1" applyBorder="1" applyAlignment="1" applyProtection="1">
      <alignment horizontal="left" indent="1" shrinkToFit="1"/>
    </xf>
    <xf numFmtId="220" fontId="6" fillId="0" borderId="20" xfId="2" applyNumberFormat="1" applyFont="1" applyFill="1" applyBorder="1" applyAlignment="1" applyProtection="1">
      <alignment horizontal="center"/>
    </xf>
    <xf numFmtId="0" fontId="6" fillId="0" borderId="0" xfId="2" applyNumberFormat="1" applyFont="1" applyFill="1" applyBorder="1" applyAlignment="1" applyProtection="1">
      <alignment horizontal="left" shrinkToFit="1"/>
      <protection locked="0"/>
    </xf>
    <xf numFmtId="0" fontId="6" fillId="0" borderId="261" xfId="2" applyNumberFormat="1" applyFont="1" applyFill="1" applyBorder="1" applyAlignment="1" applyProtection="1">
      <alignment horizontal="right" shrinkToFit="1"/>
      <protection locked="0"/>
    </xf>
    <xf numFmtId="194" fontId="6" fillId="0" borderId="0" xfId="12" applyNumberFormat="1" applyFont="1" applyFill="1" applyBorder="1" applyAlignment="1" applyProtection="1">
      <alignment horizontal="right" shrinkToFit="1"/>
    </xf>
    <xf numFmtId="0" fontId="6" fillId="0" borderId="262" xfId="2" applyNumberFormat="1" applyFont="1" applyFill="1" applyBorder="1" applyAlignment="1" applyProtection="1">
      <alignment horizontal="right" shrinkToFit="1"/>
      <protection locked="0"/>
    </xf>
    <xf numFmtId="194" fontId="6" fillId="0" borderId="263" xfId="12" applyNumberFormat="1" applyFont="1" applyFill="1" applyBorder="1" applyAlignment="1" applyProtection="1">
      <alignment horizontal="right" shrinkToFit="1"/>
    </xf>
    <xf numFmtId="183" fontId="6" fillId="0" borderId="261" xfId="2" applyNumberFormat="1" applyFont="1" applyFill="1" applyBorder="1" applyAlignment="1" applyProtection="1">
      <alignment horizontal="right" shrinkToFit="1"/>
      <protection locked="0"/>
    </xf>
    <xf numFmtId="0" fontId="6" fillId="0" borderId="107" xfId="2" applyNumberFormat="1" applyFont="1" applyFill="1" applyBorder="1" applyAlignment="1" applyProtection="1">
      <alignment horizontal="right" shrinkToFit="1"/>
      <protection locked="0"/>
    </xf>
    <xf numFmtId="183" fontId="6" fillId="0" borderId="262" xfId="2" applyNumberFormat="1" applyFont="1" applyFill="1" applyBorder="1" applyAlignment="1" applyProtection="1">
      <alignment horizontal="right" shrinkToFit="1"/>
      <protection locked="0"/>
    </xf>
    <xf numFmtId="194" fontId="6" fillId="0" borderId="264" xfId="12" applyNumberFormat="1" applyFont="1" applyFill="1" applyBorder="1" applyAlignment="1" applyProtection="1">
      <alignment horizontal="right" shrinkToFit="1"/>
    </xf>
    <xf numFmtId="203" fontId="6" fillId="15" borderId="163" xfId="2" applyNumberFormat="1" applyFont="1" applyFill="1" applyBorder="1" applyAlignment="1" applyProtection="1">
      <alignment horizontal="center" vertical="center" wrapText="1"/>
      <protection locked="0"/>
    </xf>
    <xf numFmtId="203" fontId="6" fillId="16" borderId="163" xfId="2" applyNumberFormat="1" applyFont="1" applyFill="1" applyBorder="1" applyAlignment="1" applyProtection="1">
      <alignment horizontal="center" vertical="center" wrapText="1"/>
      <protection locked="0"/>
    </xf>
    <xf numFmtId="203" fontId="19" fillId="3" borderId="163" xfId="2" applyNumberFormat="1" applyFont="1" applyFill="1" applyBorder="1" applyAlignment="1" applyProtection="1">
      <alignment horizontal="center" vertical="center" wrapText="1"/>
      <protection locked="0"/>
    </xf>
    <xf numFmtId="0" fontId="6" fillId="3" borderId="103" xfId="2" applyFont="1" applyFill="1" applyBorder="1" applyAlignment="1" applyProtection="1">
      <alignment horizontal="center" vertical="center" shrinkToFit="1"/>
    </xf>
    <xf numFmtId="0" fontId="6" fillId="3" borderId="53" xfId="2" applyFont="1" applyFill="1" applyBorder="1" applyAlignment="1" applyProtection="1">
      <alignment horizontal="center" vertical="center" shrinkToFit="1"/>
    </xf>
    <xf numFmtId="0" fontId="6" fillId="0" borderId="14" xfId="2" applyFont="1" applyFill="1" applyBorder="1" applyAlignment="1" applyProtection="1">
      <alignment horizontal="center" vertical="center" shrinkToFit="1"/>
    </xf>
    <xf numFmtId="0" fontId="6" fillId="0" borderId="15" xfId="2" applyFont="1" applyFill="1" applyBorder="1" applyAlignment="1" applyProtection="1">
      <alignment horizontal="center" vertical="center" shrinkToFit="1"/>
    </xf>
    <xf numFmtId="209" fontId="6" fillId="0" borderId="53" xfId="2" applyNumberFormat="1" applyFont="1" applyFill="1" applyBorder="1" applyAlignment="1" applyProtection="1">
      <alignment vertical="center"/>
    </xf>
    <xf numFmtId="209" fontId="6" fillId="0" borderId="15" xfId="2" applyNumberFormat="1" applyFont="1" applyFill="1" applyBorder="1" applyAlignment="1" applyProtection="1">
      <alignment vertical="center"/>
    </xf>
    <xf numFmtId="209" fontId="6" fillId="0" borderId="16" xfId="2" applyNumberFormat="1" applyFont="1" applyFill="1" applyBorder="1" applyAlignment="1" applyProtection="1">
      <alignment vertical="center"/>
    </xf>
    <xf numFmtId="0" fontId="6" fillId="19" borderId="254" xfId="2" applyFont="1" applyFill="1" applyBorder="1" applyAlignment="1" applyProtection="1">
      <alignment horizontal="center" vertical="center" textRotation="255" wrapText="1" shrinkToFit="1"/>
    </xf>
    <xf numFmtId="0" fontId="6" fillId="3" borderId="3" xfId="2" applyFont="1" applyFill="1" applyBorder="1" applyAlignment="1" applyProtection="1">
      <alignment horizontal="left"/>
    </xf>
    <xf numFmtId="0" fontId="6" fillId="3" borderId="3" xfId="2" applyFont="1" applyFill="1" applyBorder="1" applyProtection="1"/>
    <xf numFmtId="0" fontId="6" fillId="3" borderId="3" xfId="2" applyFont="1" applyFill="1" applyBorder="1" applyAlignment="1" applyProtection="1">
      <alignment horizontal="right"/>
    </xf>
    <xf numFmtId="0" fontId="6" fillId="20" borderId="2" xfId="2" applyFont="1" applyFill="1" applyBorder="1" applyAlignment="1" applyProtection="1">
      <alignment vertical="center"/>
    </xf>
    <xf numFmtId="0" fontId="6" fillId="20" borderId="3" xfId="2" applyFont="1" applyFill="1" applyBorder="1" applyAlignment="1" applyProtection="1">
      <alignment horizontal="left" vertical="center"/>
    </xf>
    <xf numFmtId="0" fontId="6" fillId="20" borderId="3" xfId="2" applyFont="1" applyFill="1" applyBorder="1" applyAlignment="1" applyProtection="1">
      <alignment vertical="center"/>
    </xf>
    <xf numFmtId="0" fontId="6" fillId="20" borderId="3" xfId="2" applyFont="1" applyFill="1" applyBorder="1" applyAlignment="1" applyProtection="1">
      <alignment horizontal="right" vertical="center"/>
    </xf>
    <xf numFmtId="0" fontId="6" fillId="3" borderId="3" xfId="2" applyFont="1" applyFill="1" applyBorder="1" applyAlignment="1" applyProtection="1">
      <alignment horizontal="left" vertical="center"/>
    </xf>
    <xf numFmtId="0" fontId="6" fillId="3" borderId="3" xfId="2" applyFont="1" applyFill="1" applyBorder="1" applyAlignment="1" applyProtection="1">
      <alignment vertical="center"/>
    </xf>
    <xf numFmtId="0" fontId="6" fillId="3" borderId="3" xfId="2" applyFont="1" applyFill="1" applyBorder="1" applyAlignment="1" applyProtection="1">
      <alignment horizontal="right" vertical="center"/>
    </xf>
    <xf numFmtId="0" fontId="6" fillId="19" borderId="62" xfId="2" applyFont="1" applyFill="1" applyBorder="1" applyAlignment="1" applyProtection="1">
      <alignment horizontal="center" vertical="center" textRotation="255" wrapText="1" shrinkToFit="1"/>
    </xf>
    <xf numFmtId="3" fontId="6" fillId="0" borderId="0" xfId="12" applyNumberFormat="1" applyFont="1" applyFill="1" applyBorder="1" applyAlignment="1" applyProtection="1">
      <alignment vertical="center" shrinkToFit="1"/>
    </xf>
    <xf numFmtId="0" fontId="6" fillId="0" borderId="11" xfId="2" applyFont="1" applyFill="1" applyBorder="1" applyAlignment="1" applyProtection="1">
      <alignment horizontal="center" vertical="center" shrinkToFit="1"/>
    </xf>
    <xf numFmtId="0" fontId="6" fillId="0" borderId="12" xfId="2" applyFont="1" applyFill="1" applyBorder="1" applyAlignment="1" applyProtection="1">
      <alignment horizontal="center" vertical="center" shrinkToFit="1"/>
    </xf>
    <xf numFmtId="209" fontId="6" fillId="0" borderId="228" xfId="2" applyNumberFormat="1" applyFont="1" applyFill="1" applyBorder="1" applyAlignment="1" applyProtection="1">
      <alignment vertical="center"/>
    </xf>
    <xf numFmtId="0" fontId="6" fillId="19" borderId="36" xfId="2" applyFont="1" applyFill="1" applyBorder="1" applyAlignment="1" applyProtection="1">
      <alignment horizontal="center" vertical="center" textRotation="255" wrapText="1" shrinkToFit="1"/>
    </xf>
    <xf numFmtId="201" fontId="6" fillId="0" borderId="0" xfId="2" applyNumberFormat="1" applyFont="1" applyFill="1" applyBorder="1" applyProtection="1"/>
    <xf numFmtId="220" fontId="6" fillId="0" borderId="0" xfId="2" applyNumberFormat="1" applyFont="1" applyFill="1" applyBorder="1" applyAlignment="1" applyProtection="1">
      <alignment horizontal="center"/>
    </xf>
    <xf numFmtId="0" fontId="6" fillId="0" borderId="0" xfId="2" applyFont="1" applyFill="1" applyBorder="1" applyAlignment="1" applyProtection="1">
      <alignment horizontal="left"/>
    </xf>
    <xf numFmtId="208" fontId="6" fillId="0" borderId="261" xfId="2" applyNumberFormat="1" applyFont="1" applyFill="1" applyBorder="1" applyAlignment="1" applyProtection="1">
      <alignment horizontal="right" shrinkToFit="1"/>
    </xf>
    <xf numFmtId="194" fontId="6" fillId="0" borderId="213" xfId="12" applyNumberFormat="1" applyFont="1" applyFill="1" applyBorder="1" applyAlignment="1" applyProtection="1">
      <alignment horizontal="right" shrinkToFit="1"/>
    </xf>
    <xf numFmtId="208" fontId="6" fillId="0" borderId="107" xfId="2" applyNumberFormat="1" applyFont="1" applyFill="1" applyBorder="1" applyAlignment="1" applyProtection="1">
      <alignment horizontal="right" shrinkToFit="1"/>
    </xf>
    <xf numFmtId="208" fontId="6" fillId="0" borderId="262" xfId="2" applyNumberFormat="1" applyFont="1" applyFill="1" applyBorder="1" applyAlignment="1" applyProtection="1">
      <alignment horizontal="right" shrinkToFit="1"/>
    </xf>
    <xf numFmtId="194" fontId="6" fillId="0" borderId="50" xfId="12" applyNumberFormat="1" applyFont="1" applyFill="1" applyBorder="1" applyAlignment="1" applyProtection="1">
      <alignment horizontal="right" shrinkToFit="1"/>
    </xf>
    <xf numFmtId="0" fontId="6" fillId="19" borderId="28" xfId="2" applyFont="1" applyFill="1" applyBorder="1" applyAlignment="1" applyProtection="1">
      <alignment horizontal="center" vertical="center" textRotation="255" wrapText="1" shrinkToFit="1"/>
    </xf>
    <xf numFmtId="183" fontId="6" fillId="0" borderId="261" xfId="2" applyNumberFormat="1" applyFont="1" applyFill="1" applyBorder="1" applyAlignment="1" applyProtection="1">
      <alignment horizontal="right" shrinkToFit="1"/>
    </xf>
    <xf numFmtId="183" fontId="6" fillId="0" borderId="107" xfId="2" applyNumberFormat="1" applyFont="1" applyFill="1" applyBorder="1" applyAlignment="1" applyProtection="1">
      <alignment horizontal="right" shrinkToFit="1"/>
    </xf>
    <xf numFmtId="208" fontId="6" fillId="0" borderId="0" xfId="2" applyNumberFormat="1" applyFont="1" applyFill="1" applyBorder="1" applyAlignment="1" applyProtection="1">
      <alignment horizontal="right" shrinkToFit="1"/>
    </xf>
    <xf numFmtId="177" fontId="6" fillId="0" borderId="234" xfId="2" applyNumberFormat="1" applyFont="1" applyFill="1" applyBorder="1" applyAlignment="1" applyProtection="1">
      <alignment horizontal="right" shrinkToFit="1"/>
    </xf>
    <xf numFmtId="3" fontId="6" fillId="0" borderId="265" xfId="12" applyNumberFormat="1" applyFont="1" applyFill="1" applyBorder="1" applyAlignment="1" applyProtection="1">
      <alignment horizontal="right" shrinkToFit="1"/>
    </xf>
    <xf numFmtId="177" fontId="6" fillId="0" borderId="266" xfId="2" applyNumberFormat="1" applyFont="1" applyFill="1" applyBorder="1" applyAlignment="1" applyProtection="1">
      <alignment horizontal="right" shrinkToFit="1"/>
    </xf>
    <xf numFmtId="3" fontId="6" fillId="0" borderId="231" xfId="12" applyNumberFormat="1" applyFont="1" applyFill="1" applyBorder="1" applyAlignment="1" applyProtection="1">
      <alignment horizontal="right" shrinkToFit="1"/>
    </xf>
    <xf numFmtId="177" fontId="6" fillId="0" borderId="235" xfId="2" applyNumberFormat="1" applyFont="1" applyFill="1" applyBorder="1" applyAlignment="1" applyProtection="1">
      <alignment horizontal="right" shrinkToFit="1"/>
    </xf>
    <xf numFmtId="3" fontId="6" fillId="0" borderId="267" xfId="12" applyNumberFormat="1" applyFont="1" applyFill="1" applyBorder="1" applyAlignment="1" applyProtection="1">
      <alignment horizontal="right" shrinkToFit="1"/>
    </xf>
    <xf numFmtId="183" fontId="6" fillId="0" borderId="266" xfId="2" applyNumberFormat="1" applyFont="1" applyFill="1" applyBorder="1" applyAlignment="1" applyProtection="1">
      <alignment horizontal="right" shrinkToFit="1"/>
    </xf>
    <xf numFmtId="3" fontId="6" fillId="0" borderId="268" xfId="12" applyNumberFormat="1" applyFont="1" applyFill="1" applyBorder="1" applyAlignment="1" applyProtection="1">
      <alignment horizontal="right" shrinkToFit="1"/>
    </xf>
    <xf numFmtId="0" fontId="6" fillId="19" borderId="269" xfId="2" applyFont="1" applyFill="1" applyBorder="1" applyAlignment="1" applyProtection="1">
      <alignment horizontal="center" vertical="center" textRotation="255" wrapText="1" shrinkToFit="1"/>
    </xf>
    <xf numFmtId="0" fontId="6" fillId="3" borderId="237" xfId="2" applyFont="1" applyFill="1" applyBorder="1" applyAlignment="1" applyProtection="1">
      <alignment horizontal="center" vertical="center"/>
      <protection locked="0"/>
    </xf>
    <xf numFmtId="0" fontId="6" fillId="3" borderId="240" xfId="2" applyFont="1" applyFill="1" applyBorder="1" applyAlignment="1" applyProtection="1">
      <alignment horizontal="center" vertical="center"/>
    </xf>
    <xf numFmtId="0" fontId="6" fillId="3" borderId="239" xfId="2" applyFont="1" applyFill="1" applyBorder="1" applyAlignment="1" applyProtection="1">
      <alignment horizontal="center" vertical="center"/>
    </xf>
    <xf numFmtId="0" fontId="6" fillId="3" borderId="240" xfId="2" applyFont="1" applyFill="1" applyBorder="1" applyAlignment="1" applyProtection="1">
      <alignment horizontal="center" vertical="center" wrapText="1"/>
    </xf>
    <xf numFmtId="0" fontId="6" fillId="3" borderId="243" xfId="2" applyFont="1" applyFill="1" applyBorder="1" applyAlignment="1" applyProtection="1">
      <alignment horizontal="center" vertical="center" wrapText="1"/>
    </xf>
    <xf numFmtId="177" fontId="6" fillId="3" borderId="239" xfId="2" applyNumberFormat="1" applyFont="1" applyFill="1" applyBorder="1" applyAlignment="1" applyProtection="1">
      <alignment horizontal="center" vertical="center" wrapText="1" shrinkToFit="1"/>
    </xf>
    <xf numFmtId="177" fontId="6" fillId="0" borderId="0" xfId="2" applyNumberFormat="1" applyFont="1" applyFill="1" applyBorder="1" applyAlignment="1" applyProtection="1">
      <alignment horizontal="center" wrapText="1" shrinkToFit="1"/>
    </xf>
    <xf numFmtId="177" fontId="6" fillId="0" borderId="0" xfId="2" applyNumberFormat="1" applyFont="1" applyFill="1" applyBorder="1" applyAlignment="1" applyProtection="1">
      <alignment vertical="center" shrinkToFit="1"/>
    </xf>
    <xf numFmtId="0" fontId="6" fillId="19" borderId="102" xfId="2" applyFont="1" applyFill="1" applyBorder="1" applyAlignment="1" applyProtection="1">
      <alignment horizontal="center" vertical="center" textRotation="255" wrapText="1" shrinkToFit="1"/>
    </xf>
    <xf numFmtId="0" fontId="6" fillId="0" borderId="196" xfId="2" applyFont="1" applyFill="1" applyBorder="1" applyAlignment="1" applyProtection="1">
      <alignment horizontal="center"/>
    </xf>
    <xf numFmtId="224" fontId="6" fillId="0" borderId="270" xfId="2" applyNumberFormat="1" applyFont="1" applyFill="1" applyBorder="1" applyProtection="1"/>
    <xf numFmtId="224" fontId="6" fillId="0" borderId="68" xfId="2" applyNumberFormat="1" applyFont="1" applyFill="1" applyBorder="1" applyProtection="1"/>
    <xf numFmtId="225" fontId="6" fillId="0" borderId="271" xfId="2" applyNumberFormat="1" applyFont="1" applyFill="1" applyBorder="1" applyAlignment="1" applyProtection="1">
      <alignment horizontal="right"/>
      <protection locked="0"/>
    </xf>
    <xf numFmtId="225" fontId="6" fillId="0" borderId="272" xfId="2" applyNumberFormat="1" applyFont="1" applyFill="1" applyBorder="1" applyAlignment="1" applyProtection="1">
      <alignment horizontal="right"/>
      <protection locked="0"/>
    </xf>
    <xf numFmtId="226" fontId="6" fillId="0" borderId="196" xfId="12" applyNumberFormat="1" applyFont="1" applyFill="1" applyBorder="1" applyAlignment="1" applyProtection="1">
      <alignment horizontal="right" shrinkToFit="1"/>
    </xf>
    <xf numFmtId="227" fontId="6" fillId="0" borderId="136" xfId="12" applyNumberFormat="1" applyFont="1" applyFill="1" applyBorder="1" applyAlignment="1" applyProtection="1">
      <alignment horizontal="right" shrinkToFit="1"/>
    </xf>
    <xf numFmtId="192" fontId="6" fillId="0" borderId="270" xfId="2" applyNumberFormat="1" applyFont="1" applyFill="1" applyBorder="1" applyProtection="1"/>
    <xf numFmtId="192" fontId="6" fillId="0" borderId="68" xfId="2" applyNumberFormat="1" applyFont="1" applyFill="1" applyBorder="1" applyProtection="1"/>
    <xf numFmtId="194" fontId="6" fillId="0" borderId="62" xfId="12" applyNumberFormat="1" applyFont="1" applyFill="1" applyBorder="1" applyAlignment="1" applyProtection="1">
      <alignment horizontal="center" vertical="center" shrinkToFit="1"/>
    </xf>
    <xf numFmtId="194" fontId="6" fillId="0" borderId="65" xfId="12" applyNumberFormat="1" applyFont="1" applyFill="1" applyBorder="1" applyAlignment="1" applyProtection="1">
      <alignment horizontal="center" vertical="center" shrinkToFit="1"/>
    </xf>
    <xf numFmtId="194" fontId="6" fillId="0" borderId="228" xfId="12" applyNumberFormat="1" applyFont="1" applyFill="1" applyBorder="1" applyAlignment="1" applyProtection="1">
      <alignment horizontal="center" vertical="center" shrinkToFit="1"/>
    </xf>
    <xf numFmtId="209" fontId="6" fillId="0" borderId="13" xfId="2" applyNumberFormat="1" applyFont="1" applyFill="1" applyBorder="1" applyAlignment="1" applyProtection="1">
      <alignment vertical="center"/>
      <protection locked="0"/>
    </xf>
    <xf numFmtId="0" fontId="6" fillId="0" borderId="84" xfId="2" applyFont="1" applyFill="1" applyBorder="1" applyAlignment="1" applyProtection="1">
      <alignment horizontal="center"/>
      <protection locked="0"/>
    </xf>
    <xf numFmtId="224" fontId="6" fillId="0" borderId="246" xfId="2" applyNumberFormat="1" applyFont="1" applyFill="1" applyBorder="1" applyProtection="1"/>
    <xf numFmtId="224" fontId="6" fillId="0" borderId="72" xfId="2" applyNumberFormat="1" applyFont="1" applyFill="1" applyBorder="1" applyProtection="1"/>
    <xf numFmtId="225" fontId="6" fillId="0" borderId="273" xfId="2" applyNumberFormat="1" applyFont="1" applyFill="1" applyBorder="1" applyAlignment="1" applyProtection="1">
      <alignment horizontal="right"/>
      <protection locked="0"/>
    </xf>
    <xf numFmtId="225" fontId="6" fillId="0" borderId="212" xfId="2" applyNumberFormat="1" applyFont="1" applyFill="1" applyBorder="1" applyAlignment="1" applyProtection="1">
      <alignment horizontal="right"/>
      <protection locked="0"/>
    </xf>
    <xf numFmtId="226" fontId="6" fillId="0" borderId="84" xfId="12" applyNumberFormat="1" applyFont="1" applyFill="1" applyBorder="1" applyAlignment="1" applyProtection="1">
      <alignment horizontal="right" shrinkToFit="1"/>
    </xf>
    <xf numFmtId="227" fontId="6" fillId="0" borderId="211" xfId="12" applyNumberFormat="1" applyFont="1" applyFill="1" applyBorder="1" applyAlignment="1" applyProtection="1">
      <alignment horizontal="right" shrinkToFit="1"/>
    </xf>
    <xf numFmtId="192" fontId="6" fillId="0" borderId="246" xfId="2" applyNumberFormat="1" applyFont="1" applyFill="1" applyBorder="1" applyProtection="1"/>
    <xf numFmtId="192" fontId="6" fillId="0" borderId="72" xfId="2" applyNumberFormat="1" applyFont="1" applyFill="1" applyBorder="1" applyProtection="1"/>
    <xf numFmtId="208" fontId="6" fillId="3" borderId="8" xfId="2" applyNumberFormat="1" applyFont="1" applyFill="1" applyBorder="1" applyAlignment="1" applyProtection="1">
      <alignment horizontal="center" vertical="center"/>
    </xf>
    <xf numFmtId="208" fontId="6" fillId="3" borderId="9" xfId="2" applyNumberFormat="1" applyFont="1" applyFill="1" applyBorder="1" applyAlignment="1" applyProtection="1">
      <alignment horizontal="center" vertical="center"/>
    </xf>
    <xf numFmtId="208" fontId="6" fillId="3" borderId="9" xfId="2" applyNumberFormat="1" applyFont="1" applyFill="1" applyBorder="1" applyAlignment="1" applyProtection="1">
      <alignment horizontal="center" vertical="center" wrapText="1"/>
    </xf>
    <xf numFmtId="208" fontId="6" fillId="3" borderId="10" xfId="2" applyNumberFormat="1" applyFont="1" applyFill="1" applyBorder="1" applyAlignment="1" applyProtection="1">
      <alignment horizontal="center" vertical="center"/>
    </xf>
    <xf numFmtId="0" fontId="6" fillId="19" borderId="274" xfId="2" applyFont="1" applyFill="1" applyBorder="1" applyAlignment="1" applyProtection="1">
      <alignment horizontal="center" vertical="center" textRotation="255" wrapText="1" shrinkToFit="1"/>
    </xf>
    <xf numFmtId="208" fontId="6" fillId="3" borderId="11" xfId="2" applyNumberFormat="1" applyFont="1" applyFill="1" applyBorder="1" applyAlignment="1" applyProtection="1">
      <alignment horizontal="center" vertical="center"/>
    </xf>
    <xf numFmtId="208" fontId="6" fillId="3" borderId="12" xfId="2" applyNumberFormat="1" applyFont="1" applyFill="1" applyBorder="1" applyAlignment="1" applyProtection="1">
      <alignment horizontal="center" vertical="center"/>
    </xf>
    <xf numFmtId="208" fontId="6" fillId="3" borderId="13" xfId="2" applyNumberFormat="1" applyFont="1" applyFill="1" applyBorder="1" applyAlignment="1" applyProtection="1">
      <alignment horizontal="center" vertical="center"/>
    </xf>
    <xf numFmtId="208" fontId="6" fillId="0" borderId="0" xfId="2" applyNumberFormat="1" applyFont="1" applyFill="1" applyBorder="1" applyAlignment="1" applyProtection="1">
      <alignment vertical="center"/>
    </xf>
    <xf numFmtId="228" fontId="6" fillId="0" borderId="0" xfId="12" applyNumberFormat="1" applyFont="1" applyFill="1" applyBorder="1" applyAlignment="1" applyProtection="1">
      <alignment vertical="center"/>
    </xf>
    <xf numFmtId="0" fontId="6" fillId="3" borderId="3" xfId="2" applyFont="1" applyFill="1" applyBorder="1" applyAlignment="1" applyProtection="1">
      <alignment horizontal="center" vertical="center"/>
    </xf>
    <xf numFmtId="0" fontId="6" fillId="3" borderId="243" xfId="2" applyFont="1" applyFill="1" applyBorder="1" applyAlignment="1" applyProtection="1">
      <alignment horizontal="center" vertical="center"/>
    </xf>
    <xf numFmtId="0" fontId="6" fillId="3" borderId="3" xfId="2" applyFont="1" applyFill="1" applyBorder="1" applyAlignment="1" applyProtection="1">
      <alignment horizontal="center"/>
    </xf>
    <xf numFmtId="0" fontId="6" fillId="3" borderId="243" xfId="2" applyFont="1" applyFill="1" applyBorder="1" applyAlignment="1" applyProtection="1">
      <alignment horizontal="center"/>
    </xf>
    <xf numFmtId="208" fontId="6" fillId="0" borderId="102" xfId="2" applyNumberFormat="1" applyFont="1" applyFill="1" applyBorder="1" applyAlignment="1" applyProtection="1">
      <alignment horizontal="center" vertical="center"/>
    </xf>
    <xf numFmtId="208" fontId="6" fillId="0" borderId="256" xfId="2" applyNumberFormat="1" applyFont="1" applyFill="1" applyBorder="1" applyAlignment="1" applyProtection="1">
      <alignment horizontal="center" vertical="center"/>
    </xf>
    <xf numFmtId="208" fontId="6" fillId="0" borderId="52" xfId="2" applyNumberFormat="1" applyFont="1" applyFill="1" applyBorder="1" applyAlignment="1" applyProtection="1">
      <alignment vertical="center" shrinkToFit="1"/>
    </xf>
    <xf numFmtId="208" fontId="6" fillId="0" borderId="275" xfId="2" applyNumberFormat="1" applyFont="1" applyFill="1" applyBorder="1" applyAlignment="1" applyProtection="1">
      <alignment vertical="center" shrinkToFit="1"/>
    </xf>
    <xf numFmtId="0" fontId="6" fillId="0" borderId="276" xfId="2" applyFont="1" applyFill="1" applyBorder="1" applyAlignment="1" applyProtection="1">
      <alignment horizontal="left" indent="1"/>
    </xf>
    <xf numFmtId="224" fontId="6" fillId="0" borderId="82" xfId="2" applyNumberFormat="1" applyFont="1" applyFill="1" applyBorder="1" applyProtection="1"/>
    <xf numFmtId="229" fontId="6" fillId="0" borderId="82" xfId="2" applyNumberFormat="1" applyFont="1" applyFill="1" applyBorder="1" applyAlignment="1" applyProtection="1">
      <alignment horizontal="right"/>
      <protection locked="0"/>
    </xf>
    <xf numFmtId="229" fontId="6" fillId="0" borderId="272" xfId="2" applyNumberFormat="1" applyFont="1" applyFill="1" applyBorder="1" applyAlignment="1" applyProtection="1">
      <alignment horizontal="right"/>
      <protection locked="0"/>
    </xf>
    <xf numFmtId="0" fontId="6" fillId="0" borderId="276" xfId="2" applyFont="1" applyFill="1" applyBorder="1" applyAlignment="1" applyProtection="1"/>
    <xf numFmtId="208" fontId="6" fillId="0" borderId="103" xfId="2" applyNumberFormat="1" applyFont="1" applyFill="1" applyBorder="1" applyAlignment="1" applyProtection="1">
      <alignment horizontal="center" vertical="center"/>
    </xf>
    <xf numFmtId="208" fontId="6" fillId="0" borderId="53" xfId="2" applyNumberFormat="1" applyFont="1" applyFill="1" applyBorder="1" applyAlignment="1" applyProtection="1">
      <alignment horizontal="center" vertical="center"/>
    </xf>
    <xf numFmtId="208" fontId="6" fillId="0" borderId="15" xfId="2" applyNumberFormat="1" applyFont="1" applyFill="1" applyBorder="1" applyAlignment="1" applyProtection="1">
      <alignment vertical="center" shrinkToFit="1"/>
    </xf>
    <xf numFmtId="208" fontId="6" fillId="0" borderId="16" xfId="2" applyNumberFormat="1" applyFont="1" applyFill="1" applyBorder="1" applyAlignment="1" applyProtection="1">
      <alignment vertical="center" shrinkToFit="1"/>
    </xf>
    <xf numFmtId="0" fontId="6" fillId="0" borderId="259" xfId="2" applyFont="1" applyFill="1" applyBorder="1" applyAlignment="1" applyProtection="1">
      <alignment horizontal="left" indent="1"/>
      <protection locked="0"/>
    </xf>
    <xf numFmtId="0" fontId="6" fillId="0" borderId="260" xfId="2" applyFont="1" applyFill="1" applyBorder="1" applyAlignment="1" applyProtection="1">
      <alignment horizontal="center" shrinkToFit="1"/>
    </xf>
    <xf numFmtId="0" fontId="6" fillId="0" borderId="277" xfId="2" applyFont="1" applyFill="1" applyBorder="1" applyAlignment="1" applyProtection="1">
      <alignment horizontal="center" shrinkToFit="1"/>
    </xf>
    <xf numFmtId="227" fontId="6" fillId="0" borderId="84" xfId="12" applyNumberFormat="1" applyFont="1" applyFill="1" applyBorder="1" applyAlignment="1" applyProtection="1">
      <alignment horizontal="right" shrinkToFit="1"/>
    </xf>
    <xf numFmtId="227" fontId="6" fillId="0" borderId="247" xfId="2" applyNumberFormat="1" applyFont="1" applyFill="1" applyBorder="1" applyAlignment="1" applyProtection="1">
      <alignment horizontal="right" shrinkToFit="1"/>
      <protection locked="0"/>
    </xf>
    <xf numFmtId="0" fontId="6" fillId="0" borderId="259" xfId="2" applyFont="1" applyFill="1" applyBorder="1" applyAlignment="1" applyProtection="1">
      <protection locked="0"/>
    </xf>
    <xf numFmtId="203" fontId="6" fillId="13" borderId="278" xfId="2" applyNumberFormat="1" applyFont="1" applyFill="1" applyBorder="1" applyAlignment="1" applyProtection="1">
      <alignment horizontal="center" vertical="center" wrapText="1"/>
      <protection locked="0"/>
    </xf>
    <xf numFmtId="203" fontId="6" fillId="13" borderId="153" xfId="2" applyNumberFormat="1" applyFont="1" applyFill="1" applyBorder="1" applyAlignment="1" applyProtection="1">
      <alignment horizontal="center" vertical="center" wrapText="1"/>
      <protection locked="0"/>
    </xf>
    <xf numFmtId="203" fontId="6" fillId="15" borderId="279" xfId="2" applyNumberFormat="1" applyFont="1" applyFill="1" applyBorder="1" applyAlignment="1" applyProtection="1">
      <alignment horizontal="center" vertical="center" wrapText="1"/>
      <protection locked="0"/>
    </xf>
    <xf numFmtId="203" fontId="6" fillId="15" borderId="153" xfId="2" applyNumberFormat="1" applyFont="1" applyFill="1" applyBorder="1" applyAlignment="1" applyProtection="1">
      <alignment horizontal="center" vertical="center" wrapText="1"/>
      <protection locked="0"/>
    </xf>
    <xf numFmtId="203" fontId="6" fillId="16" borderId="279" xfId="2" applyNumberFormat="1" applyFont="1" applyFill="1" applyBorder="1" applyAlignment="1" applyProtection="1">
      <alignment horizontal="center" vertical="center" wrapText="1"/>
      <protection locked="0"/>
    </xf>
    <xf numFmtId="203" fontId="6" fillId="16" borderId="153" xfId="2" applyNumberFormat="1" applyFont="1" applyFill="1" applyBorder="1" applyAlignment="1" applyProtection="1">
      <alignment horizontal="center" vertical="center" wrapText="1"/>
      <protection locked="0"/>
    </xf>
    <xf numFmtId="203" fontId="19" fillId="3" borderId="279" xfId="2" applyNumberFormat="1" applyFont="1" applyFill="1" applyBorder="1" applyAlignment="1" applyProtection="1">
      <alignment horizontal="center" vertical="center" wrapText="1"/>
      <protection locked="0"/>
    </xf>
    <xf numFmtId="203" fontId="19" fillId="3" borderId="153" xfId="2" applyNumberFormat="1" applyFont="1" applyFill="1" applyBorder="1" applyAlignment="1" applyProtection="1">
      <alignment horizontal="center" vertical="center" wrapText="1"/>
      <protection locked="0"/>
    </xf>
    <xf numFmtId="203" fontId="19" fillId="3" borderId="49" xfId="2" applyNumberFormat="1" applyFont="1" applyFill="1" applyBorder="1" applyAlignment="1" applyProtection="1">
      <alignment horizontal="center" vertical="center" wrapText="1"/>
      <protection locked="0"/>
    </xf>
    <xf numFmtId="181" fontId="6" fillId="0" borderId="0" xfId="2" applyNumberFormat="1" applyFont="1" applyFill="1" applyBorder="1" applyAlignment="1" applyProtection="1">
      <alignment vertical="center"/>
      <protection locked="0"/>
    </xf>
    <xf numFmtId="208" fontId="6" fillId="0" borderId="280" xfId="2" applyNumberFormat="1" applyFont="1" applyFill="1" applyBorder="1" applyAlignment="1" applyProtection="1">
      <alignment horizontal="center" vertical="center"/>
    </xf>
    <xf numFmtId="208" fontId="6" fillId="0" borderId="281" xfId="2" applyNumberFormat="1" applyFont="1" applyFill="1" applyBorder="1" applyAlignment="1" applyProtection="1">
      <alignment horizontal="center" vertical="center"/>
    </xf>
    <xf numFmtId="208" fontId="6" fillId="0" borderId="54" xfId="2" applyNumberFormat="1" applyFont="1" applyFill="1" applyBorder="1" applyAlignment="1" applyProtection="1">
      <alignment vertical="center" shrinkToFit="1"/>
    </xf>
    <xf numFmtId="208" fontId="6" fillId="0" borderId="282" xfId="2" applyNumberFormat="1" applyFont="1" applyFill="1" applyBorder="1" applyAlignment="1" applyProtection="1">
      <alignment vertical="center" shrinkToFit="1"/>
    </xf>
    <xf numFmtId="3" fontId="6" fillId="0" borderId="140" xfId="12" applyNumberFormat="1" applyFont="1" applyFill="1" applyBorder="1" applyAlignment="1" applyProtection="1">
      <alignment shrinkToFit="1"/>
    </xf>
    <xf numFmtId="0" fontId="6" fillId="19" borderId="283" xfId="2" applyFont="1" applyFill="1" applyBorder="1" applyAlignment="1" applyProtection="1">
      <alignment horizontal="center" vertical="center" textRotation="255" wrapText="1" shrinkToFit="1"/>
    </xf>
    <xf numFmtId="0" fontId="6" fillId="19" borderId="284" xfId="2" applyFont="1" applyFill="1" applyBorder="1" applyAlignment="1" applyProtection="1">
      <alignment horizontal="center" vertical="center" textRotation="255" wrapText="1" shrinkToFit="1"/>
    </xf>
    <xf numFmtId="208" fontId="6" fillId="0" borderId="15" xfId="2" applyNumberFormat="1" applyFont="1" applyFill="1" applyBorder="1" applyAlignment="1" applyProtection="1">
      <alignment vertical="center" shrinkToFit="1"/>
      <protection locked="0"/>
    </xf>
    <xf numFmtId="230" fontId="6" fillId="0" borderId="0" xfId="12" applyNumberFormat="1" applyFont="1" applyFill="1" applyBorder="1" applyAlignment="1" applyProtection="1">
      <alignment vertical="center"/>
    </xf>
    <xf numFmtId="208" fontId="6" fillId="0" borderId="0" xfId="2" applyNumberFormat="1" applyFont="1" applyFill="1" applyBorder="1" applyAlignment="1" applyProtection="1">
      <alignment vertical="center" shrinkToFit="1"/>
    </xf>
    <xf numFmtId="194" fontId="6" fillId="0" borderId="140" xfId="12" applyNumberFormat="1" applyFont="1" applyFill="1" applyBorder="1" applyAlignment="1" applyProtection="1">
      <alignment shrinkToFit="1"/>
    </xf>
    <xf numFmtId="0" fontId="6" fillId="0" borderId="285" xfId="2" applyFont="1" applyFill="1" applyBorder="1" applyAlignment="1" applyProtection="1">
      <alignment horizontal="left" indent="1"/>
    </xf>
    <xf numFmtId="0" fontId="6" fillId="0" borderId="286" xfId="2" applyFont="1" applyFill="1" applyBorder="1" applyProtection="1"/>
    <xf numFmtId="0" fontId="6" fillId="0" borderId="286" xfId="2" applyFont="1" applyFill="1" applyBorder="1" applyAlignment="1" applyProtection="1">
      <alignment horizontal="right"/>
    </xf>
    <xf numFmtId="177" fontId="6" fillId="0" borderId="287" xfId="2" applyNumberFormat="1" applyFont="1" applyFill="1" applyBorder="1" applyAlignment="1" applyProtection="1">
      <alignment horizontal="right" shrinkToFit="1"/>
    </xf>
    <xf numFmtId="3" fontId="6" fillId="0" borderId="286" xfId="12" applyNumberFormat="1" applyFont="1" applyFill="1" applyBorder="1" applyAlignment="1" applyProtection="1">
      <alignment horizontal="right" shrinkToFit="1"/>
    </xf>
    <xf numFmtId="177" fontId="6" fillId="0" borderId="288" xfId="2" applyNumberFormat="1" applyFont="1" applyFill="1" applyBorder="1" applyAlignment="1" applyProtection="1">
      <alignment horizontal="right" shrinkToFit="1"/>
    </xf>
    <xf numFmtId="3" fontId="6" fillId="0" borderId="289" xfId="12" applyNumberFormat="1" applyFont="1" applyFill="1" applyBorder="1" applyAlignment="1" applyProtection="1">
      <alignment horizontal="right" shrinkToFit="1"/>
    </xf>
    <xf numFmtId="183" fontId="6" fillId="0" borderId="287" xfId="2" applyNumberFormat="1" applyFont="1" applyFill="1" applyBorder="1" applyAlignment="1" applyProtection="1">
      <alignment horizontal="right" shrinkToFit="1"/>
    </xf>
    <xf numFmtId="177" fontId="6" fillId="0" borderId="290" xfId="2" applyNumberFormat="1" applyFont="1" applyFill="1" applyBorder="1" applyAlignment="1" applyProtection="1">
      <alignment horizontal="right" shrinkToFit="1"/>
    </xf>
    <xf numFmtId="183" fontId="6" fillId="0" borderId="288" xfId="2" applyNumberFormat="1" applyFont="1" applyFill="1" applyBorder="1" applyAlignment="1" applyProtection="1">
      <alignment horizontal="right" shrinkToFit="1"/>
    </xf>
    <xf numFmtId="3" fontId="6" fillId="0" borderId="291" xfId="12" applyNumberFormat="1" applyFont="1" applyFill="1" applyBorder="1" applyAlignment="1" applyProtection="1">
      <alignment horizontal="right" shrinkToFit="1"/>
    </xf>
    <xf numFmtId="0" fontId="6" fillId="0" borderId="292" xfId="2" applyNumberFormat="1" applyFont="1" applyFill="1" applyBorder="1" applyAlignment="1" applyProtection="1">
      <alignment vertical="center"/>
    </xf>
    <xf numFmtId="0" fontId="6" fillId="0" borderId="292" xfId="2" applyNumberFormat="1" applyFont="1" applyFill="1" applyBorder="1" applyAlignment="1" applyProtection="1">
      <alignment vertical="center"/>
      <protection locked="0"/>
    </xf>
    <xf numFmtId="0" fontId="6" fillId="0" borderId="292" xfId="12" applyNumberFormat="1" applyFont="1" applyFill="1" applyBorder="1" applyAlignment="1" applyProtection="1">
      <alignment vertical="center"/>
    </xf>
    <xf numFmtId="3" fontId="19" fillId="0" borderId="0" xfId="12" applyNumberFormat="1" applyFont="1" applyFill="1" applyBorder="1" applyAlignment="1" applyProtection="1">
      <alignment vertical="center"/>
    </xf>
    <xf numFmtId="0" fontId="6" fillId="0" borderId="293" xfId="2" applyFont="1" applyFill="1" applyBorder="1" applyAlignment="1" applyProtection="1">
      <alignment horizontal="left" indent="1"/>
    </xf>
    <xf numFmtId="0" fontId="6" fillId="0" borderId="294" xfId="2" applyFont="1" applyFill="1" applyBorder="1" applyProtection="1"/>
    <xf numFmtId="0" fontId="6" fillId="0" borderId="294" xfId="2" applyFont="1" applyFill="1" applyBorder="1" applyAlignment="1" applyProtection="1">
      <alignment horizontal="right"/>
    </xf>
    <xf numFmtId="2" fontId="6" fillId="0" borderId="295" xfId="2" applyNumberFormat="1" applyFont="1" applyFill="1" applyBorder="1" applyAlignment="1" applyProtection="1">
      <alignment horizontal="centerContinuous" shrinkToFit="1"/>
    </xf>
    <xf numFmtId="230" fontId="6" fillId="0" borderId="294" xfId="12" applyNumberFormat="1" applyFont="1" applyFill="1" applyBorder="1" applyAlignment="1" applyProtection="1">
      <alignment horizontal="centerContinuous" shrinkToFit="1"/>
    </xf>
    <xf numFmtId="2" fontId="6" fillId="0" borderId="296" xfId="2" applyNumberFormat="1" applyFont="1" applyFill="1" applyBorder="1" applyAlignment="1" applyProtection="1">
      <alignment horizontal="centerContinuous" shrinkToFit="1"/>
    </xf>
    <xf numFmtId="230" fontId="6" fillId="0" borderId="297" xfId="12" applyNumberFormat="1" applyFont="1" applyFill="1" applyBorder="1" applyAlignment="1" applyProtection="1">
      <alignment horizontal="centerContinuous" shrinkToFit="1"/>
    </xf>
    <xf numFmtId="2" fontId="6" fillId="0" borderId="294" xfId="2" applyNumberFormat="1" applyFont="1" applyFill="1" applyBorder="1" applyAlignment="1" applyProtection="1">
      <alignment horizontal="center"/>
    </xf>
    <xf numFmtId="2" fontId="6" fillId="0" borderId="298" xfId="2" applyNumberFormat="1" applyFont="1" applyFill="1" applyBorder="1" applyAlignment="1" applyProtection="1">
      <alignment horizontal="center"/>
    </xf>
    <xf numFmtId="230" fontId="6" fillId="0" borderId="140" xfId="12" applyNumberFormat="1" applyFont="1" applyFill="1" applyBorder="1" applyAlignment="1" applyProtection="1">
      <alignment horizontal="centerContinuous" shrinkToFit="1"/>
    </xf>
    <xf numFmtId="183" fontId="6" fillId="0" borderId="299" xfId="2" applyNumberFormat="1" applyFont="1" applyFill="1" applyBorder="1" applyAlignment="1" applyProtection="1">
      <alignment horizontal="centerContinuous" shrinkToFit="1"/>
    </xf>
    <xf numFmtId="2" fontId="6" fillId="0" borderId="294" xfId="2" applyNumberFormat="1" applyFont="1" applyFill="1" applyBorder="1" applyAlignment="1" applyProtection="1">
      <alignment horizontal="centerContinuous" shrinkToFit="1"/>
    </xf>
    <xf numFmtId="183" fontId="6" fillId="0" borderId="300" xfId="2" applyNumberFormat="1" applyFont="1" applyFill="1" applyBorder="1" applyAlignment="1" applyProtection="1">
      <alignment shrinkToFit="1"/>
    </xf>
    <xf numFmtId="2" fontId="6" fillId="0" borderId="301" xfId="2" applyNumberFormat="1" applyFont="1" applyFill="1" applyBorder="1" applyAlignment="1" applyProtection="1">
      <alignment horizontal="center" shrinkToFit="1"/>
    </xf>
    <xf numFmtId="2" fontId="6" fillId="0" borderId="302" xfId="2" applyNumberFormat="1" applyFont="1" applyFill="1" applyBorder="1" applyAlignment="1" applyProtection="1">
      <alignment horizontal="center" shrinkToFit="1"/>
    </xf>
    <xf numFmtId="230" fontId="6" fillId="0" borderId="0" xfId="12" applyNumberFormat="1" applyFont="1" applyFill="1" applyBorder="1" applyAlignment="1" applyProtection="1">
      <alignment vertical="center" shrinkToFit="1"/>
    </xf>
    <xf numFmtId="0" fontId="19" fillId="0" borderId="303" xfId="2" applyFont="1" applyFill="1" applyBorder="1" applyAlignment="1" applyProtection="1">
      <alignment horizontal="left" indent="1"/>
    </xf>
    <xf numFmtId="0" fontId="19" fillId="0" borderId="231" xfId="2" applyFont="1" applyFill="1" applyBorder="1" applyProtection="1"/>
    <xf numFmtId="2" fontId="19" fillId="0" borderId="231" xfId="2" applyNumberFormat="1" applyFont="1" applyFill="1" applyBorder="1" applyAlignment="1" applyProtection="1">
      <alignment horizontal="center"/>
    </xf>
    <xf numFmtId="230" fontId="19" fillId="0" borderId="231" xfId="2" applyNumberFormat="1" applyFont="1" applyFill="1" applyBorder="1" applyAlignment="1" applyProtection="1">
      <alignment horizontal="left"/>
    </xf>
    <xf numFmtId="2" fontId="19" fillId="0" borderId="202" xfId="2" applyNumberFormat="1" applyFont="1" applyFill="1" applyBorder="1" applyAlignment="1" applyProtection="1">
      <alignment horizontal="right" shrinkToFit="1"/>
    </xf>
    <xf numFmtId="3" fontId="19" fillId="0" borderId="232" xfId="12" applyNumberFormat="1" applyFont="1" applyFill="1" applyBorder="1" applyAlignment="1" applyProtection="1">
      <alignment horizontal="right" shrinkToFit="1"/>
    </xf>
    <xf numFmtId="2" fontId="19" fillId="0" borderId="252" xfId="2" applyNumberFormat="1" applyFont="1" applyFill="1" applyBorder="1" applyAlignment="1" applyProtection="1">
      <alignment horizontal="right" shrinkToFit="1"/>
    </xf>
    <xf numFmtId="2" fontId="19" fillId="0" borderId="252" xfId="2" applyNumberFormat="1" applyFont="1" applyFill="1" applyBorder="1" applyAlignment="1" applyProtection="1">
      <alignment shrinkToFit="1"/>
    </xf>
    <xf numFmtId="3" fontId="19" fillId="0" borderId="304" xfId="12" applyNumberFormat="1" applyFont="1" applyFill="1" applyBorder="1" applyAlignment="1" applyProtection="1">
      <alignment shrinkToFit="1"/>
    </xf>
    <xf numFmtId="2" fontId="19" fillId="0" borderId="231" xfId="2" applyNumberFormat="1" applyFont="1" applyFill="1" applyBorder="1" applyAlignment="1" applyProtection="1">
      <alignment shrinkToFit="1"/>
    </xf>
    <xf numFmtId="3" fontId="19" fillId="0" borderId="305" xfId="12" applyNumberFormat="1" applyFont="1" applyFill="1" applyBorder="1" applyAlignment="1" applyProtection="1">
      <alignment shrinkToFit="1"/>
    </xf>
    <xf numFmtId="3" fontId="19" fillId="0" borderId="140" xfId="12" applyNumberFormat="1" applyFont="1" applyFill="1" applyBorder="1" applyAlignment="1" applyProtection="1">
      <alignment shrinkToFit="1"/>
    </xf>
    <xf numFmtId="183" fontId="19" fillId="0" borderId="306" xfId="2" applyNumberFormat="1" applyFont="1" applyFill="1" applyBorder="1" applyAlignment="1" applyProtection="1">
      <alignment horizontal="right" shrinkToFit="1"/>
    </xf>
    <xf numFmtId="2" fontId="19" fillId="0" borderId="231" xfId="2" applyNumberFormat="1" applyFont="1" applyFill="1" applyBorder="1" applyAlignment="1" applyProtection="1">
      <alignment horizontal="right" shrinkToFit="1"/>
    </xf>
    <xf numFmtId="183" fontId="19" fillId="0" borderId="235" xfId="2" applyNumberFormat="1" applyFont="1" applyFill="1" applyBorder="1" applyAlignment="1" applyProtection="1">
      <alignment horizontal="right" shrinkToFit="1"/>
    </xf>
    <xf numFmtId="3" fontId="19" fillId="0" borderId="236" xfId="12" applyNumberFormat="1" applyFont="1" applyFill="1" applyBorder="1" applyAlignment="1" applyProtection="1">
      <alignment horizontal="right" shrinkToFit="1"/>
    </xf>
    <xf numFmtId="183" fontId="19" fillId="0" borderId="231" xfId="2" applyNumberFormat="1" applyFont="1" applyFill="1" applyBorder="1" applyAlignment="1" applyProtection="1">
      <alignment horizontal="right" shrinkToFit="1"/>
    </xf>
    <xf numFmtId="183" fontId="19" fillId="0" borderId="252" xfId="2" applyNumberFormat="1" applyFont="1" applyFill="1" applyBorder="1" applyAlignment="1" applyProtection="1">
      <alignment horizontal="right" shrinkToFit="1"/>
    </xf>
    <xf numFmtId="183" fontId="19" fillId="0" borderId="252" xfId="2" applyNumberFormat="1" applyFont="1" applyFill="1" applyBorder="1" applyAlignment="1" applyProtection="1">
      <alignment horizontal="center" shrinkToFit="1"/>
    </xf>
    <xf numFmtId="3" fontId="19" fillId="0" borderId="233" xfId="12" applyNumberFormat="1" applyFont="1" applyFill="1" applyBorder="1" applyAlignment="1" applyProtection="1">
      <alignment horizontal="right" shrinkToFit="1"/>
    </xf>
    <xf numFmtId="3" fontId="19" fillId="0" borderId="0" xfId="12" applyNumberFormat="1" applyFont="1" applyFill="1" applyBorder="1" applyAlignment="1" applyProtection="1">
      <alignment vertical="center" shrinkToFit="1"/>
    </xf>
    <xf numFmtId="0" fontId="6" fillId="19" borderId="307" xfId="2" applyFont="1" applyFill="1" applyBorder="1" applyAlignment="1" applyProtection="1">
      <alignment horizontal="center" vertical="center" textRotation="255" wrapText="1"/>
    </xf>
    <xf numFmtId="0" fontId="6" fillId="3" borderId="2" xfId="2" applyFont="1" applyFill="1" applyBorder="1" applyAlignment="1" applyProtection="1">
      <alignment horizontal="left" vertical="center"/>
    </xf>
    <xf numFmtId="3" fontId="6" fillId="3" borderId="3" xfId="12" applyNumberFormat="1" applyFont="1" applyFill="1" applyBorder="1" applyAlignment="1" applyProtection="1">
      <alignment horizontal="center" vertical="center" shrinkToFit="1"/>
    </xf>
    <xf numFmtId="3" fontId="6" fillId="3" borderId="308" xfId="12" applyNumberFormat="1" applyFont="1" applyFill="1" applyBorder="1" applyAlignment="1" applyProtection="1">
      <alignment vertical="center" shrinkToFit="1"/>
    </xf>
    <xf numFmtId="177" fontId="6" fillId="3" borderId="3" xfId="2" applyNumberFormat="1" applyFont="1" applyFill="1" applyBorder="1" applyAlignment="1" applyProtection="1">
      <alignment horizontal="center" vertical="center" shrinkToFit="1"/>
    </xf>
    <xf numFmtId="3" fontId="6" fillId="3" borderId="309" xfId="12" applyNumberFormat="1" applyFont="1" applyFill="1" applyBorder="1" applyAlignment="1" applyProtection="1">
      <alignment vertical="center" shrinkToFit="1"/>
    </xf>
    <xf numFmtId="183" fontId="6" fillId="3" borderId="255" xfId="2" applyNumberFormat="1" applyFont="1" applyFill="1" applyBorder="1" applyAlignment="1" applyProtection="1">
      <alignment horizontal="center" vertical="center" shrinkToFit="1"/>
    </xf>
    <xf numFmtId="3" fontId="6" fillId="3" borderId="243" xfId="12" applyNumberFormat="1" applyFont="1" applyFill="1" applyBorder="1" applyAlignment="1" applyProtection="1">
      <alignment horizontal="center" vertical="center" shrinkToFit="1"/>
    </xf>
    <xf numFmtId="183" fontId="6" fillId="3" borderId="239" xfId="2" applyNumberFormat="1" applyFont="1" applyFill="1" applyBorder="1" applyAlignment="1" applyProtection="1">
      <alignment horizontal="center" vertical="center" shrinkToFit="1"/>
    </xf>
    <xf numFmtId="3" fontId="6" fillId="3" borderId="4" xfId="12" applyNumberFormat="1" applyFont="1" applyFill="1" applyBorder="1" applyAlignment="1" applyProtection="1">
      <alignment horizontal="center" vertical="center" shrinkToFit="1"/>
    </xf>
    <xf numFmtId="0" fontId="6" fillId="19" borderId="36" xfId="2" applyFont="1" applyFill="1" applyBorder="1" applyAlignment="1" applyProtection="1">
      <alignment horizontal="center" vertical="center" textRotation="255" wrapText="1"/>
    </xf>
    <xf numFmtId="0" fontId="6" fillId="0" borderId="196" xfId="2" applyNumberFormat="1" applyFont="1" applyFill="1" applyBorder="1" applyAlignment="1" applyProtection="1">
      <alignment horizontal="left" shrinkToFit="1"/>
      <protection locked="0"/>
    </xf>
    <xf numFmtId="0" fontId="6" fillId="0" borderId="196" xfId="2" applyFont="1" applyFill="1" applyBorder="1" applyAlignment="1" applyProtection="1">
      <alignment horizontal="left" shrinkToFit="1"/>
    </xf>
    <xf numFmtId="0" fontId="6" fillId="0" borderId="199" xfId="2" applyNumberFormat="1" applyFont="1" applyFill="1" applyBorder="1" applyAlignment="1" applyProtection="1">
      <alignment shrinkToFit="1"/>
      <protection locked="0"/>
    </xf>
    <xf numFmtId="194" fontId="6" fillId="0" borderId="310" xfId="12" applyNumberFormat="1" applyFont="1" applyFill="1" applyBorder="1" applyAlignment="1" applyProtection="1">
      <alignment shrinkToFit="1"/>
    </xf>
    <xf numFmtId="0" fontId="6" fillId="0" borderId="135" xfId="2" applyNumberFormat="1" applyFont="1" applyFill="1" applyBorder="1" applyAlignment="1" applyProtection="1">
      <alignment shrinkToFit="1"/>
      <protection locked="0"/>
    </xf>
    <xf numFmtId="194" fontId="6" fillId="0" borderId="136" xfId="12" applyNumberFormat="1" applyFont="1" applyFill="1" applyBorder="1" applyAlignment="1" applyProtection="1">
      <alignment shrinkToFit="1"/>
    </xf>
    <xf numFmtId="183" fontId="6" fillId="13" borderId="311" xfId="2" applyNumberFormat="1" applyFont="1" applyFill="1" applyBorder="1" applyAlignment="1" applyProtection="1">
      <alignment horizontal="center" wrapText="1" shrinkToFit="1"/>
      <protection locked="0"/>
    </xf>
    <xf numFmtId="183" fontId="6" fillId="13" borderId="312" xfId="2" applyNumberFormat="1" applyFont="1" applyFill="1" applyBorder="1" applyAlignment="1" applyProtection="1">
      <alignment horizontal="center" wrapText="1" shrinkToFit="1"/>
      <protection locked="0"/>
    </xf>
    <xf numFmtId="183" fontId="6" fillId="15" borderId="205" xfId="2" applyNumberFormat="1" applyFont="1" applyFill="1" applyBorder="1" applyAlignment="1" applyProtection="1">
      <alignment horizontal="center" wrapText="1" shrinkToFit="1"/>
      <protection locked="0"/>
    </xf>
    <xf numFmtId="183" fontId="6" fillId="15" borderId="312" xfId="2" applyNumberFormat="1" applyFont="1" applyFill="1" applyBorder="1" applyAlignment="1" applyProtection="1">
      <alignment horizontal="center" wrapText="1" shrinkToFit="1"/>
      <protection locked="0"/>
    </xf>
    <xf numFmtId="183" fontId="6" fillId="16" borderId="205" xfId="2" applyNumberFormat="1" applyFont="1" applyFill="1" applyBorder="1" applyAlignment="1" applyProtection="1">
      <alignment horizontal="center" wrapText="1" shrinkToFit="1"/>
      <protection locked="0"/>
    </xf>
    <xf numFmtId="183" fontId="6" fillId="16" borderId="312" xfId="2" applyNumberFormat="1" applyFont="1" applyFill="1" applyBorder="1" applyAlignment="1" applyProtection="1">
      <alignment horizontal="center" wrapText="1" shrinkToFit="1"/>
      <protection locked="0"/>
    </xf>
    <xf numFmtId="183" fontId="19" fillId="3" borderId="205" xfId="2" applyNumberFormat="1" applyFont="1" applyFill="1" applyBorder="1" applyAlignment="1" applyProtection="1">
      <alignment horizontal="center" wrapText="1" shrinkToFit="1"/>
      <protection locked="0"/>
    </xf>
    <xf numFmtId="183" fontId="19" fillId="3" borderId="312" xfId="2" applyNumberFormat="1" applyFont="1" applyFill="1" applyBorder="1" applyAlignment="1" applyProtection="1">
      <alignment horizontal="center" wrapText="1" shrinkToFit="1"/>
      <protection locked="0"/>
    </xf>
    <xf numFmtId="183" fontId="19" fillId="3" borderId="133" xfId="2" applyNumberFormat="1" applyFont="1" applyFill="1" applyBorder="1" applyAlignment="1" applyProtection="1">
      <alignment horizontal="center" wrapText="1" shrinkToFit="1"/>
      <protection locked="0"/>
    </xf>
    <xf numFmtId="208" fontId="6" fillId="0" borderId="140" xfId="2" applyNumberFormat="1" applyFont="1" applyFill="1" applyBorder="1" applyAlignment="1" applyProtection="1">
      <alignment horizontal="right" shrinkToFit="1"/>
    </xf>
    <xf numFmtId="0" fontId="6" fillId="0" borderId="84" xfId="2" applyFont="1" applyFill="1" applyBorder="1" applyAlignment="1" applyProtection="1">
      <alignment shrinkToFit="1"/>
    </xf>
    <xf numFmtId="201" fontId="6" fillId="0" borderId="84" xfId="2" applyNumberFormat="1" applyFont="1" applyFill="1" applyBorder="1" applyProtection="1"/>
    <xf numFmtId="231" fontId="6" fillId="0" borderId="84" xfId="2" applyNumberFormat="1" applyFont="1" applyFill="1" applyBorder="1" applyAlignment="1" applyProtection="1">
      <alignment horizontal="center" shrinkToFit="1"/>
    </xf>
    <xf numFmtId="0" fontId="6" fillId="0" borderId="84" xfId="2" applyFont="1" applyFill="1" applyBorder="1" applyAlignment="1" applyProtection="1">
      <alignment horizontal="left" shrinkToFit="1"/>
      <protection locked="0"/>
    </xf>
    <xf numFmtId="232" fontId="6" fillId="0" borderId="208" xfId="2" applyNumberFormat="1" applyFont="1" applyFill="1" applyBorder="1" applyAlignment="1" applyProtection="1">
      <alignment horizontal="right" shrinkToFit="1"/>
      <protection locked="0"/>
    </xf>
    <xf numFmtId="232" fontId="6" fillId="0" borderId="210" xfId="2" applyNumberFormat="1" applyFont="1" applyFill="1" applyBorder="1" applyAlignment="1" applyProtection="1">
      <alignment horizontal="right" shrinkToFit="1"/>
      <protection locked="0"/>
    </xf>
    <xf numFmtId="232" fontId="6" fillId="0" borderId="210" xfId="2" applyNumberFormat="1" applyFont="1" applyFill="1" applyBorder="1" applyAlignment="1" applyProtection="1">
      <alignment shrinkToFit="1"/>
      <protection locked="0"/>
    </xf>
    <xf numFmtId="194" fontId="6" fillId="0" borderId="313" xfId="12" applyNumberFormat="1" applyFont="1" applyFill="1" applyBorder="1" applyAlignment="1" applyProtection="1">
      <alignment shrinkToFit="1"/>
    </xf>
    <xf numFmtId="232" fontId="6" fillId="0" borderId="72" xfId="2" applyNumberFormat="1" applyFont="1" applyFill="1" applyBorder="1" applyAlignment="1" applyProtection="1">
      <alignment shrinkToFit="1"/>
      <protection locked="0"/>
    </xf>
    <xf numFmtId="194" fontId="6" fillId="0" borderId="211" xfId="12" applyNumberFormat="1" applyFont="1" applyFill="1" applyBorder="1" applyAlignment="1" applyProtection="1">
      <alignment shrinkToFit="1"/>
    </xf>
    <xf numFmtId="233" fontId="6" fillId="0" borderId="72" xfId="2" applyNumberFormat="1" applyFont="1" applyFill="1" applyBorder="1" applyAlignment="1" applyProtection="1">
      <alignment horizontal="right" shrinkToFit="1"/>
      <protection locked="0"/>
    </xf>
    <xf numFmtId="183" fontId="6" fillId="13" borderId="186" xfId="2" applyNumberFormat="1" applyFont="1" applyFill="1" applyBorder="1" applyAlignment="1" applyProtection="1">
      <alignment horizontal="center" wrapText="1" shrinkToFit="1"/>
      <protection locked="0"/>
    </xf>
    <xf numFmtId="183" fontId="6" fillId="13" borderId="213" xfId="2" applyNumberFormat="1" applyFont="1" applyFill="1" applyBorder="1" applyAlignment="1" applyProtection="1">
      <alignment horizontal="center" wrapText="1" shrinkToFit="1"/>
      <protection locked="0"/>
    </xf>
    <xf numFmtId="183" fontId="6" fillId="15" borderId="163" xfId="2" applyNumberFormat="1" applyFont="1" applyFill="1" applyBorder="1" applyAlignment="1" applyProtection="1">
      <alignment horizontal="center" wrapText="1" shrinkToFit="1"/>
      <protection locked="0"/>
    </xf>
    <xf numFmtId="183" fontId="6" fillId="15" borderId="213" xfId="2" applyNumberFormat="1" applyFont="1" applyFill="1" applyBorder="1" applyAlignment="1" applyProtection="1">
      <alignment horizontal="center" wrapText="1" shrinkToFit="1"/>
      <protection locked="0"/>
    </xf>
    <xf numFmtId="183" fontId="6" fillId="16" borderId="163" xfId="2" applyNumberFormat="1" applyFont="1" applyFill="1" applyBorder="1" applyAlignment="1" applyProtection="1">
      <alignment horizontal="center" wrapText="1" shrinkToFit="1"/>
      <protection locked="0"/>
    </xf>
    <xf numFmtId="183" fontId="6" fillId="16" borderId="213" xfId="2" applyNumberFormat="1" applyFont="1" applyFill="1" applyBorder="1" applyAlignment="1" applyProtection="1">
      <alignment horizontal="center" wrapText="1" shrinkToFit="1"/>
      <protection locked="0"/>
    </xf>
    <xf numFmtId="183" fontId="19" fillId="3" borderId="163" xfId="2" applyNumberFormat="1" applyFont="1" applyFill="1" applyBorder="1" applyAlignment="1" applyProtection="1">
      <alignment horizontal="center" wrapText="1" shrinkToFit="1"/>
      <protection locked="0"/>
    </xf>
    <xf numFmtId="183" fontId="19" fillId="3" borderId="213" xfId="2" applyNumberFormat="1" applyFont="1" applyFill="1" applyBorder="1" applyAlignment="1" applyProtection="1">
      <alignment horizontal="center" wrapText="1" shrinkToFit="1"/>
      <protection locked="0"/>
    </xf>
    <xf numFmtId="183" fontId="19" fillId="3" borderId="50" xfId="2" applyNumberFormat="1" applyFont="1" applyFill="1" applyBorder="1" applyAlignment="1" applyProtection="1">
      <alignment horizontal="center" wrapText="1" shrinkToFit="1"/>
      <protection locked="0"/>
    </xf>
    <xf numFmtId="203" fontId="6" fillId="0" borderId="140" xfId="2" applyNumberFormat="1" applyFont="1" applyFill="1" applyBorder="1" applyAlignment="1" applyProtection="1"/>
    <xf numFmtId="0" fontId="6" fillId="19" borderId="123" xfId="2" applyFont="1" applyFill="1" applyBorder="1" applyAlignment="1" applyProtection="1">
      <alignment horizontal="center" vertical="center" textRotation="255" wrapText="1"/>
    </xf>
    <xf numFmtId="0" fontId="6" fillId="0" borderId="0" xfId="2" applyFont="1" applyFill="1" applyBorder="1" applyAlignment="1" applyProtection="1">
      <alignment shrinkToFit="1"/>
      <protection locked="0"/>
    </xf>
    <xf numFmtId="0" fontId="6" fillId="0" borderId="0" xfId="2" applyFont="1" applyFill="1" applyBorder="1" applyAlignment="1" applyProtection="1">
      <alignment horizontal="left" shrinkToFit="1"/>
    </xf>
    <xf numFmtId="0" fontId="6" fillId="0" borderId="262" xfId="2" applyNumberFormat="1" applyFont="1" applyFill="1" applyBorder="1" applyAlignment="1" applyProtection="1">
      <alignment shrinkToFit="1"/>
      <protection locked="0"/>
    </xf>
    <xf numFmtId="194" fontId="6" fillId="0" borderId="314" xfId="12" applyNumberFormat="1" applyFont="1" applyFill="1" applyBorder="1" applyAlignment="1" applyProtection="1">
      <alignment shrinkToFit="1"/>
    </xf>
    <xf numFmtId="0" fontId="6" fillId="0" borderId="107" xfId="2" applyNumberFormat="1" applyFont="1" applyFill="1" applyBorder="1" applyAlignment="1" applyProtection="1">
      <alignment shrinkToFit="1"/>
      <protection locked="0"/>
    </xf>
    <xf numFmtId="194" fontId="6" fillId="0" borderId="50" xfId="12" applyNumberFormat="1" applyFont="1" applyFill="1" applyBorder="1" applyAlignment="1" applyProtection="1">
      <alignment shrinkToFit="1"/>
    </xf>
    <xf numFmtId="2" fontId="6" fillId="3" borderId="8" xfId="2" applyNumberFormat="1" applyFont="1" applyFill="1" applyBorder="1" applyAlignment="1" applyProtection="1">
      <alignment horizontal="center" vertical="center"/>
    </xf>
    <xf numFmtId="2" fontId="6" fillId="3" borderId="9" xfId="2" applyNumberFormat="1" applyFont="1" applyFill="1" applyBorder="1" applyAlignment="1" applyProtection="1">
      <alignment horizontal="center" vertical="center" wrapText="1"/>
    </xf>
    <xf numFmtId="2" fontId="6" fillId="3" borderId="9" xfId="2" applyNumberFormat="1" applyFont="1" applyFill="1" applyBorder="1" applyAlignment="1" applyProtection="1">
      <alignment horizontal="center" vertical="center"/>
    </xf>
    <xf numFmtId="2" fontId="6" fillId="3" borderId="6" xfId="2" applyNumberFormat="1" applyFont="1" applyFill="1" applyBorder="1" applyAlignment="1" applyProtection="1">
      <alignment horizontal="center" vertical="center" wrapText="1"/>
    </xf>
    <xf numFmtId="2" fontId="6" fillId="3" borderId="7" xfId="2" applyNumberFormat="1" applyFont="1" applyFill="1" applyBorder="1" applyAlignment="1" applyProtection="1">
      <alignment horizontal="center" vertical="center" wrapText="1"/>
    </xf>
    <xf numFmtId="0" fontId="19" fillId="0" borderId="0" xfId="2" applyFont="1" applyFill="1" applyBorder="1" applyAlignment="1" applyProtection="1">
      <alignment vertical="center"/>
    </xf>
    <xf numFmtId="3" fontId="6" fillId="0" borderId="140" xfId="12" applyNumberFormat="1" applyFont="1" applyFill="1" applyBorder="1" applyAlignment="1" applyProtection="1">
      <alignment horizontal="center" shrinkToFit="1"/>
    </xf>
    <xf numFmtId="0" fontId="19" fillId="0" borderId="315" xfId="2" applyFont="1" applyFill="1" applyBorder="1" applyAlignment="1" applyProtection="1">
      <alignment horizontal="left" indent="1"/>
    </xf>
    <xf numFmtId="0" fontId="19" fillId="0" borderId="316" xfId="2" applyFont="1" applyFill="1" applyBorder="1" applyProtection="1"/>
    <xf numFmtId="0" fontId="19" fillId="0" borderId="317" xfId="2" applyFont="1" applyFill="1" applyBorder="1" applyProtection="1"/>
    <xf numFmtId="0" fontId="19" fillId="0" borderId="317" xfId="2" applyFont="1" applyFill="1" applyBorder="1" applyAlignment="1" applyProtection="1"/>
    <xf numFmtId="0" fontId="19" fillId="0" borderId="318" xfId="2" applyFont="1" applyFill="1" applyBorder="1" applyAlignment="1" applyProtection="1">
      <alignment horizontal="right" shrinkToFit="1"/>
    </xf>
    <xf numFmtId="3" fontId="19" fillId="0" borderId="317" xfId="12" applyNumberFormat="1" applyFont="1" applyFill="1" applyBorder="1" applyAlignment="1" applyProtection="1">
      <alignment horizontal="right" shrinkToFit="1"/>
    </xf>
    <xf numFmtId="0" fontId="19" fillId="0" borderId="319" xfId="2" applyFont="1" applyFill="1" applyBorder="1" applyAlignment="1" applyProtection="1">
      <alignment horizontal="right" shrinkToFit="1"/>
    </xf>
    <xf numFmtId="0" fontId="19" fillId="0" borderId="319" xfId="2" applyFont="1" applyFill="1" applyBorder="1" applyAlignment="1" applyProtection="1">
      <alignment shrinkToFit="1"/>
    </xf>
    <xf numFmtId="3" fontId="19" fillId="0" borderId="320" xfId="12" applyNumberFormat="1" applyFont="1" applyFill="1" applyBorder="1" applyAlignment="1" applyProtection="1">
      <alignment shrinkToFit="1"/>
    </xf>
    <xf numFmtId="0" fontId="19" fillId="0" borderId="321" xfId="2" applyFont="1" applyFill="1" applyBorder="1" applyAlignment="1" applyProtection="1">
      <alignment shrinkToFit="1"/>
    </xf>
    <xf numFmtId="3" fontId="19" fillId="0" borderId="322" xfId="12" applyNumberFormat="1" applyFont="1" applyFill="1" applyBorder="1" applyAlignment="1" applyProtection="1">
      <alignment shrinkToFit="1"/>
    </xf>
    <xf numFmtId="183" fontId="19" fillId="0" borderId="318" xfId="2" applyNumberFormat="1" applyFont="1" applyFill="1" applyBorder="1" applyAlignment="1" applyProtection="1">
      <alignment horizontal="right" shrinkToFit="1"/>
    </xf>
    <xf numFmtId="0" fontId="19" fillId="0" borderId="321" xfId="2" applyFont="1" applyFill="1" applyBorder="1" applyAlignment="1" applyProtection="1">
      <alignment horizontal="right" shrinkToFit="1"/>
    </xf>
    <xf numFmtId="183" fontId="19" fillId="0" borderId="319" xfId="2" applyNumberFormat="1" applyFont="1" applyFill="1" applyBorder="1" applyAlignment="1" applyProtection="1">
      <alignment horizontal="right" shrinkToFit="1"/>
    </xf>
    <xf numFmtId="3" fontId="19" fillId="0" borderId="323" xfId="12" applyNumberFormat="1" applyFont="1" applyFill="1" applyBorder="1" applyAlignment="1" applyProtection="1">
      <alignment horizontal="right" shrinkToFit="1"/>
    </xf>
    <xf numFmtId="183" fontId="6" fillId="0" borderId="318" xfId="2" applyNumberFormat="1" applyFont="1" applyFill="1" applyBorder="1" applyAlignment="1" applyProtection="1">
      <alignment horizontal="center" wrapText="1" shrinkToFit="1"/>
      <protection locked="0"/>
    </xf>
    <xf numFmtId="3" fontId="6" fillId="0" borderId="324" xfId="2" applyNumberFormat="1" applyFont="1" applyFill="1" applyBorder="1" applyAlignment="1" applyProtection="1">
      <alignment wrapText="1" shrinkToFit="1"/>
      <protection locked="0"/>
    </xf>
    <xf numFmtId="183" fontId="6" fillId="0" borderId="319" xfId="2" applyNumberFormat="1" applyFont="1" applyFill="1" applyBorder="1" applyAlignment="1" applyProtection="1">
      <alignment horizontal="center" wrapText="1" shrinkToFit="1"/>
      <protection locked="0"/>
    </xf>
    <xf numFmtId="183" fontId="19" fillId="0" borderId="319" xfId="2" applyNumberFormat="1" applyFont="1" applyFill="1" applyBorder="1" applyAlignment="1" applyProtection="1">
      <alignment horizontal="center" shrinkToFit="1"/>
      <protection locked="0"/>
    </xf>
    <xf numFmtId="3" fontId="19" fillId="0" borderId="324" xfId="2" applyNumberFormat="1" applyFont="1" applyFill="1" applyBorder="1" applyAlignment="1" applyProtection="1">
      <alignment wrapText="1" shrinkToFit="1"/>
      <protection locked="0"/>
    </xf>
    <xf numFmtId="3" fontId="19" fillId="0" borderId="322" xfId="2" applyNumberFormat="1" applyFont="1" applyFill="1" applyBorder="1" applyAlignment="1" applyProtection="1">
      <alignment wrapText="1" shrinkToFit="1"/>
      <protection locked="0"/>
    </xf>
    <xf numFmtId="2" fontId="6" fillId="3" borderId="325" xfId="2" applyNumberFormat="1" applyFont="1" applyFill="1" applyBorder="1" applyAlignment="1" applyProtection="1">
      <alignment horizontal="center" vertical="center"/>
    </xf>
    <xf numFmtId="2" fontId="6" fillId="3" borderId="54" xfId="2" applyNumberFormat="1" applyFont="1" applyFill="1" applyBorder="1" applyAlignment="1" applyProtection="1">
      <alignment horizontal="center" vertical="center"/>
    </xf>
    <xf numFmtId="2" fontId="6" fillId="3" borderId="15" xfId="2" applyNumberFormat="1" applyFont="1" applyFill="1" applyBorder="1" applyAlignment="1" applyProtection="1">
      <alignment horizontal="center" vertical="center" wrapText="1"/>
    </xf>
    <xf numFmtId="2" fontId="6" fillId="3" borderId="16" xfId="2" applyNumberFormat="1" applyFont="1" applyFill="1" applyBorder="1" applyAlignment="1" applyProtection="1">
      <alignment horizontal="center" vertical="center" wrapText="1"/>
    </xf>
    <xf numFmtId="1" fontId="19" fillId="0" borderId="0" xfId="2" applyNumberFormat="1" applyFont="1" applyFill="1" applyBorder="1" applyAlignment="1" applyProtection="1">
      <alignment vertical="center"/>
    </xf>
    <xf numFmtId="0" fontId="19" fillId="2" borderId="326" xfId="2" applyFont="1" applyFill="1" applyBorder="1" applyAlignment="1" applyProtection="1">
      <alignment horizontal="left" indent="1"/>
    </xf>
    <xf numFmtId="0" fontId="19" fillId="2" borderId="327" xfId="2" applyFont="1" applyFill="1" applyBorder="1" applyProtection="1"/>
    <xf numFmtId="0" fontId="19" fillId="2" borderId="328" xfId="2" applyFont="1" applyFill="1" applyBorder="1" applyProtection="1"/>
    <xf numFmtId="0" fontId="19" fillId="2" borderId="328" xfId="2" applyFont="1" applyFill="1" applyBorder="1" applyAlignment="1" applyProtection="1"/>
    <xf numFmtId="0" fontId="19" fillId="2" borderId="328" xfId="2" applyFont="1" applyFill="1" applyBorder="1" applyAlignment="1" applyProtection="1">
      <alignment horizontal="right"/>
    </xf>
    <xf numFmtId="1" fontId="19" fillId="2" borderId="329" xfId="2" applyNumberFormat="1" applyFont="1" applyFill="1" applyBorder="1" applyAlignment="1" applyProtection="1">
      <alignment horizontal="right" shrinkToFit="1"/>
    </xf>
    <xf numFmtId="3" fontId="19" fillId="2" borderId="328" xfId="12" applyNumberFormat="1" applyFont="1" applyFill="1" applyBorder="1" applyAlignment="1" applyProtection="1">
      <alignment horizontal="right" shrinkToFit="1"/>
    </xf>
    <xf numFmtId="1" fontId="19" fillId="2" borderId="330" xfId="2" applyNumberFormat="1" applyFont="1" applyFill="1" applyBorder="1" applyAlignment="1" applyProtection="1">
      <alignment horizontal="right" shrinkToFit="1"/>
    </xf>
    <xf numFmtId="1" fontId="19" fillId="2" borderId="330" xfId="2" applyNumberFormat="1" applyFont="1" applyFill="1" applyBorder="1" applyAlignment="1" applyProtection="1">
      <alignment shrinkToFit="1"/>
    </xf>
    <xf numFmtId="3" fontId="19" fillId="2" borderId="331" xfId="12" applyNumberFormat="1" applyFont="1" applyFill="1" applyBorder="1" applyAlignment="1" applyProtection="1">
      <alignment shrinkToFit="1"/>
    </xf>
    <xf numFmtId="1" fontId="19" fillId="2" borderId="332" xfId="2" applyNumberFormat="1" applyFont="1" applyFill="1" applyBorder="1" applyAlignment="1" applyProtection="1">
      <alignment shrinkToFit="1"/>
    </xf>
    <xf numFmtId="3" fontId="19" fillId="2" borderId="333" xfId="12" applyNumberFormat="1" applyFont="1" applyFill="1" applyBorder="1" applyAlignment="1" applyProtection="1">
      <alignment shrinkToFit="1"/>
    </xf>
    <xf numFmtId="183" fontId="19" fillId="2" borderId="329" xfId="2" applyNumberFormat="1" applyFont="1" applyFill="1" applyBorder="1" applyAlignment="1" applyProtection="1">
      <alignment horizontal="right" shrinkToFit="1"/>
    </xf>
    <xf numFmtId="1" fontId="19" fillId="2" borderId="332" xfId="2" applyNumberFormat="1" applyFont="1" applyFill="1" applyBorder="1" applyAlignment="1" applyProtection="1">
      <alignment horizontal="right" shrinkToFit="1"/>
    </xf>
    <xf numFmtId="183" fontId="19" fillId="2" borderId="288" xfId="2" applyNumberFormat="1" applyFont="1" applyFill="1" applyBorder="1" applyAlignment="1" applyProtection="1">
      <alignment horizontal="right" shrinkToFit="1"/>
    </xf>
    <xf numFmtId="3" fontId="19" fillId="2" borderId="334" xfId="12" applyNumberFormat="1" applyFont="1" applyFill="1" applyBorder="1" applyAlignment="1" applyProtection="1">
      <alignment horizontal="right" shrinkToFit="1"/>
    </xf>
    <xf numFmtId="183" fontId="19" fillId="2" borderId="332" xfId="2" applyNumberFormat="1" applyFont="1" applyFill="1" applyBorder="1" applyAlignment="1" applyProtection="1">
      <alignment horizontal="right" shrinkToFit="1"/>
    </xf>
    <xf numFmtId="3" fontId="19" fillId="2" borderId="328" xfId="12" applyNumberFormat="1" applyFont="1" applyFill="1" applyBorder="1" applyAlignment="1" applyProtection="1">
      <alignment wrapText="1" shrinkToFit="1"/>
    </xf>
    <xf numFmtId="183" fontId="19" fillId="2" borderId="330" xfId="2" applyNumberFormat="1" applyFont="1" applyFill="1" applyBorder="1" applyAlignment="1" applyProtection="1">
      <alignment horizontal="right" shrinkToFit="1"/>
    </xf>
    <xf numFmtId="183" fontId="19" fillId="2" borderId="330" xfId="2" applyNumberFormat="1" applyFont="1" applyFill="1" applyBorder="1" applyAlignment="1" applyProtection="1">
      <alignment horizontal="center" shrinkToFit="1"/>
    </xf>
    <xf numFmtId="3" fontId="19" fillId="2" borderId="333" xfId="12" applyNumberFormat="1" applyFont="1" applyFill="1" applyBorder="1" applyAlignment="1" applyProtection="1">
      <alignment wrapText="1" shrinkToFit="1"/>
    </xf>
    <xf numFmtId="203" fontId="6" fillId="0" borderId="11" xfId="2" applyNumberFormat="1" applyFont="1" applyFill="1" applyBorder="1" applyAlignment="1" applyProtection="1">
      <alignment vertical="center"/>
    </xf>
    <xf numFmtId="0" fontId="6" fillId="0" borderId="12" xfId="2" applyNumberFormat="1" applyFont="1" applyFill="1" applyBorder="1" applyAlignment="1" applyProtection="1">
      <alignment vertical="center"/>
      <protection locked="0"/>
    </xf>
    <xf numFmtId="234" fontId="6" fillId="0" borderId="12" xfId="12" applyNumberFormat="1" applyFont="1" applyFill="1" applyBorder="1" applyAlignment="1" applyProtection="1">
      <alignment vertical="center"/>
    </xf>
    <xf numFmtId="226" fontId="6" fillId="0" borderId="12" xfId="12" applyNumberFormat="1" applyFont="1" applyFill="1" applyBorder="1" applyAlignment="1" applyProtection="1">
      <alignment vertical="center"/>
    </xf>
    <xf numFmtId="226" fontId="6" fillId="0" borderId="13" xfId="2" applyNumberFormat="1" applyFont="1" applyFill="1" applyBorder="1" applyAlignment="1" applyProtection="1">
      <alignment vertical="center"/>
    </xf>
    <xf numFmtId="0" fontId="6" fillId="2" borderId="335" xfId="2" applyFont="1" applyFill="1" applyBorder="1" applyAlignment="1" applyProtection="1">
      <alignment horizontal="left" indent="1"/>
    </xf>
    <xf numFmtId="0" fontId="6" fillId="2" borderId="336" xfId="2" applyFont="1" applyFill="1" applyBorder="1" applyProtection="1"/>
    <xf numFmtId="0" fontId="6" fillId="2" borderId="189" xfId="2" applyFont="1" applyFill="1" applyBorder="1" applyProtection="1"/>
    <xf numFmtId="0" fontId="6" fillId="2" borderId="189" xfId="2" applyFont="1" applyFill="1" applyBorder="1" applyAlignment="1" applyProtection="1">
      <alignment horizontal="right"/>
    </xf>
    <xf numFmtId="0" fontId="6" fillId="2" borderId="189" xfId="2" applyFont="1" applyFill="1" applyBorder="1" applyAlignment="1" applyProtection="1"/>
    <xf numFmtId="38" fontId="6" fillId="2" borderId="189" xfId="12" applyFont="1" applyFill="1" applyBorder="1" applyAlignment="1" applyProtection="1">
      <alignment horizontal="centerContinuous"/>
    </xf>
    <xf numFmtId="3" fontId="6" fillId="2" borderId="337" xfId="2" applyNumberFormat="1" applyFont="1" applyFill="1" applyBorder="1" applyAlignment="1" applyProtection="1">
      <alignment horizontal="right" shrinkToFit="1"/>
    </xf>
    <xf numFmtId="208" fontId="6" fillId="2" borderId="338" xfId="2" applyNumberFormat="1" applyFont="1" applyFill="1" applyBorder="1" applyAlignment="1" applyProtection="1">
      <alignment horizontal="right" shrinkToFit="1"/>
    </xf>
    <xf numFmtId="0" fontId="6" fillId="2" borderId="168" xfId="2" applyFont="1" applyFill="1" applyBorder="1" applyAlignment="1" applyProtection="1">
      <alignment horizontal="right" shrinkToFit="1"/>
    </xf>
    <xf numFmtId="208" fontId="6" fillId="2" borderId="339" xfId="2" applyNumberFormat="1" applyFont="1" applyFill="1" applyBorder="1" applyAlignment="1" applyProtection="1">
      <alignment horizontal="right" shrinkToFit="1"/>
    </xf>
    <xf numFmtId="183" fontId="6" fillId="2" borderId="337" xfId="2" applyNumberFormat="1" applyFont="1" applyFill="1" applyBorder="1" applyAlignment="1" applyProtection="1">
      <alignment horizontal="right" shrinkToFit="1"/>
    </xf>
    <xf numFmtId="183" fontId="6" fillId="2" borderId="168" xfId="2" applyNumberFormat="1" applyFont="1" applyFill="1" applyBorder="1" applyAlignment="1" applyProtection="1">
      <alignment horizontal="right" shrinkToFit="1"/>
    </xf>
    <xf numFmtId="208" fontId="6" fillId="2" borderId="340" xfId="2" applyNumberFormat="1" applyFont="1" applyFill="1" applyBorder="1" applyAlignment="1" applyProtection="1">
      <alignment horizontal="right" shrinkToFit="1"/>
    </xf>
    <xf numFmtId="3" fontId="19" fillId="0" borderId="0" xfId="12" applyNumberFormat="1" applyFont="1" applyFill="1" applyBorder="1" applyAlignment="1" applyProtection="1">
      <alignment vertical="center"/>
    </xf>
    <xf numFmtId="203" fontId="19" fillId="0" borderId="0" xfId="2" applyNumberFormat="1" applyFont="1" applyFill="1" applyBorder="1" applyAlignment="1" applyProtection="1">
      <alignment vertical="center"/>
      <protection locked="0"/>
    </xf>
    <xf numFmtId="208" fontId="19" fillId="0" borderId="0" xfId="2" applyNumberFormat="1" applyFont="1" applyFill="1" applyBorder="1" applyAlignment="1" applyProtection="1">
      <alignment vertical="center"/>
      <protection locked="0"/>
    </xf>
    <xf numFmtId="0" fontId="19" fillId="0" borderId="0" xfId="2" applyNumberFormat="1" applyFont="1" applyFill="1" applyBorder="1" applyAlignment="1" applyProtection="1">
      <alignment vertical="center"/>
      <protection locked="0"/>
    </xf>
    <xf numFmtId="0" fontId="6" fillId="0" borderId="0" xfId="2" applyFont="1" applyFill="1" applyAlignment="1" applyProtection="1">
      <alignment horizontal="right"/>
      <protection locked="0"/>
    </xf>
    <xf numFmtId="0" fontId="6" fillId="0" borderId="50" xfId="2" applyFont="1" applyFill="1" applyBorder="1" applyProtection="1">
      <protection locked="0"/>
    </xf>
    <xf numFmtId="203" fontId="6" fillId="0" borderId="11" xfId="2" applyNumberFormat="1" applyFont="1" applyFill="1" applyBorder="1" applyAlignment="1" applyProtection="1">
      <alignment vertical="center"/>
      <protection locked="0"/>
    </xf>
    <xf numFmtId="0" fontId="6" fillId="0" borderId="12" xfId="2" applyFont="1" applyFill="1" applyBorder="1" applyAlignment="1" applyProtection="1">
      <alignment vertical="center"/>
      <protection locked="0"/>
    </xf>
    <xf numFmtId="2" fontId="19" fillId="0" borderId="0" xfId="2" applyNumberFormat="1" applyFont="1" applyFill="1" applyBorder="1" applyAlignment="1" applyProtection="1">
      <alignment vertical="center" shrinkToFit="1"/>
    </xf>
    <xf numFmtId="194" fontId="19" fillId="0" borderId="0" xfId="12" applyNumberFormat="1" applyFont="1" applyFill="1" applyBorder="1" applyAlignment="1" applyProtection="1">
      <alignment vertical="center"/>
    </xf>
    <xf numFmtId="0" fontId="6" fillId="3" borderId="79" xfId="2" applyFont="1" applyFill="1" applyBorder="1" applyAlignment="1" applyProtection="1">
      <alignment horizontal="left" vertical="center" wrapText="1" indent="1"/>
      <protection locked="0"/>
    </xf>
    <xf numFmtId="0" fontId="6" fillId="3" borderId="80" xfId="2" applyFont="1" applyFill="1" applyBorder="1" applyAlignment="1" applyProtection="1">
      <alignment horizontal="left" vertical="center" indent="1"/>
      <protection locked="0"/>
    </xf>
    <xf numFmtId="0" fontId="6" fillId="3" borderId="80" xfId="2" applyFont="1" applyFill="1" applyBorder="1" applyAlignment="1" applyProtection="1">
      <alignment vertical="center"/>
      <protection locked="0"/>
    </xf>
    <xf numFmtId="0" fontId="6" fillId="3" borderId="341" xfId="2" applyFont="1" applyFill="1" applyBorder="1" applyAlignment="1" applyProtection="1">
      <alignment vertical="center"/>
      <protection locked="0"/>
    </xf>
    <xf numFmtId="183" fontId="6" fillId="3" borderId="342" xfId="2" applyNumberFormat="1" applyFont="1" applyFill="1" applyBorder="1" applyAlignment="1" applyProtection="1">
      <alignment horizontal="centerContinuous"/>
      <protection locked="0"/>
    </xf>
    <xf numFmtId="203" fontId="6" fillId="3" borderId="343" xfId="2" applyNumberFormat="1" applyFont="1" applyFill="1" applyBorder="1" applyAlignment="1" applyProtection="1">
      <alignment horizontal="centerContinuous"/>
    </xf>
    <xf numFmtId="183" fontId="6" fillId="3" borderId="344" xfId="2" applyNumberFormat="1" applyFont="1" applyFill="1" applyBorder="1" applyAlignment="1" applyProtection="1">
      <alignment horizontal="centerContinuous"/>
      <protection locked="0"/>
    </xf>
    <xf numFmtId="203" fontId="6" fillId="3" borderId="345" xfId="2" applyNumberFormat="1" applyFont="1" applyFill="1" applyBorder="1" applyAlignment="1" applyProtection="1">
      <alignment horizontal="centerContinuous"/>
    </xf>
    <xf numFmtId="203" fontId="6" fillId="17" borderId="346" xfId="2" applyNumberFormat="1" applyFont="1" applyFill="1" applyBorder="1" applyAlignment="1" applyProtection="1">
      <alignment horizontal="centerContinuous"/>
      <protection locked="0"/>
    </xf>
    <xf numFmtId="203" fontId="6" fillId="17" borderId="22" xfId="2" applyNumberFormat="1" applyFont="1" applyFill="1" applyBorder="1" applyAlignment="1" applyProtection="1">
      <alignment horizontal="centerContinuous"/>
      <protection locked="0"/>
    </xf>
    <xf numFmtId="203" fontId="6" fillId="17" borderId="347" xfId="2" applyNumberFormat="1" applyFont="1" applyFill="1" applyBorder="1" applyAlignment="1" applyProtection="1">
      <alignment horizontal="centerContinuous"/>
      <protection locked="0"/>
    </xf>
    <xf numFmtId="203" fontId="6" fillId="18" borderId="348" xfId="2" applyNumberFormat="1" applyFont="1" applyFill="1" applyBorder="1" applyAlignment="1" applyProtection="1">
      <alignment horizontal="centerContinuous"/>
      <protection locked="0"/>
    </xf>
    <xf numFmtId="203" fontId="6" fillId="18" borderId="22" xfId="2" applyNumberFormat="1" applyFont="1" applyFill="1" applyBorder="1" applyAlignment="1" applyProtection="1">
      <alignment horizontal="centerContinuous"/>
      <protection locked="0"/>
    </xf>
    <xf numFmtId="203" fontId="6" fillId="18" borderId="349" xfId="2" applyNumberFormat="1" applyFont="1" applyFill="1" applyBorder="1" applyAlignment="1" applyProtection="1">
      <alignment horizontal="centerContinuous"/>
      <protection locked="0"/>
    </xf>
    <xf numFmtId="203" fontId="6" fillId="13" borderId="343" xfId="2" applyNumberFormat="1" applyFont="1" applyFill="1" applyBorder="1" applyAlignment="1" applyProtection="1">
      <alignment horizontal="centerContinuous"/>
      <protection locked="0"/>
    </xf>
    <xf numFmtId="203" fontId="6" fillId="13" borderId="343" xfId="2" applyNumberFormat="1" applyFont="1" applyFill="1" applyBorder="1" applyAlignment="1" applyProtection="1">
      <alignment horizontal="centerContinuous"/>
    </xf>
    <xf numFmtId="203" fontId="6" fillId="15" borderId="344" xfId="2" applyNumberFormat="1" applyFont="1" applyFill="1" applyBorder="1" applyAlignment="1" applyProtection="1">
      <alignment horizontal="centerContinuous"/>
      <protection locked="0"/>
    </xf>
    <xf numFmtId="203" fontId="6" fillId="15" borderId="343" xfId="2" applyNumberFormat="1" applyFont="1" applyFill="1" applyBorder="1" applyAlignment="1" applyProtection="1">
      <alignment horizontal="centerContinuous"/>
    </xf>
    <xf numFmtId="203" fontId="6" fillId="16" borderId="344" xfId="2" applyNumberFormat="1" applyFont="1" applyFill="1" applyBorder="1" applyAlignment="1" applyProtection="1">
      <alignment horizontal="centerContinuous"/>
      <protection locked="0"/>
    </xf>
    <xf numFmtId="203" fontId="6" fillId="16" borderId="343" xfId="2" applyNumberFormat="1" applyFont="1" applyFill="1" applyBorder="1" applyAlignment="1" applyProtection="1">
      <alignment horizontal="centerContinuous"/>
    </xf>
    <xf numFmtId="203" fontId="6" fillId="3" borderId="344" xfId="2" applyNumberFormat="1" applyFont="1" applyFill="1" applyBorder="1" applyAlignment="1" applyProtection="1">
      <alignment horizontal="centerContinuous"/>
      <protection locked="0"/>
    </xf>
    <xf numFmtId="0" fontId="6" fillId="3" borderId="102" xfId="2" applyFont="1" applyFill="1" applyBorder="1" applyAlignment="1" applyProtection="1">
      <alignment horizontal="left" vertical="center" indent="1"/>
      <protection locked="0"/>
    </xf>
    <xf numFmtId="0" fontId="6" fillId="3" borderId="0" xfId="2" applyFont="1" applyFill="1" applyBorder="1" applyAlignment="1" applyProtection="1">
      <alignment horizontal="left" vertical="center" indent="1"/>
      <protection locked="0"/>
    </xf>
    <xf numFmtId="0" fontId="6" fillId="3" borderId="0" xfId="2" applyFont="1" applyFill="1" applyBorder="1" applyAlignment="1" applyProtection="1">
      <alignment vertical="center"/>
      <protection locked="0"/>
    </xf>
    <xf numFmtId="0" fontId="6" fillId="3" borderId="264" xfId="2" applyFont="1" applyFill="1" applyBorder="1" applyAlignment="1" applyProtection="1">
      <alignment vertical="center"/>
      <protection locked="0"/>
    </xf>
    <xf numFmtId="177" fontId="6" fillId="3" borderId="261" xfId="2" applyNumberFormat="1" applyFont="1" applyFill="1" applyBorder="1" applyAlignment="1" applyProtection="1">
      <alignment horizontal="center" vertical="center" shrinkToFit="1"/>
    </xf>
    <xf numFmtId="3" fontId="6" fillId="3" borderId="213" xfId="12" applyNumberFormat="1" applyFont="1" applyFill="1" applyBorder="1" applyAlignment="1" applyProtection="1">
      <alignment horizontal="center" vertical="center" shrinkToFit="1"/>
    </xf>
    <xf numFmtId="177" fontId="6" fillId="3" borderId="350" xfId="2" applyNumberFormat="1" applyFont="1" applyFill="1" applyBorder="1" applyAlignment="1" applyProtection="1">
      <alignment horizontal="center" vertical="center" shrinkToFit="1"/>
    </xf>
    <xf numFmtId="177" fontId="6" fillId="3" borderId="107" xfId="2" applyNumberFormat="1" applyFont="1" applyFill="1" applyBorder="1" applyAlignment="1" applyProtection="1">
      <alignment horizontal="center" vertical="center" shrinkToFit="1"/>
    </xf>
    <xf numFmtId="3" fontId="6" fillId="3" borderId="50" xfId="12" applyNumberFormat="1" applyFont="1" applyFill="1" applyBorder="1" applyAlignment="1" applyProtection="1">
      <alignment horizontal="center" vertical="center" shrinkToFit="1"/>
    </xf>
    <xf numFmtId="183" fontId="6" fillId="3" borderId="261" xfId="2" applyNumberFormat="1" applyFont="1" applyFill="1" applyBorder="1" applyAlignment="1" applyProtection="1">
      <alignment horizontal="center" vertical="center" shrinkToFit="1"/>
    </xf>
    <xf numFmtId="183" fontId="6" fillId="3" borderId="350" xfId="2" applyNumberFormat="1" applyFont="1" applyFill="1" applyBorder="1" applyAlignment="1" applyProtection="1">
      <alignment horizontal="center" vertical="center" shrinkToFit="1"/>
    </xf>
    <xf numFmtId="3" fontId="6" fillId="3" borderId="264" xfId="12" applyNumberFormat="1" applyFont="1" applyFill="1" applyBorder="1" applyAlignment="1" applyProtection="1">
      <alignment horizontal="center" vertical="center" shrinkToFit="1"/>
    </xf>
    <xf numFmtId="183" fontId="6" fillId="3" borderId="107" xfId="2" applyNumberFormat="1" applyFont="1" applyFill="1" applyBorder="1" applyAlignment="1" applyProtection="1">
      <alignment horizontal="center" vertical="center" shrinkToFit="1"/>
    </xf>
    <xf numFmtId="0" fontId="6" fillId="0" borderId="81" xfId="2" applyFont="1" applyFill="1" applyBorder="1" applyAlignment="1" applyProtection="1">
      <alignment horizontal="left" indent="2"/>
    </xf>
    <xf numFmtId="0" fontId="6" fillId="0" borderId="82" xfId="2" applyFont="1" applyFill="1" applyBorder="1" applyAlignment="1" applyProtection="1"/>
    <xf numFmtId="235" fontId="6" fillId="0" borderId="82" xfId="2" applyNumberFormat="1" applyFont="1" applyFill="1" applyBorder="1" applyAlignment="1" applyProtection="1">
      <alignment horizontal="center" shrinkToFit="1"/>
    </xf>
    <xf numFmtId="0" fontId="6" fillId="0" borderId="272" xfId="2" applyFont="1" applyFill="1" applyBorder="1" applyAlignment="1" applyProtection="1">
      <alignment shrinkToFit="1"/>
    </xf>
    <xf numFmtId="208" fontId="6" fillId="0" borderId="351" xfId="2" applyNumberFormat="1" applyFont="1" applyFill="1" applyBorder="1" applyAlignment="1" applyProtection="1">
      <alignment horizontal="right" shrinkToFit="1"/>
    </xf>
    <xf numFmtId="194" fontId="6" fillId="0" borderId="352" xfId="12" applyNumberFormat="1" applyFont="1" applyFill="1" applyBorder="1" applyAlignment="1" applyProtection="1">
      <alignment horizontal="right" shrinkToFit="1"/>
    </xf>
    <xf numFmtId="208" fontId="6" fillId="0" borderId="353" xfId="2" applyNumberFormat="1" applyFont="1" applyFill="1" applyBorder="1" applyAlignment="1" applyProtection="1">
      <alignment horizontal="right" shrinkToFit="1"/>
    </xf>
    <xf numFmtId="183" fontId="6" fillId="0" borderId="351" xfId="2" applyNumberFormat="1" applyFont="1" applyFill="1" applyBorder="1" applyAlignment="1" applyProtection="1">
      <alignment horizontal="right" shrinkToFit="1"/>
    </xf>
    <xf numFmtId="208" fontId="6" fillId="0" borderId="68" xfId="2" applyNumberFormat="1" applyFont="1" applyFill="1" applyBorder="1" applyAlignment="1" applyProtection="1">
      <alignment horizontal="right" shrinkToFit="1"/>
    </xf>
    <xf numFmtId="183" fontId="6" fillId="0" borderId="353" xfId="2" applyNumberFormat="1" applyFont="1" applyFill="1" applyBorder="1" applyAlignment="1" applyProtection="1">
      <alignment horizontal="right" shrinkToFit="1"/>
    </xf>
    <xf numFmtId="194" fontId="6" fillId="0" borderId="272" xfId="12" applyNumberFormat="1" applyFont="1" applyFill="1" applyBorder="1" applyAlignment="1" applyProtection="1">
      <alignment horizontal="right" shrinkToFit="1"/>
    </xf>
    <xf numFmtId="183" fontId="6" fillId="0" borderId="351" xfId="2" applyNumberFormat="1" applyFont="1" applyFill="1" applyBorder="1" applyAlignment="1" applyProtection="1">
      <alignment horizontal="center" shrinkToFit="1"/>
    </xf>
    <xf numFmtId="3" fontId="6" fillId="0" borderId="354" xfId="2" applyNumberFormat="1" applyFont="1" applyFill="1" applyBorder="1" applyAlignment="1" applyProtection="1">
      <alignment shrinkToFit="1"/>
    </xf>
    <xf numFmtId="183" fontId="6" fillId="0" borderId="353" xfId="2" applyNumberFormat="1" applyFont="1" applyFill="1" applyBorder="1" applyAlignment="1" applyProtection="1">
      <alignment horizontal="center" shrinkToFit="1"/>
    </xf>
    <xf numFmtId="3" fontId="6" fillId="0" borderId="70" xfId="2" applyNumberFormat="1" applyFont="1" applyFill="1" applyBorder="1" applyAlignment="1" applyProtection="1">
      <alignment shrinkToFit="1"/>
    </xf>
    <xf numFmtId="1" fontId="6" fillId="0" borderId="0" xfId="2" applyNumberFormat="1" applyFont="1" applyFill="1" applyBorder="1" applyAlignment="1" applyProtection="1">
      <alignment vertical="center"/>
    </xf>
    <xf numFmtId="205" fontId="6" fillId="0" borderId="80" xfId="2" applyNumberFormat="1" applyFont="1" applyFill="1" applyBorder="1" applyAlignment="1" applyProtection="1">
      <alignment horizontal="center" shrinkToFit="1"/>
    </xf>
    <xf numFmtId="0" fontId="6" fillId="0" borderId="355" xfId="2" applyFont="1" applyFill="1" applyBorder="1" applyAlignment="1" applyProtection="1">
      <alignment horizontal="left" indent="2"/>
    </xf>
    <xf numFmtId="0" fontId="6" fillId="0" borderId="84" xfId="2" applyFont="1" applyFill="1" applyBorder="1" applyAlignment="1" applyProtection="1"/>
    <xf numFmtId="0" fontId="6" fillId="0" borderId="84" xfId="2" applyNumberFormat="1" applyFont="1" applyFill="1" applyBorder="1" applyAlignment="1" applyProtection="1"/>
    <xf numFmtId="236" fontId="6" fillId="0" borderId="84" xfId="2" applyNumberFormat="1" applyFont="1" applyFill="1" applyBorder="1" applyAlignment="1" applyProtection="1">
      <alignment horizontal="center" shrinkToFit="1"/>
    </xf>
    <xf numFmtId="232" fontId="6" fillId="0" borderId="208" xfId="2" applyNumberFormat="1" applyFont="1" applyFill="1" applyBorder="1" applyAlignment="1" applyProtection="1">
      <alignment horizontal="right" shrinkToFit="1"/>
    </xf>
    <xf numFmtId="232" fontId="6" fillId="0" borderId="210" xfId="2" applyNumberFormat="1" applyFont="1" applyFill="1" applyBorder="1" applyAlignment="1" applyProtection="1">
      <alignment horizontal="right" shrinkToFit="1"/>
    </xf>
    <xf numFmtId="233" fontId="6" fillId="0" borderId="224" xfId="2" applyNumberFormat="1" applyFont="1" applyFill="1" applyBorder="1" applyAlignment="1" applyProtection="1">
      <alignment horizontal="right" shrinkToFit="1"/>
    </xf>
    <xf numFmtId="3" fontId="6" fillId="0" borderId="223" xfId="12" applyNumberFormat="1" applyFont="1" applyFill="1" applyBorder="1" applyAlignment="1" applyProtection="1">
      <alignment horizontal="right" shrinkToFit="1"/>
    </xf>
    <xf numFmtId="183" fontId="6" fillId="0" borderId="225" xfId="2" applyNumberFormat="1" applyFont="1" applyFill="1" applyBorder="1" applyAlignment="1" applyProtection="1">
      <alignment horizontal="right" shrinkToFit="1"/>
    </xf>
    <xf numFmtId="3" fontId="6" fillId="0" borderId="227" xfId="12" applyNumberFormat="1" applyFont="1" applyFill="1" applyBorder="1" applyAlignment="1" applyProtection="1">
      <alignment horizontal="right" shrinkToFit="1"/>
    </xf>
    <xf numFmtId="183" fontId="6" fillId="0" borderId="208" xfId="2" applyNumberFormat="1" applyFont="1" applyFill="1" applyBorder="1" applyAlignment="1" applyProtection="1">
      <alignment horizontal="center" shrinkToFit="1"/>
    </xf>
    <xf numFmtId="3" fontId="6" fillId="0" borderId="313" xfId="2" applyNumberFormat="1" applyFont="1" applyFill="1" applyBorder="1" applyAlignment="1" applyProtection="1">
      <alignment shrinkToFit="1"/>
    </xf>
    <xf numFmtId="183" fontId="6" fillId="0" borderId="210" xfId="2" applyNumberFormat="1" applyFont="1" applyFill="1" applyBorder="1" applyAlignment="1" applyProtection="1">
      <alignment horizontal="center" shrinkToFit="1"/>
    </xf>
    <xf numFmtId="3" fontId="6" fillId="0" borderId="74" xfId="2" applyNumberFormat="1" applyFont="1" applyFill="1" applyBorder="1" applyAlignment="1" applyProtection="1">
      <alignment shrinkToFit="1"/>
    </xf>
    <xf numFmtId="205" fontId="6" fillId="0" borderId="0" xfId="2" applyNumberFormat="1" applyFont="1" applyFill="1" applyBorder="1" applyAlignment="1" applyProtection="1">
      <alignment vertical="center" shrinkToFit="1"/>
    </xf>
    <xf numFmtId="0" fontId="6" fillId="0" borderId="164" xfId="2" applyFont="1" applyFill="1" applyBorder="1" applyProtection="1">
      <protection locked="0"/>
    </xf>
    <xf numFmtId="0" fontId="6" fillId="0" borderId="84" xfId="2" applyNumberFormat="1" applyFont="1" applyFill="1" applyBorder="1" applyAlignment="1" applyProtection="1">
      <alignment horizontal="left"/>
    </xf>
    <xf numFmtId="176" fontId="6" fillId="0" borderId="212" xfId="2" applyNumberFormat="1" applyFont="1" applyFill="1" applyBorder="1" applyAlignment="1" applyProtection="1">
      <alignment horizontal="left"/>
    </xf>
    <xf numFmtId="0" fontId="6" fillId="0" borderId="84" xfId="2" applyFont="1" applyFill="1" applyBorder="1" applyProtection="1"/>
    <xf numFmtId="235" fontId="6" fillId="0" borderId="84" xfId="2" applyNumberFormat="1" applyFont="1" applyFill="1" applyBorder="1" applyAlignment="1" applyProtection="1">
      <alignment horizontal="center" shrinkToFit="1"/>
    </xf>
    <xf numFmtId="194" fontId="6" fillId="0" borderId="164" xfId="12" applyNumberFormat="1" applyFont="1" applyFill="1" applyBorder="1" applyAlignment="1" applyProtection="1">
      <alignment horizontal="right" shrinkToFit="1"/>
    </xf>
    <xf numFmtId="0" fontId="6" fillId="0" borderId="103" xfId="2" applyFont="1" applyFill="1" applyBorder="1" applyAlignment="1" applyProtection="1">
      <alignment horizontal="left" indent="2"/>
    </xf>
    <xf numFmtId="0" fontId="6" fillId="0" borderId="45" xfId="2" applyFont="1" applyFill="1" applyBorder="1" applyAlignment="1" applyProtection="1"/>
    <xf numFmtId="0" fontId="6" fillId="0" borderId="185" xfId="2" applyFont="1" applyFill="1" applyBorder="1" applyAlignment="1" applyProtection="1"/>
    <xf numFmtId="205" fontId="6" fillId="0" borderId="356" xfId="2" applyNumberFormat="1" applyFont="1" applyFill="1" applyBorder="1" applyAlignment="1" applyProtection="1">
      <alignment horizontal="right" shrinkToFit="1"/>
    </xf>
    <xf numFmtId="194" fontId="6" fillId="0" borderId="166" xfId="12" applyNumberFormat="1" applyFont="1" applyFill="1" applyBorder="1" applyAlignment="1" applyProtection="1">
      <alignment horizontal="right" shrinkToFit="1"/>
    </xf>
    <xf numFmtId="205" fontId="6" fillId="0" borderId="357" xfId="2" applyNumberFormat="1" applyFont="1" applyFill="1" applyBorder="1" applyAlignment="1" applyProtection="1">
      <alignment horizontal="right" shrinkToFit="1"/>
    </xf>
    <xf numFmtId="194" fontId="6" fillId="0" borderId="45" xfId="12" applyNumberFormat="1" applyFont="1" applyFill="1" applyBorder="1" applyAlignment="1" applyProtection="1">
      <alignment horizontal="right" shrinkToFit="1"/>
    </xf>
    <xf numFmtId="194" fontId="6" fillId="0" borderId="46" xfId="12" applyNumberFormat="1" applyFont="1" applyFill="1" applyBorder="1" applyAlignment="1" applyProtection="1">
      <alignment horizontal="right" shrinkToFit="1"/>
    </xf>
    <xf numFmtId="183" fontId="6" fillId="0" borderId="358" xfId="2" applyNumberFormat="1" applyFont="1" applyFill="1" applyBorder="1" applyAlignment="1" applyProtection="1">
      <alignment horizontal="right" shrinkToFit="1"/>
    </xf>
    <xf numFmtId="205" fontId="6" fillId="0" borderId="76" xfId="2" applyNumberFormat="1" applyFont="1" applyFill="1" applyBorder="1" applyAlignment="1" applyProtection="1">
      <alignment horizontal="right" shrinkToFit="1"/>
    </xf>
    <xf numFmtId="3" fontId="6" fillId="0" borderId="359" xfId="12" applyNumberFormat="1" applyFont="1" applyFill="1" applyBorder="1" applyAlignment="1" applyProtection="1">
      <alignment horizontal="right" shrinkToFit="1"/>
    </xf>
    <xf numFmtId="183" fontId="6" fillId="0" borderId="360" xfId="2" applyNumberFormat="1" applyFont="1" applyFill="1" applyBorder="1" applyAlignment="1" applyProtection="1">
      <alignment horizontal="right" shrinkToFit="1"/>
    </xf>
    <xf numFmtId="3" fontId="6" fillId="0" borderId="361" xfId="12" applyNumberFormat="1" applyFont="1" applyFill="1" applyBorder="1" applyAlignment="1" applyProtection="1">
      <alignment horizontal="right" shrinkToFit="1"/>
    </xf>
    <xf numFmtId="0" fontId="6" fillId="0" borderId="12" xfId="2" applyFont="1" applyFill="1" applyBorder="1" applyAlignment="1" applyProtection="1">
      <alignment vertical="center"/>
    </xf>
    <xf numFmtId="0" fontId="6" fillId="0" borderId="140" xfId="2" applyFont="1" applyFill="1" applyBorder="1" applyProtection="1">
      <protection locked="0"/>
    </xf>
    <xf numFmtId="0" fontId="6" fillId="0" borderId="0" xfId="2" applyFont="1" applyBorder="1" applyProtection="1">
      <protection locked="0"/>
    </xf>
    <xf numFmtId="0" fontId="6" fillId="0" borderId="50" xfId="2" applyFont="1" applyBorder="1" applyProtection="1">
      <protection locked="0"/>
    </xf>
    <xf numFmtId="0" fontId="6" fillId="3" borderId="79" xfId="2" applyFont="1" applyFill="1" applyBorder="1" applyAlignment="1" applyProtection="1">
      <alignment vertical="center"/>
      <protection locked="0"/>
    </xf>
    <xf numFmtId="0" fontId="6" fillId="3" borderId="79" xfId="2" applyFont="1" applyFill="1" applyBorder="1" applyAlignment="1" applyProtection="1">
      <alignment horizontal="left" vertical="center" indent="2"/>
      <protection locked="0"/>
    </xf>
    <xf numFmtId="0" fontId="6" fillId="3" borderId="80" xfId="2" applyFont="1" applyFill="1" applyBorder="1" applyAlignment="1" applyProtection="1">
      <alignment horizontal="left" vertical="center" indent="2"/>
      <protection locked="0"/>
    </xf>
    <xf numFmtId="0" fontId="6" fillId="3" borderId="102" xfId="2" applyFont="1" applyFill="1" applyBorder="1" applyAlignment="1" applyProtection="1">
      <alignment vertical="center"/>
      <protection locked="0"/>
    </xf>
    <xf numFmtId="0" fontId="6" fillId="3" borderId="102" xfId="2" applyFont="1" applyFill="1" applyBorder="1" applyAlignment="1" applyProtection="1">
      <alignment horizontal="left" vertical="center" indent="2"/>
      <protection locked="0"/>
    </xf>
    <xf numFmtId="0" fontId="6" fillId="3" borderId="0" xfId="2" applyFont="1" applyFill="1" applyBorder="1" applyAlignment="1" applyProtection="1">
      <alignment horizontal="left" vertical="center" indent="2"/>
      <protection locked="0"/>
    </xf>
    <xf numFmtId="0" fontId="6" fillId="0" borderId="82" xfId="2" applyFont="1" applyFill="1" applyBorder="1" applyAlignment="1" applyProtection="1">
      <alignment horizontal="right"/>
    </xf>
    <xf numFmtId="237" fontId="6" fillId="0" borderId="82" xfId="2" applyNumberFormat="1" applyFont="1" applyFill="1" applyBorder="1" applyAlignment="1" applyProtection="1">
      <alignment horizontal="center" shrinkToFit="1"/>
    </xf>
    <xf numFmtId="0" fontId="6" fillId="0" borderId="272" xfId="2" applyFont="1" applyFill="1" applyBorder="1" applyAlignment="1" applyProtection="1"/>
    <xf numFmtId="205" fontId="6" fillId="0" borderId="351" xfId="2" applyNumberFormat="1" applyFont="1" applyFill="1" applyBorder="1" applyAlignment="1" applyProtection="1">
      <alignment horizontal="right" shrinkToFit="1"/>
    </xf>
    <xf numFmtId="205" fontId="6" fillId="0" borderId="68" xfId="2" applyNumberFormat="1" applyFont="1" applyFill="1" applyBorder="1" applyAlignment="1" applyProtection="1">
      <alignment horizontal="right" shrinkToFit="1"/>
    </xf>
    <xf numFmtId="194" fontId="6" fillId="0" borderId="82" xfId="12" applyNumberFormat="1" applyFont="1" applyFill="1" applyBorder="1" applyAlignment="1" applyProtection="1">
      <alignment horizontal="right" shrinkToFit="1"/>
    </xf>
    <xf numFmtId="205" fontId="6" fillId="0" borderId="353" xfId="2" applyNumberFormat="1" applyFont="1" applyFill="1" applyBorder="1" applyAlignment="1" applyProtection="1">
      <alignment horizontal="right" shrinkToFit="1"/>
    </xf>
    <xf numFmtId="0" fontId="6" fillId="0" borderId="292" xfId="2" applyFont="1" applyFill="1" applyBorder="1" applyAlignment="1" applyProtection="1"/>
    <xf numFmtId="183" fontId="6" fillId="0" borderId="68" xfId="2" applyNumberFormat="1" applyFont="1" applyFill="1" applyBorder="1" applyAlignment="1" applyProtection="1">
      <alignment horizontal="right" shrinkToFit="1"/>
    </xf>
    <xf numFmtId="194" fontId="6" fillId="0" borderId="82" xfId="12" applyNumberFormat="1" applyFont="1" applyFill="1" applyBorder="1" applyAlignment="1" applyProtection="1">
      <alignment shrinkToFit="1"/>
    </xf>
    <xf numFmtId="183" fontId="6" fillId="0" borderId="362" xfId="2" applyNumberFormat="1" applyFont="1" applyFill="1" applyBorder="1" applyAlignment="1" applyProtection="1">
      <alignment horizontal="center" shrinkToFit="1"/>
    </xf>
    <xf numFmtId="183" fontId="6" fillId="0" borderId="363" xfId="2" applyNumberFormat="1" applyFont="1" applyFill="1" applyBorder="1" applyAlignment="1" applyProtection="1">
      <alignment horizontal="center" shrinkToFit="1"/>
    </xf>
    <xf numFmtId="205" fontId="6" fillId="0" borderId="358" xfId="2" applyNumberFormat="1" applyFont="1" applyFill="1" applyBorder="1" applyAlignment="1" applyProtection="1">
      <alignment horizontal="right" shrinkToFit="1"/>
    </xf>
    <xf numFmtId="227" fontId="6" fillId="0" borderId="359" xfId="12" applyNumberFormat="1" applyFont="1" applyFill="1" applyBorder="1" applyAlignment="1" applyProtection="1">
      <alignment horizontal="right" shrinkToFit="1"/>
    </xf>
    <xf numFmtId="227" fontId="6" fillId="0" borderId="86" xfId="12" applyNumberFormat="1" applyFont="1" applyFill="1" applyBorder="1" applyAlignment="1" applyProtection="1">
      <alignment horizontal="right" shrinkToFit="1"/>
    </xf>
    <xf numFmtId="205" fontId="6" fillId="0" borderId="360" xfId="2" applyNumberFormat="1" applyFont="1" applyFill="1" applyBorder="1" applyAlignment="1" applyProtection="1">
      <alignment horizontal="right" shrinkToFit="1"/>
    </xf>
    <xf numFmtId="227" fontId="6" fillId="0" borderId="137" xfId="12" applyNumberFormat="1" applyFont="1" applyFill="1" applyBorder="1" applyAlignment="1" applyProtection="1">
      <alignment horizontal="right" shrinkToFit="1"/>
    </xf>
    <xf numFmtId="0" fontId="6" fillId="0" borderId="86" xfId="2" applyFont="1" applyFill="1" applyBorder="1" applyAlignment="1" applyProtection="1"/>
    <xf numFmtId="201" fontId="6" fillId="0" borderId="86" xfId="2" applyNumberFormat="1" applyFont="1" applyFill="1" applyBorder="1" applyProtection="1"/>
    <xf numFmtId="238" fontId="6" fillId="0" borderId="86" xfId="2" applyNumberFormat="1" applyFont="1" applyFill="1" applyBorder="1" applyAlignment="1" applyProtection="1"/>
    <xf numFmtId="208" fontId="6" fillId="0" borderId="76" xfId="2" applyNumberFormat="1" applyFont="1" applyFill="1" applyBorder="1" applyAlignment="1" applyProtection="1">
      <alignment horizontal="right" shrinkToFit="1"/>
    </xf>
    <xf numFmtId="239" fontId="6" fillId="0" borderId="86" xfId="12" applyNumberFormat="1" applyFont="1" applyFill="1" applyBorder="1" applyAlignment="1" applyProtection="1">
      <alignment horizontal="right" shrinkToFit="1"/>
    </xf>
    <xf numFmtId="239" fontId="6" fillId="0" borderId="361" xfId="12" applyNumberFormat="1" applyFont="1" applyFill="1" applyBorder="1" applyAlignment="1" applyProtection="1">
      <alignment horizontal="right" shrinkToFit="1"/>
    </xf>
    <xf numFmtId="183" fontId="6" fillId="0" borderId="364" xfId="2" applyNumberFormat="1" applyFont="1" applyFill="1" applyBorder="1" applyAlignment="1" applyProtection="1">
      <alignment horizontal="center" shrinkToFit="1"/>
    </xf>
    <xf numFmtId="183" fontId="6" fillId="0" borderId="365" xfId="2" applyNumberFormat="1" applyFont="1" applyFill="1" applyBorder="1" applyAlignment="1" applyProtection="1">
      <alignment horizontal="center" shrinkToFit="1"/>
    </xf>
    <xf numFmtId="183" fontId="6" fillId="0" borderId="366" xfId="2" applyNumberFormat="1" applyFont="1" applyFill="1" applyBorder="1" applyAlignment="1" applyProtection="1">
      <alignment horizontal="center" shrinkToFit="1"/>
    </xf>
    <xf numFmtId="239" fontId="6" fillId="0" borderId="137" xfId="12" applyNumberFormat="1" applyFont="1" applyFill="1" applyBorder="1" applyAlignment="1" applyProtection="1">
      <alignment horizontal="right" shrinkToFit="1"/>
    </xf>
    <xf numFmtId="0" fontId="6" fillId="0" borderId="0" xfId="2" applyFont="1" applyAlignment="1" applyProtection="1">
      <alignment vertical="center"/>
      <protection locked="0"/>
    </xf>
    <xf numFmtId="0" fontId="6" fillId="3" borderId="2" xfId="2" applyFont="1" applyFill="1" applyBorder="1" applyAlignment="1" applyProtection="1">
      <alignment vertical="center"/>
    </xf>
    <xf numFmtId="0" fontId="6" fillId="3" borderId="3" xfId="2" applyFont="1" applyFill="1" applyBorder="1" applyAlignment="1" applyProtection="1">
      <alignment vertical="center"/>
    </xf>
    <xf numFmtId="205" fontId="6" fillId="0" borderId="21" xfId="2" applyNumberFormat="1" applyFont="1" applyFill="1" applyBorder="1" applyAlignment="1" applyProtection="1">
      <alignment horizontal="center" vertical="center" shrinkToFit="1"/>
    </xf>
    <xf numFmtId="205" fontId="6" fillId="0" borderId="22" xfId="2" applyNumberFormat="1" applyFont="1" applyFill="1" applyBorder="1" applyAlignment="1" applyProtection="1">
      <alignment horizontal="center" vertical="center" shrinkToFit="1"/>
    </xf>
    <xf numFmtId="205" fontId="6" fillId="0" borderId="23" xfId="2" applyNumberFormat="1" applyFont="1" applyFill="1" applyBorder="1" applyAlignment="1" applyProtection="1">
      <alignment horizontal="center" vertical="center" shrinkToFit="1"/>
    </xf>
    <xf numFmtId="205" fontId="6" fillId="0" borderId="80" xfId="2" applyNumberFormat="1" applyFont="1" applyFill="1" applyBorder="1" applyAlignment="1" applyProtection="1">
      <alignment horizontal="center" vertical="center" shrinkToFit="1"/>
    </xf>
    <xf numFmtId="190" fontId="6" fillId="0" borderId="21" xfId="2" applyNumberFormat="1" applyFont="1" applyFill="1" applyBorder="1" applyAlignment="1" applyProtection="1">
      <alignment horizontal="center" vertical="center" shrinkToFit="1"/>
    </xf>
    <xf numFmtId="190" fontId="6" fillId="0" borderId="22" xfId="2" applyNumberFormat="1" applyFont="1" applyFill="1" applyBorder="1" applyAlignment="1" applyProtection="1">
      <alignment horizontal="center" vertical="center" shrinkToFit="1"/>
    </xf>
    <xf numFmtId="190" fontId="6" fillId="0" borderId="23" xfId="2" applyNumberFormat="1" applyFont="1" applyFill="1" applyBorder="1" applyAlignment="1" applyProtection="1">
      <alignment horizontal="center" vertical="center" shrinkToFit="1"/>
    </xf>
    <xf numFmtId="205" fontId="6" fillId="0" borderId="349" xfId="2" applyNumberFormat="1" applyFont="1" applyFill="1" applyBorder="1" applyAlignment="1" applyProtection="1">
      <alignment horizontal="center" vertical="center" shrinkToFit="1"/>
    </xf>
    <xf numFmtId="205" fontId="6" fillId="0" borderId="367" xfId="2" applyNumberFormat="1" applyFont="1" applyFill="1" applyBorder="1" applyAlignment="1" applyProtection="1">
      <alignment horizontal="center" vertical="center" shrinkToFit="1"/>
    </xf>
    <xf numFmtId="205" fontId="6" fillId="0" borderId="368" xfId="2" applyNumberFormat="1" applyFont="1" applyFill="1" applyBorder="1" applyAlignment="1" applyProtection="1">
      <alignment horizontal="center" vertical="center" shrinkToFit="1"/>
    </xf>
    <xf numFmtId="2" fontId="6" fillId="0" borderId="0" xfId="2" applyNumberFormat="1" applyFont="1" applyFill="1" applyBorder="1" applyAlignment="1" applyProtection="1">
      <alignment vertical="center" shrinkToFit="1"/>
    </xf>
    <xf numFmtId="0" fontId="19" fillId="0" borderId="0" xfId="12" applyNumberFormat="1" applyFont="1" applyFill="1" applyBorder="1" applyAlignment="1" applyProtection="1">
      <alignment vertical="center"/>
    </xf>
    <xf numFmtId="0" fontId="19" fillId="0" borderId="0" xfId="2" applyNumberFormat="1" applyFont="1" applyFill="1" applyBorder="1" applyAlignment="1" applyProtection="1">
      <alignment vertical="center"/>
    </xf>
    <xf numFmtId="0" fontId="6" fillId="0" borderId="0" xfId="2" applyNumberFormat="1" applyFont="1" applyFill="1" applyBorder="1" applyAlignment="1" applyProtection="1">
      <alignment vertical="center" shrinkToFit="1"/>
    </xf>
    <xf numFmtId="0" fontId="6" fillId="0" borderId="0" xfId="2" applyNumberFormat="1" applyFont="1" applyFill="1" applyBorder="1" applyAlignment="1" applyProtection="1">
      <protection locked="0"/>
    </xf>
    <xf numFmtId="183" fontId="6" fillId="0" borderId="369" xfId="2" applyNumberFormat="1" applyFont="1" applyFill="1" applyBorder="1" applyAlignment="1" applyProtection="1">
      <alignment horizontal="center" shrinkToFit="1"/>
    </xf>
    <xf numFmtId="0" fontId="0" fillId="0" borderId="209" xfId="0" applyBorder="1" applyAlignment="1">
      <alignment horizontal="center" shrinkToFit="1"/>
    </xf>
    <xf numFmtId="183" fontId="6" fillId="0" borderId="370" xfId="2" applyNumberFormat="1" applyFont="1" applyFill="1" applyBorder="1" applyAlignment="1" applyProtection="1">
      <alignment horizontal="center" shrinkToFit="1"/>
    </xf>
    <xf numFmtId="183" fontId="6" fillId="0" borderId="371" xfId="2" applyNumberFormat="1" applyFont="1" applyFill="1" applyBorder="1" applyAlignment="1" applyProtection="1">
      <alignment horizontal="center" shrinkToFit="1"/>
    </xf>
    <xf numFmtId="0" fontId="0" fillId="0" borderId="359" xfId="0" applyBorder="1" applyAlignment="1">
      <alignment horizontal="center" shrinkToFit="1"/>
    </xf>
    <xf numFmtId="183" fontId="6" fillId="0" borderId="372" xfId="2" applyNumberFormat="1" applyFont="1" applyFill="1" applyBorder="1" applyAlignment="1" applyProtection="1">
      <alignment horizontal="center" shrinkToFit="1"/>
    </xf>
    <xf numFmtId="0" fontId="0" fillId="0" borderId="211" xfId="0" applyBorder="1" applyAlignment="1">
      <alignment horizontal="center" shrinkToFit="1"/>
    </xf>
    <xf numFmtId="0" fontId="0" fillId="0" borderId="137" xfId="0" applyBorder="1" applyAlignment="1">
      <alignment horizontal="center" shrinkToFit="1"/>
    </xf>
    <xf numFmtId="203" fontId="6" fillId="13" borderId="265" xfId="2" applyNumberFormat="1" applyFont="1" applyFill="1" applyBorder="1" applyAlignment="1" applyProtection="1">
      <alignment horizontal="center" vertical="center" wrapText="1"/>
      <protection locked="0"/>
    </xf>
    <xf numFmtId="203" fontId="6" fillId="15" borderId="373" xfId="2" applyNumberFormat="1" applyFont="1" applyFill="1" applyBorder="1" applyAlignment="1" applyProtection="1">
      <alignment horizontal="center" vertical="center" wrapText="1"/>
      <protection locked="0"/>
    </xf>
    <xf numFmtId="203" fontId="6" fillId="15" borderId="265" xfId="2" applyNumberFormat="1" applyFont="1" applyFill="1" applyBorder="1" applyAlignment="1" applyProtection="1">
      <alignment horizontal="center" vertical="center" wrapText="1"/>
      <protection locked="0"/>
    </xf>
    <xf numFmtId="203" fontId="6" fillId="16" borderId="373" xfId="2" applyNumberFormat="1" applyFont="1" applyFill="1" applyBorder="1" applyAlignment="1" applyProtection="1">
      <alignment horizontal="center" vertical="center" wrapText="1"/>
      <protection locked="0"/>
    </xf>
    <xf numFmtId="203" fontId="6" fillId="16" borderId="265" xfId="2" applyNumberFormat="1" applyFont="1" applyFill="1" applyBorder="1" applyAlignment="1" applyProtection="1">
      <alignment horizontal="center" vertical="center" wrapText="1"/>
      <protection locked="0"/>
    </xf>
    <xf numFmtId="203" fontId="19" fillId="3" borderId="373" xfId="2" applyNumberFormat="1" applyFont="1" applyFill="1" applyBorder="1" applyAlignment="1" applyProtection="1">
      <alignment horizontal="center" vertical="center" wrapText="1"/>
      <protection locked="0"/>
    </xf>
    <xf numFmtId="203" fontId="19" fillId="3" borderId="265" xfId="2" applyNumberFormat="1" applyFont="1" applyFill="1" applyBorder="1" applyAlignment="1" applyProtection="1">
      <alignment horizontal="center" vertical="center" wrapText="1"/>
      <protection locked="0"/>
    </xf>
    <xf numFmtId="177" fontId="6" fillId="0" borderId="373" xfId="2" applyNumberFormat="1" applyFont="1" applyFill="1" applyBorder="1" applyAlignment="1" applyProtection="1">
      <alignment horizontal="right" shrinkToFit="1"/>
    </xf>
    <xf numFmtId="0" fontId="6" fillId="19" borderId="374" xfId="2" applyFont="1" applyFill="1" applyBorder="1" applyAlignment="1" applyProtection="1">
      <alignment horizontal="center" vertical="center" textRotation="255" shrinkToFit="1"/>
    </xf>
    <xf numFmtId="0" fontId="6" fillId="19" borderId="374" xfId="2" applyFont="1" applyFill="1" applyBorder="1" applyAlignment="1" applyProtection="1">
      <alignment horizontal="center" vertical="center" textRotation="255" wrapText="1" shrinkToFit="1"/>
    </xf>
    <xf numFmtId="3" fontId="6" fillId="0" borderId="375" xfId="12" applyNumberFormat="1" applyFont="1" applyFill="1" applyBorder="1" applyAlignment="1" applyProtection="1">
      <alignment horizontal="right" shrinkToFit="1"/>
    </xf>
    <xf numFmtId="177" fontId="6" fillId="0" borderId="376" xfId="2" applyNumberFormat="1" applyFont="1" applyFill="1" applyBorder="1" applyAlignment="1" applyProtection="1">
      <alignment horizontal="right" shrinkToFit="1"/>
    </xf>
    <xf numFmtId="3" fontId="6" fillId="0" borderId="377" xfId="12" applyNumberFormat="1" applyFont="1" applyFill="1" applyBorder="1" applyAlignment="1" applyProtection="1">
      <alignment horizontal="right" shrinkToFit="1"/>
    </xf>
    <xf numFmtId="183" fontId="6" fillId="0" borderId="376" xfId="2" applyNumberFormat="1" applyFont="1" applyFill="1" applyBorder="1" applyAlignment="1" applyProtection="1">
      <alignment horizontal="right" shrinkToFit="1"/>
    </xf>
    <xf numFmtId="3" fontId="6" fillId="0" borderId="378" xfId="12" applyNumberFormat="1" applyFont="1" applyFill="1" applyBorder="1" applyAlignment="1" applyProtection="1">
      <alignment horizontal="right" shrinkToFit="1"/>
    </xf>
    <xf numFmtId="2" fontId="6" fillId="0" borderId="379" xfId="2" applyNumberFormat="1" applyFont="1" applyFill="1" applyBorder="1" applyAlignment="1" applyProtection="1">
      <alignment horizontal="centerContinuous" shrinkToFit="1"/>
    </xf>
    <xf numFmtId="2" fontId="6" fillId="0" borderId="380" xfId="2" applyNumberFormat="1" applyFont="1" applyFill="1" applyBorder="1" applyAlignment="1" applyProtection="1">
      <alignment horizontal="center"/>
    </xf>
    <xf numFmtId="203" fontId="6" fillId="13" borderId="375" xfId="2" applyNumberFormat="1" applyFont="1" applyFill="1" applyBorder="1" applyAlignment="1" applyProtection="1">
      <alignment horizontal="center" vertical="center" wrapText="1"/>
      <protection locked="0"/>
    </xf>
    <xf numFmtId="203" fontId="6" fillId="15" borderId="252" xfId="2" applyNumberFormat="1" applyFont="1" applyFill="1" applyBorder="1" applyAlignment="1" applyProtection="1">
      <alignment horizontal="center" vertical="center" wrapText="1"/>
      <protection locked="0"/>
    </xf>
    <xf numFmtId="203" fontId="6" fillId="15" borderId="375" xfId="2" applyNumberFormat="1" applyFont="1" applyFill="1" applyBorder="1" applyAlignment="1" applyProtection="1">
      <alignment horizontal="center" vertical="center" wrapText="1"/>
      <protection locked="0"/>
    </xf>
    <xf numFmtId="203" fontId="6" fillId="16" borderId="252" xfId="2" applyNumberFormat="1" applyFont="1" applyFill="1" applyBorder="1" applyAlignment="1" applyProtection="1">
      <alignment horizontal="center" vertical="center" wrapText="1"/>
      <protection locked="0"/>
    </xf>
    <xf numFmtId="203" fontId="6" fillId="16" borderId="375" xfId="2" applyNumberFormat="1" applyFont="1" applyFill="1" applyBorder="1" applyAlignment="1" applyProtection="1">
      <alignment horizontal="center" vertical="center" wrapText="1"/>
      <protection locked="0"/>
    </xf>
    <xf numFmtId="203" fontId="19" fillId="3" borderId="252" xfId="2" applyNumberFormat="1" applyFont="1" applyFill="1" applyBorder="1" applyAlignment="1" applyProtection="1">
      <alignment horizontal="center" vertical="center" wrapText="1"/>
      <protection locked="0"/>
    </xf>
    <xf numFmtId="203" fontId="19" fillId="3" borderId="375" xfId="2" applyNumberFormat="1" applyFont="1" applyFill="1" applyBorder="1" applyAlignment="1" applyProtection="1">
      <alignment horizontal="center" vertical="center" wrapText="1"/>
      <protection locked="0"/>
    </xf>
    <xf numFmtId="0" fontId="36" fillId="0" borderId="0" xfId="13" applyFont="1">
      <alignment vertical="center"/>
    </xf>
    <xf numFmtId="2" fontId="37" fillId="0" borderId="0" xfId="13" applyNumberFormat="1" applyFont="1">
      <alignment vertical="center"/>
    </xf>
    <xf numFmtId="0" fontId="37" fillId="0" borderId="0" xfId="13" applyFont="1">
      <alignment vertical="center"/>
    </xf>
    <xf numFmtId="0" fontId="37" fillId="0" borderId="0" xfId="13" applyFont="1" applyBorder="1">
      <alignment vertical="center"/>
    </xf>
    <xf numFmtId="0" fontId="6" fillId="0" borderId="0" xfId="14" applyFont="1"/>
    <xf numFmtId="2" fontId="39" fillId="0" borderId="0" xfId="14" applyNumberFormat="1" applyFont="1"/>
    <xf numFmtId="0" fontId="39" fillId="0" borderId="0" xfId="14" applyFont="1"/>
    <xf numFmtId="0" fontId="39" fillId="0" borderId="0" xfId="14" applyFont="1" applyBorder="1"/>
    <xf numFmtId="0" fontId="6" fillId="0" borderId="0" xfId="14" applyFont="1" applyAlignment="1" applyProtection="1">
      <alignment shrinkToFit="1"/>
    </xf>
    <xf numFmtId="0" fontId="6" fillId="0" borderId="0" xfId="14" applyFont="1" applyProtection="1"/>
    <xf numFmtId="0" fontId="6" fillId="0" borderId="0" xfId="14" applyFont="1" applyFill="1" applyBorder="1" applyAlignment="1" applyProtection="1">
      <alignment horizontal="center"/>
    </xf>
    <xf numFmtId="0" fontId="6" fillId="0" borderId="0" xfId="15" applyFont="1">
      <alignment vertical="center"/>
    </xf>
    <xf numFmtId="0" fontId="6" fillId="0" borderId="0" xfId="14" applyFont="1" applyFill="1" applyBorder="1" applyProtection="1"/>
    <xf numFmtId="3" fontId="6" fillId="0" borderId="357" xfId="14" applyNumberFormat="1" applyFont="1" applyBorder="1" applyAlignment="1" applyProtection="1">
      <alignment shrinkToFit="1"/>
      <protection locked="0"/>
    </xf>
    <xf numFmtId="0" fontId="6" fillId="0" borderId="77" xfId="14" applyNumberFormat="1" applyFont="1" applyBorder="1" applyAlignment="1" applyProtection="1">
      <alignment shrinkToFit="1"/>
      <protection locked="0"/>
    </xf>
    <xf numFmtId="0" fontId="6" fillId="0" borderId="381" xfId="14" applyNumberFormat="1" applyFont="1" applyBorder="1" applyAlignment="1" applyProtection="1">
      <alignment horizontal="center" shrinkToFit="1"/>
      <protection locked="0"/>
    </xf>
    <xf numFmtId="0" fontId="6" fillId="0" borderId="165" xfId="14" applyNumberFormat="1" applyFont="1" applyBorder="1" applyAlignment="1" applyProtection="1">
      <alignment horizontal="center" shrinkToFit="1"/>
      <protection locked="0"/>
    </xf>
    <xf numFmtId="228" fontId="6" fillId="0" borderId="136" xfId="14" applyNumberFormat="1" applyFont="1" applyBorder="1" applyAlignment="1" applyProtection="1">
      <alignment shrinkToFit="1"/>
      <protection locked="0"/>
    </xf>
    <xf numFmtId="3" fontId="19" fillId="0" borderId="135" xfId="14" applyNumberFormat="1" applyFont="1" applyBorder="1" applyAlignment="1" applyProtection="1">
      <alignment shrinkToFit="1"/>
      <protection locked="0"/>
    </xf>
    <xf numFmtId="3" fontId="6" fillId="0" borderId="135" xfId="14" applyNumberFormat="1" applyFont="1" applyFill="1" applyBorder="1" applyAlignment="1" applyProtection="1">
      <alignment shrinkToFit="1"/>
      <protection locked="0"/>
    </xf>
    <xf numFmtId="3" fontId="6" fillId="0" borderId="135" xfId="14" applyNumberFormat="1" applyFont="1" applyBorder="1" applyAlignment="1" applyProtection="1">
      <alignment shrinkToFit="1"/>
      <protection locked="0"/>
    </xf>
    <xf numFmtId="3" fontId="6" fillId="0" borderId="199" xfId="14" applyNumberFormat="1" applyFont="1" applyBorder="1" applyAlignment="1" applyProtection="1">
      <alignment shrinkToFit="1"/>
      <protection locked="0"/>
    </xf>
    <xf numFmtId="2" fontId="6" fillId="0" borderId="155" xfId="14" applyNumberFormat="1" applyFont="1" applyBorder="1" applyAlignment="1" applyProtection="1">
      <alignment shrinkToFit="1"/>
      <protection locked="0"/>
    </xf>
    <xf numFmtId="2" fontId="6" fillId="0" borderId="199" xfId="14" applyNumberFormat="1" applyFont="1" applyBorder="1" applyAlignment="1" applyProtection="1">
      <alignment shrinkToFit="1"/>
      <protection locked="0"/>
    </xf>
    <xf numFmtId="3" fontId="19" fillId="0" borderId="196" xfId="14" applyNumberFormat="1" applyFont="1" applyBorder="1" applyAlignment="1" applyProtection="1">
      <alignment shrinkToFit="1"/>
      <protection locked="0"/>
    </xf>
    <xf numFmtId="3" fontId="6" fillId="0" borderId="384" xfId="14" applyNumberFormat="1" applyFont="1" applyBorder="1" applyAlignment="1" applyProtection="1">
      <alignment shrinkToFit="1"/>
      <protection locked="0"/>
    </xf>
    <xf numFmtId="3" fontId="6" fillId="0" borderId="385" xfId="14" applyNumberFormat="1" applyFont="1" applyBorder="1" applyAlignment="1" applyProtection="1">
      <alignment shrinkToFit="1"/>
      <protection locked="0"/>
    </xf>
    <xf numFmtId="3" fontId="19" fillId="0" borderId="310" xfId="14" applyNumberFormat="1" applyFont="1" applyBorder="1" applyAlignment="1" applyProtection="1">
      <alignment shrinkToFit="1"/>
      <protection locked="0"/>
    </xf>
    <xf numFmtId="0" fontId="6" fillId="0" borderId="385" xfId="14" applyNumberFormat="1" applyFont="1" applyBorder="1" applyAlignment="1" applyProtection="1">
      <alignment horizontal="center" shrinkToFit="1"/>
      <protection locked="0"/>
    </xf>
    <xf numFmtId="240" fontId="6" fillId="0" borderId="196" xfId="14" applyNumberFormat="1" applyFont="1" applyBorder="1" applyAlignment="1" applyProtection="1">
      <alignment shrinkToFit="1"/>
      <protection locked="0"/>
    </xf>
    <xf numFmtId="240" fontId="6" fillId="0" borderId="135" xfId="14" applyNumberFormat="1" applyFont="1" applyBorder="1" applyAlignment="1" applyProtection="1">
      <alignment shrinkToFit="1"/>
      <protection locked="0"/>
    </xf>
    <xf numFmtId="241" fontId="6" fillId="0" borderId="135" xfId="14" applyNumberFormat="1" applyFont="1" applyBorder="1" applyAlignment="1" applyProtection="1">
      <alignment shrinkToFit="1"/>
      <protection locked="0"/>
    </xf>
    <xf numFmtId="0" fontId="6" fillId="0" borderId="73" xfId="14" applyNumberFormat="1" applyFont="1" applyBorder="1" applyAlignment="1" applyProtection="1">
      <alignment shrinkToFit="1"/>
      <protection locked="0"/>
    </xf>
    <xf numFmtId="0" fontId="6" fillId="0" borderId="384" xfId="14" applyNumberFormat="1" applyFont="1" applyBorder="1" applyAlignment="1" applyProtection="1">
      <alignment horizontal="center" shrinkToFit="1"/>
      <protection locked="0"/>
    </xf>
    <xf numFmtId="0" fontId="6" fillId="0" borderId="386" xfId="14" applyNumberFormat="1" applyFont="1" applyBorder="1" applyAlignment="1" applyProtection="1">
      <alignment horizontal="center" shrinkToFit="1"/>
      <protection locked="0"/>
    </xf>
    <xf numFmtId="228" fontId="6" fillId="0" borderId="200" xfId="14" applyNumberFormat="1" applyFont="1" applyBorder="1" applyAlignment="1" applyProtection="1">
      <alignment shrinkToFit="1"/>
      <protection locked="0"/>
    </xf>
    <xf numFmtId="3" fontId="19" fillId="0" borderId="68" xfId="14" applyNumberFormat="1" applyFont="1" applyBorder="1" applyAlignment="1" applyProtection="1">
      <alignment shrinkToFit="1"/>
      <protection locked="0"/>
    </xf>
    <xf numFmtId="3" fontId="6" fillId="0" borderId="68" xfId="14" applyNumberFormat="1" applyFont="1" applyFill="1" applyBorder="1" applyAlignment="1" applyProtection="1">
      <alignment shrinkToFit="1"/>
      <protection locked="0"/>
    </xf>
    <xf numFmtId="3" fontId="6" fillId="0" borderId="68" xfId="14" applyNumberFormat="1" applyFont="1" applyBorder="1" applyAlignment="1" applyProtection="1">
      <alignment shrinkToFit="1"/>
      <protection locked="0"/>
    </xf>
    <xf numFmtId="3" fontId="6" fillId="0" borderId="353" xfId="14" applyNumberFormat="1" applyFont="1" applyBorder="1" applyAlignment="1" applyProtection="1">
      <alignment shrinkToFit="1"/>
      <protection locked="0"/>
    </xf>
    <xf numFmtId="2" fontId="6" fillId="0" borderId="352" xfId="14" applyNumberFormat="1" applyFont="1" applyBorder="1" applyAlignment="1" applyProtection="1">
      <alignment shrinkToFit="1"/>
      <protection locked="0"/>
    </xf>
    <xf numFmtId="2" fontId="6" fillId="0" borderId="353" xfId="14" applyNumberFormat="1" applyFont="1" applyBorder="1" applyAlignment="1" applyProtection="1">
      <alignment shrinkToFit="1"/>
      <protection locked="0"/>
    </xf>
    <xf numFmtId="3" fontId="19" fillId="0" borderId="82" xfId="14" applyNumberFormat="1" applyFont="1" applyBorder="1" applyAlignment="1" applyProtection="1">
      <alignment shrinkToFit="1"/>
      <protection locked="0"/>
    </xf>
    <xf numFmtId="3" fontId="6" fillId="0" borderId="69" xfId="14" applyNumberFormat="1" applyFont="1" applyBorder="1" applyAlignment="1" applyProtection="1">
      <alignment shrinkToFit="1"/>
      <protection locked="0"/>
    </xf>
    <xf numFmtId="3" fontId="6" fillId="0" borderId="387" xfId="14" applyNumberFormat="1" applyFont="1" applyBorder="1" applyAlignment="1" applyProtection="1">
      <alignment shrinkToFit="1"/>
      <protection locked="0"/>
    </xf>
    <xf numFmtId="3" fontId="19" fillId="0" borderId="354" xfId="14" applyNumberFormat="1" applyFont="1" applyBorder="1" applyAlignment="1" applyProtection="1">
      <alignment shrinkToFit="1"/>
      <protection locked="0"/>
    </xf>
    <xf numFmtId="0" fontId="6" fillId="0" borderId="387" xfId="14" applyNumberFormat="1" applyFont="1" applyBorder="1" applyAlignment="1" applyProtection="1">
      <alignment horizontal="center" shrinkToFit="1"/>
      <protection locked="0"/>
    </xf>
    <xf numFmtId="240" fontId="6" fillId="0" borderId="82" xfId="14" applyNumberFormat="1" applyFont="1" applyBorder="1" applyAlignment="1" applyProtection="1">
      <alignment shrinkToFit="1"/>
      <protection locked="0"/>
    </xf>
    <xf numFmtId="240" fontId="6" fillId="0" borderId="68" xfId="14" applyNumberFormat="1" applyFont="1" applyBorder="1" applyAlignment="1" applyProtection="1">
      <alignment shrinkToFit="1"/>
      <protection locked="0"/>
    </xf>
    <xf numFmtId="241" fontId="6" fillId="0" borderId="68" xfId="14" applyNumberFormat="1" applyFont="1" applyBorder="1" applyAlignment="1" applyProtection="1">
      <alignment shrinkToFit="1"/>
      <protection locked="0"/>
    </xf>
    <xf numFmtId="0" fontId="6" fillId="0" borderId="69" xfId="14" applyNumberFormat="1" applyFont="1" applyBorder="1" applyAlignment="1" applyProtection="1">
      <alignment shrinkToFit="1"/>
      <protection locked="0"/>
    </xf>
    <xf numFmtId="0" fontId="6" fillId="0" borderId="69" xfId="14" applyNumberFormat="1" applyFont="1" applyBorder="1" applyAlignment="1" applyProtection="1">
      <alignment horizontal="center" shrinkToFit="1"/>
      <protection locked="0"/>
    </xf>
    <xf numFmtId="0" fontId="6" fillId="0" borderId="388" xfId="14" applyNumberFormat="1" applyFont="1" applyBorder="1" applyAlignment="1" applyProtection="1">
      <alignment horizontal="center" shrinkToFit="1"/>
      <protection locked="0"/>
    </xf>
    <xf numFmtId="2" fontId="6" fillId="7" borderId="16" xfId="14" applyNumberFormat="1" applyFont="1" applyFill="1" applyBorder="1" applyAlignment="1" applyProtection="1">
      <alignment horizontal="center" vertical="center" wrapText="1" shrinkToFit="1"/>
      <protection locked="0"/>
    </xf>
    <xf numFmtId="2" fontId="6" fillId="7" borderId="14" xfId="14" applyNumberFormat="1" applyFont="1" applyFill="1" applyBorder="1" applyAlignment="1" applyProtection="1">
      <alignment horizontal="center" vertical="center" wrapText="1" shrinkToFit="1"/>
      <protection locked="0"/>
    </xf>
    <xf numFmtId="0" fontId="37" fillId="7" borderId="16" xfId="13" applyFont="1" applyFill="1" applyBorder="1" applyAlignment="1">
      <alignment horizontal="center" vertical="center" shrinkToFit="1"/>
    </xf>
    <xf numFmtId="0" fontId="37" fillId="7" borderId="15" xfId="13" applyFont="1" applyFill="1" applyBorder="1" applyAlignment="1">
      <alignment horizontal="center" vertical="center" shrinkToFit="1"/>
    </xf>
    <xf numFmtId="0" fontId="37" fillId="7" borderId="14" xfId="13" applyFont="1" applyFill="1" applyBorder="1" applyAlignment="1">
      <alignment horizontal="center" vertical="center" shrinkToFit="1"/>
    </xf>
    <xf numFmtId="0" fontId="37" fillId="7" borderId="389" xfId="13" applyFont="1" applyFill="1" applyBorder="1" applyAlignment="1">
      <alignment horizontal="center" vertical="center" shrinkToFit="1"/>
    </xf>
    <xf numFmtId="0" fontId="37" fillId="7" borderId="53" xfId="13" applyFont="1" applyFill="1" applyBorder="1" applyAlignment="1">
      <alignment horizontal="center" vertical="center" shrinkToFit="1"/>
    </xf>
    <xf numFmtId="0" fontId="6" fillId="3" borderId="131" xfId="14" applyNumberFormat="1" applyFont="1" applyFill="1" applyBorder="1" applyAlignment="1" applyProtection="1">
      <alignment horizontal="center" vertical="center" wrapText="1" shrinkToFit="1"/>
      <protection locked="0"/>
    </xf>
    <xf numFmtId="0" fontId="6" fillId="3" borderId="66" xfId="14" applyNumberFormat="1" applyFont="1" applyFill="1" applyBorder="1" applyAlignment="1" applyProtection="1">
      <alignment horizontal="center" vertical="center" shrinkToFit="1"/>
      <protection locked="0"/>
    </xf>
    <xf numFmtId="0" fontId="6" fillId="3" borderId="66" xfId="14" applyNumberFormat="1" applyFont="1" applyFill="1" applyBorder="1" applyAlignment="1" applyProtection="1">
      <alignment horizontal="center" vertical="center" wrapText="1" shrinkToFit="1"/>
      <protection locked="0"/>
    </xf>
    <xf numFmtId="0" fontId="6" fillId="3" borderId="262" xfId="14" applyNumberFormat="1" applyFont="1" applyFill="1" applyBorder="1" applyAlignment="1" applyProtection="1">
      <alignment horizontal="center" vertical="center" wrapText="1" shrinkToFit="1"/>
      <protection locked="0"/>
    </xf>
    <xf numFmtId="0" fontId="6" fillId="3" borderId="166" xfId="14" applyNumberFormat="1" applyFont="1" applyFill="1" applyBorder="1" applyAlignment="1" applyProtection="1">
      <alignment horizontal="center" vertical="center" wrapText="1"/>
      <protection locked="0"/>
    </xf>
    <xf numFmtId="0" fontId="6" fillId="3" borderId="357" xfId="14" applyNumberFormat="1" applyFont="1" applyFill="1" applyBorder="1" applyAlignment="1" applyProtection="1">
      <alignment horizontal="center" vertical="center" wrapText="1"/>
      <protection locked="0"/>
    </xf>
    <xf numFmtId="0" fontId="6" fillId="3" borderId="213" xfId="14" applyNumberFormat="1" applyFont="1" applyFill="1" applyBorder="1" applyAlignment="1" applyProtection="1">
      <alignment horizontal="center" vertical="center" shrinkToFit="1"/>
      <protection locked="0"/>
    </xf>
    <xf numFmtId="0" fontId="6" fillId="3" borderId="381" xfId="14" applyNumberFormat="1" applyFont="1" applyFill="1" applyBorder="1" applyAlignment="1" applyProtection="1">
      <alignment horizontal="center" vertical="center"/>
      <protection locked="0"/>
    </xf>
    <xf numFmtId="0" fontId="6" fillId="3" borderId="107" xfId="14" applyNumberFormat="1" applyFont="1" applyFill="1" applyBorder="1" applyAlignment="1" applyProtection="1">
      <alignment horizontal="center" vertical="center" shrinkToFit="1"/>
      <protection locked="0"/>
    </xf>
    <xf numFmtId="0" fontId="6" fillId="3" borderId="107" xfId="14" applyFont="1" applyFill="1" applyBorder="1" applyAlignment="1" applyProtection="1">
      <alignment horizontal="center" vertical="center" shrinkToFit="1"/>
      <protection locked="0"/>
    </xf>
    <xf numFmtId="0" fontId="6" fillId="3" borderId="382" xfId="14" applyNumberFormat="1" applyFont="1" applyFill="1" applyBorder="1" applyAlignment="1" applyProtection="1">
      <alignment horizontal="center" vertical="center" wrapText="1"/>
      <protection locked="0"/>
    </xf>
    <xf numFmtId="0" fontId="6" fillId="3" borderId="314" xfId="14" applyNumberFormat="1" applyFont="1" applyFill="1" applyBorder="1" applyAlignment="1" applyProtection="1">
      <alignment horizontal="center" vertical="center" shrinkToFit="1"/>
      <protection locked="0"/>
    </xf>
    <xf numFmtId="0" fontId="6" fillId="3" borderId="382" xfId="14" applyNumberFormat="1" applyFont="1" applyFill="1" applyBorder="1" applyAlignment="1" applyProtection="1">
      <alignment horizontal="center" vertical="center" wrapText="1" shrinkToFit="1"/>
      <protection locked="0"/>
    </xf>
    <xf numFmtId="0" fontId="6" fillId="3" borderId="314" xfId="14" applyNumberFormat="1" applyFont="1" applyFill="1" applyBorder="1" applyAlignment="1" applyProtection="1">
      <alignment horizontal="center" vertical="center" wrapText="1" shrinkToFit="1"/>
      <protection locked="0"/>
    </xf>
    <xf numFmtId="0" fontId="6" fillId="3" borderId="66" xfId="14" applyFont="1" applyFill="1" applyBorder="1" applyAlignment="1" applyProtection="1">
      <alignment horizontal="center" vertical="center" wrapText="1" shrinkToFit="1"/>
      <protection locked="0"/>
    </xf>
    <xf numFmtId="0" fontId="6" fillId="3" borderId="66" xfId="14" applyFont="1" applyFill="1" applyBorder="1" applyAlignment="1" applyProtection="1">
      <alignment horizontal="center" vertical="center" shrinkToFit="1"/>
      <protection locked="0"/>
    </xf>
    <xf numFmtId="0" fontId="6" fillId="3" borderId="106" xfId="14" applyFont="1" applyFill="1" applyBorder="1" applyAlignment="1" applyProtection="1">
      <alignment horizontal="center" vertical="center"/>
      <protection locked="0"/>
    </xf>
    <xf numFmtId="2" fontId="6" fillId="7" borderId="282" xfId="14" applyNumberFormat="1" applyFont="1" applyFill="1" applyBorder="1" applyAlignment="1" applyProtection="1">
      <alignment horizontal="center" vertical="center" wrapText="1" shrinkToFit="1"/>
      <protection locked="0"/>
    </xf>
    <xf numFmtId="2" fontId="6" fillId="7" borderId="325" xfId="14" applyNumberFormat="1" applyFont="1" applyFill="1" applyBorder="1" applyAlignment="1" applyProtection="1">
      <alignment horizontal="center" vertical="center" wrapText="1" shrinkToFit="1"/>
      <protection locked="0"/>
    </xf>
    <xf numFmtId="0" fontId="37" fillId="7" borderId="390" xfId="13" applyFont="1" applyFill="1" applyBorder="1" applyAlignment="1">
      <alignment horizontal="center" vertical="center" shrinkToFit="1"/>
    </xf>
    <xf numFmtId="0" fontId="37" fillId="7" borderId="391" xfId="13" applyFont="1" applyFill="1" applyBorder="1" applyAlignment="1">
      <alignment horizontal="center" vertical="center" shrinkToFit="1"/>
    </xf>
    <xf numFmtId="0" fontId="37" fillId="7" borderId="392" xfId="13" applyFont="1" applyFill="1" applyBorder="1" applyAlignment="1">
      <alignment horizontal="center" vertical="center" shrinkToFit="1"/>
    </xf>
    <xf numFmtId="0" fontId="37" fillId="7" borderId="393" xfId="13" applyFont="1" applyFill="1" applyBorder="1" applyAlignment="1">
      <alignment horizontal="center" vertical="center" shrinkToFit="1"/>
    </xf>
    <xf numFmtId="0" fontId="37" fillId="7" borderId="394" xfId="13" applyFont="1" applyFill="1" applyBorder="1" applyAlignment="1">
      <alignment horizontal="center" vertical="center" shrinkToFit="1"/>
    </xf>
    <xf numFmtId="0" fontId="6" fillId="3" borderId="395" xfId="14" applyNumberFormat="1" applyFont="1" applyFill="1" applyBorder="1" applyAlignment="1" applyProtection="1">
      <alignment horizontal="center" vertical="center" wrapText="1" shrinkToFit="1"/>
      <protection locked="0"/>
    </xf>
    <xf numFmtId="0" fontId="6" fillId="3" borderId="155" xfId="14" applyNumberFormat="1" applyFont="1" applyFill="1" applyBorder="1" applyAlignment="1" applyProtection="1">
      <alignment horizontal="center" vertical="center" wrapText="1"/>
      <protection locked="0"/>
    </xf>
    <xf numFmtId="0" fontId="6" fillId="3" borderId="154" xfId="14" applyNumberFormat="1" applyFont="1" applyFill="1" applyBorder="1" applyAlignment="1" applyProtection="1">
      <alignment horizontal="center" vertical="center" wrapText="1"/>
      <protection locked="0"/>
    </xf>
    <xf numFmtId="0" fontId="6" fillId="3" borderId="223" xfId="14" applyNumberFormat="1" applyFont="1" applyFill="1" applyBorder="1" applyAlignment="1" applyProtection="1">
      <alignment horizontal="center" vertical="center" wrapText="1" shrinkToFit="1"/>
      <protection locked="0"/>
    </xf>
    <xf numFmtId="0" fontId="6" fillId="3" borderId="395" xfId="14" applyNumberFormat="1" applyFont="1" applyFill="1" applyBorder="1" applyAlignment="1" applyProtection="1">
      <alignment horizontal="center" vertical="center" wrapText="1"/>
      <protection locked="0"/>
    </xf>
    <xf numFmtId="0" fontId="6" fillId="3" borderId="396" xfId="14" applyNumberFormat="1" applyFont="1" applyFill="1" applyBorder="1" applyAlignment="1" applyProtection="1">
      <alignment horizontal="center" vertical="center" wrapText="1"/>
      <protection locked="0"/>
    </xf>
    <xf numFmtId="0" fontId="6" fillId="3" borderId="397" xfId="14" applyNumberFormat="1" applyFont="1" applyFill="1" applyBorder="1" applyAlignment="1" applyProtection="1">
      <alignment horizontal="center" vertical="center" wrapText="1" shrinkToFit="1"/>
      <protection locked="0"/>
    </xf>
    <xf numFmtId="0" fontId="6" fillId="3" borderId="396" xfId="14" applyNumberFormat="1" applyFont="1" applyFill="1" applyBorder="1" applyAlignment="1" applyProtection="1">
      <alignment horizontal="center" vertical="center" wrapText="1" shrinkToFit="1"/>
      <protection locked="0"/>
    </xf>
    <xf numFmtId="2" fontId="37" fillId="7" borderId="46" xfId="13" applyNumberFormat="1" applyFont="1" applyFill="1" applyBorder="1" applyAlignment="1">
      <alignment horizontal="center" vertical="center" wrapText="1"/>
    </xf>
    <xf numFmtId="2" fontId="37" fillId="7" borderId="103" xfId="13" applyNumberFormat="1" applyFont="1" applyFill="1" applyBorder="1" applyAlignment="1">
      <alignment horizontal="center" vertical="center" wrapText="1"/>
    </xf>
    <xf numFmtId="0" fontId="37" fillId="10" borderId="0" xfId="13" applyFont="1" applyFill="1" applyBorder="1" applyAlignment="1">
      <alignment horizontal="center" vertical="center" shrinkToFit="1"/>
    </xf>
    <xf numFmtId="0" fontId="37" fillId="5" borderId="0" xfId="13" applyFont="1" applyFill="1" applyBorder="1" applyAlignment="1">
      <alignment horizontal="center" vertical="center" shrinkToFit="1"/>
    </xf>
    <xf numFmtId="0" fontId="6" fillId="3" borderId="27" xfId="14" applyNumberFormat="1" applyFont="1" applyFill="1" applyBorder="1" applyAlignment="1" applyProtection="1">
      <alignment horizontal="center" vertical="center" wrapText="1" shrinkToFit="1"/>
      <protection locked="0"/>
    </xf>
    <xf numFmtId="0" fontId="6" fillId="3" borderId="105" xfId="14" applyNumberFormat="1" applyFont="1" applyFill="1" applyBorder="1" applyAlignment="1" applyProtection="1">
      <alignment horizontal="center"/>
      <protection locked="0"/>
    </xf>
    <xf numFmtId="0" fontId="6" fillId="3" borderId="90" xfId="14" applyNumberFormat="1" applyFont="1" applyFill="1" applyBorder="1" applyAlignment="1" applyProtection="1">
      <alignment horizontal="center"/>
      <protection locked="0"/>
    </xf>
    <xf numFmtId="0" fontId="6" fillId="3" borderId="149" xfId="14" applyNumberFormat="1" applyFont="1" applyFill="1" applyBorder="1" applyAlignment="1" applyProtection="1">
      <alignment horizontal="center"/>
      <protection locked="0"/>
    </xf>
    <xf numFmtId="0" fontId="6" fillId="3" borderId="144" xfId="14" applyNumberFormat="1" applyFont="1" applyFill="1" applyBorder="1" applyAlignment="1" applyProtection="1">
      <alignment horizontal="center" vertical="center" wrapText="1"/>
      <protection locked="0"/>
    </xf>
    <xf numFmtId="0" fontId="6" fillId="3" borderId="145" xfId="14" applyNumberFormat="1" applyFont="1" applyFill="1" applyBorder="1" applyAlignment="1" applyProtection="1">
      <alignment horizontal="center" vertical="center" wrapText="1"/>
      <protection locked="0"/>
    </xf>
    <xf numFmtId="0" fontId="6" fillId="3" borderId="398" xfId="14" applyNumberFormat="1" applyFont="1" applyFill="1" applyBorder="1" applyAlignment="1" applyProtection="1">
      <alignment horizontal="center"/>
      <protection locked="0"/>
    </xf>
    <xf numFmtId="0" fontId="6" fillId="3" borderId="399" xfId="14" applyNumberFormat="1" applyFont="1" applyFill="1" applyBorder="1" applyAlignment="1" applyProtection="1">
      <alignment horizontal="center" vertical="center" wrapText="1"/>
      <protection locked="0"/>
    </xf>
    <xf numFmtId="0" fontId="6" fillId="3" borderId="399" xfId="14" applyNumberFormat="1" applyFont="1" applyFill="1" applyBorder="1" applyAlignment="1" applyProtection="1">
      <alignment horizontal="center" vertical="center" wrapText="1" shrinkToFit="1"/>
      <protection locked="0"/>
    </xf>
    <xf numFmtId="0" fontId="6" fillId="3" borderId="142" xfId="14" applyNumberFormat="1" applyFont="1" applyFill="1" applyBorder="1" applyAlignment="1" applyProtection="1">
      <alignment horizontal="center" vertical="center" wrapText="1" shrinkToFit="1"/>
      <protection locked="0"/>
    </xf>
    <xf numFmtId="0" fontId="6" fillId="3" borderId="26" xfId="14" applyFont="1" applyFill="1" applyBorder="1" applyAlignment="1" applyProtection="1">
      <alignment horizontal="center" vertical="center" wrapText="1" shrinkToFit="1"/>
      <protection locked="0"/>
    </xf>
    <xf numFmtId="0" fontId="6" fillId="3" borderId="26" xfId="14" applyFont="1" applyFill="1" applyBorder="1" applyAlignment="1" applyProtection="1">
      <alignment horizontal="center" vertical="center" shrinkToFit="1"/>
      <protection locked="0"/>
    </xf>
    <xf numFmtId="0" fontId="6" fillId="3" borderId="141" xfId="14" applyFont="1" applyFill="1" applyBorder="1" applyAlignment="1" applyProtection="1">
      <alignment horizontal="center" vertical="center"/>
      <protection locked="0"/>
    </xf>
    <xf numFmtId="2" fontId="37" fillId="7" borderId="50" xfId="13" applyNumberFormat="1" applyFont="1" applyFill="1" applyBorder="1" applyAlignment="1">
      <alignment horizontal="center" vertical="center" wrapText="1"/>
    </xf>
    <xf numFmtId="2" fontId="37" fillId="7" borderId="102" xfId="13" applyNumberFormat="1" applyFont="1" applyFill="1" applyBorder="1" applyAlignment="1">
      <alignment horizontal="center" vertical="center" wrapText="1"/>
    </xf>
    <xf numFmtId="0" fontId="37" fillId="7" borderId="46" xfId="13" applyFont="1" applyFill="1" applyBorder="1" applyAlignment="1">
      <alignment horizontal="center" vertical="center" shrinkToFit="1"/>
    </xf>
    <xf numFmtId="0" fontId="37" fillId="7" borderId="45" xfId="13" applyFont="1" applyFill="1" applyBorder="1" applyAlignment="1">
      <alignment horizontal="center" vertical="center" shrinkToFit="1"/>
    </xf>
    <xf numFmtId="0" fontId="37" fillId="7" borderId="13" xfId="13" applyFont="1" applyFill="1" applyBorder="1" applyAlignment="1">
      <alignment horizontal="center" vertical="center" shrinkToFit="1"/>
    </xf>
    <xf numFmtId="0" fontId="37" fillId="7" borderId="12" xfId="13" applyFont="1" applyFill="1" applyBorder="1" applyAlignment="1">
      <alignment horizontal="center" vertical="center" shrinkToFit="1"/>
    </xf>
    <xf numFmtId="0" fontId="37" fillId="7" borderId="11" xfId="13" applyFont="1" applyFill="1" applyBorder="1" applyAlignment="1">
      <alignment horizontal="center" vertical="center" shrinkToFit="1"/>
    </xf>
    <xf numFmtId="0" fontId="6" fillId="0" borderId="0" xfId="14" applyFont="1" applyAlignment="1">
      <alignment horizontal="right" vertical="center"/>
    </xf>
    <xf numFmtId="2" fontId="37" fillId="7" borderId="184" xfId="13" applyNumberFormat="1" applyFont="1" applyFill="1" applyBorder="1" applyAlignment="1">
      <alignment horizontal="center" vertical="center" wrapText="1"/>
    </xf>
    <xf numFmtId="2" fontId="37" fillId="7" borderId="177" xfId="13" applyNumberFormat="1" applyFont="1" applyFill="1" applyBorder="1" applyAlignment="1">
      <alignment horizontal="center" vertical="center" wrapText="1"/>
    </xf>
    <xf numFmtId="0" fontId="37" fillId="7" borderId="184" xfId="13" applyFont="1" applyFill="1" applyBorder="1" applyAlignment="1">
      <alignment horizontal="center" vertical="center" shrinkToFit="1"/>
    </xf>
    <xf numFmtId="0" fontId="37" fillId="7" borderId="178" xfId="13" applyFont="1" applyFill="1" applyBorder="1" applyAlignment="1">
      <alignment horizontal="center" vertical="center" shrinkToFit="1"/>
    </xf>
    <xf numFmtId="0" fontId="37" fillId="7" borderId="258" xfId="13" applyFont="1" applyFill="1" applyBorder="1" applyAlignment="1">
      <alignment horizontal="center" vertical="center" shrinkToFit="1"/>
    </xf>
    <xf numFmtId="0" fontId="37" fillId="7" borderId="400" xfId="13" applyFont="1" applyFill="1" applyBorder="1" applyAlignment="1">
      <alignment horizontal="center" vertical="center" shrinkToFit="1"/>
    </xf>
    <xf numFmtId="0" fontId="37" fillId="7" borderId="401" xfId="13" applyFont="1" applyFill="1" applyBorder="1" applyAlignment="1">
      <alignment horizontal="center" vertical="center" shrinkToFit="1"/>
    </xf>
    <xf numFmtId="0" fontId="40" fillId="0" borderId="0" xfId="13" applyFont="1">
      <alignment vertical="center"/>
    </xf>
    <xf numFmtId="2" fontId="41" fillId="0" borderId="0" xfId="13" applyNumberFormat="1" applyFont="1">
      <alignment vertical="center"/>
    </xf>
    <xf numFmtId="0" fontId="41" fillId="0" borderId="0" xfId="13" applyFont="1">
      <alignment vertical="center"/>
    </xf>
    <xf numFmtId="0" fontId="41" fillId="0" borderId="0" xfId="13" applyFont="1" applyBorder="1">
      <alignment vertical="center"/>
    </xf>
    <xf numFmtId="0" fontId="42" fillId="0" borderId="0" xfId="13" applyFont="1" applyBorder="1">
      <alignment vertical="center"/>
    </xf>
    <xf numFmtId="0" fontId="12" fillId="2" borderId="4" xfId="14" applyFont="1" applyFill="1" applyBorder="1"/>
    <xf numFmtId="0" fontId="12" fillId="2" borderId="3" xfId="14" applyFont="1" applyFill="1" applyBorder="1"/>
    <xf numFmtId="0" fontId="12" fillId="2" borderId="3" xfId="14" applyNumberFormat="1" applyFont="1" applyFill="1" applyBorder="1" applyProtection="1">
      <protection locked="0"/>
    </xf>
    <xf numFmtId="242" fontId="12" fillId="2" borderId="3" xfId="14" applyNumberFormat="1" applyFont="1" applyFill="1" applyBorder="1" applyAlignment="1" applyProtection="1">
      <alignment horizontal="left"/>
      <protection locked="0"/>
    </xf>
    <xf numFmtId="0" fontId="12" fillId="2" borderId="3" xfId="14" applyFont="1" applyFill="1" applyBorder="1" applyProtection="1">
      <protection locked="0"/>
    </xf>
    <xf numFmtId="194" fontId="7" fillId="2" borderId="3" xfId="14" applyNumberFormat="1" applyFont="1" applyFill="1" applyBorder="1" applyProtection="1">
      <protection locked="0"/>
    </xf>
    <xf numFmtId="194" fontId="12" fillId="2" borderId="3" xfId="14" applyNumberFormat="1" applyFont="1" applyFill="1" applyBorder="1" applyProtection="1">
      <protection locked="0"/>
    </xf>
    <xf numFmtId="0" fontId="7" fillId="2" borderId="2" xfId="14" applyNumberFormat="1" applyFont="1" applyFill="1" applyBorder="1" applyAlignment="1" applyProtection="1">
      <alignment horizontal="left" vertical="center" indent="1"/>
      <protection locked="0"/>
    </xf>
    <xf numFmtId="0" fontId="6" fillId="0" borderId="106" xfId="14" applyNumberFormat="1" applyFont="1" applyBorder="1" applyAlignment="1" applyProtection="1">
      <alignment horizontal="center" shrinkToFit="1"/>
      <protection locked="0"/>
    </xf>
    <xf numFmtId="0" fontId="6" fillId="0" borderId="66" xfId="14" applyNumberFormat="1" applyFont="1" applyBorder="1" applyAlignment="1" applyProtection="1">
      <alignment horizontal="center" shrinkToFit="1"/>
      <protection locked="0"/>
    </xf>
    <xf numFmtId="0" fontId="6" fillId="0" borderId="395" xfId="14" applyNumberFormat="1" applyFont="1" applyBorder="1" applyAlignment="1" applyProtection="1">
      <alignment shrinkToFit="1"/>
      <protection locked="0"/>
    </xf>
    <xf numFmtId="241" fontId="6" fillId="0" borderId="107" xfId="14" applyNumberFormat="1" applyFont="1" applyBorder="1" applyAlignment="1" applyProtection="1">
      <alignment shrinkToFit="1"/>
      <protection locked="0"/>
    </xf>
    <xf numFmtId="240" fontId="6" fillId="0" borderId="107" xfId="14" applyNumberFormat="1" applyFont="1" applyBorder="1" applyAlignment="1" applyProtection="1">
      <alignment shrinkToFit="1"/>
      <protection locked="0"/>
    </xf>
    <xf numFmtId="240" fontId="6" fillId="0" borderId="0" xfId="14" applyNumberFormat="1" applyFont="1" applyBorder="1" applyAlignment="1" applyProtection="1">
      <alignment shrinkToFit="1"/>
      <protection locked="0"/>
    </xf>
    <xf numFmtId="0" fontId="6" fillId="0" borderId="396" xfId="14" applyNumberFormat="1" applyFont="1" applyBorder="1" applyAlignment="1" applyProtection="1">
      <alignment horizontal="center" shrinkToFit="1"/>
      <protection locked="0"/>
    </xf>
    <xf numFmtId="3" fontId="6" fillId="0" borderId="262" xfId="14" applyNumberFormat="1" applyFont="1" applyBorder="1" applyAlignment="1" applyProtection="1">
      <alignment shrinkToFit="1"/>
      <protection locked="0"/>
    </xf>
    <xf numFmtId="3" fontId="6" fillId="0" borderId="107" xfId="14" applyNumberFormat="1" applyFont="1" applyBorder="1" applyAlignment="1" applyProtection="1">
      <alignment shrinkToFit="1"/>
      <protection locked="0"/>
    </xf>
    <xf numFmtId="3" fontId="19" fillId="0" borderId="107" xfId="14" applyNumberFormat="1" applyFont="1" applyBorder="1" applyAlignment="1" applyProtection="1">
      <alignment shrinkToFit="1"/>
      <protection locked="0"/>
    </xf>
    <xf numFmtId="3" fontId="19" fillId="0" borderId="314" xfId="14" applyNumberFormat="1" applyFont="1" applyBorder="1" applyAlignment="1" applyProtection="1">
      <alignment shrinkToFit="1"/>
      <protection locked="0"/>
    </xf>
    <xf numFmtId="3" fontId="6" fillId="0" borderId="396" xfId="14" applyNumberFormat="1" applyFont="1" applyBorder="1" applyAlignment="1" applyProtection="1">
      <alignment shrinkToFit="1"/>
      <protection locked="0"/>
    </xf>
    <xf numFmtId="3" fontId="6" fillId="0" borderId="66" xfId="14" applyNumberFormat="1" applyFont="1" applyBorder="1" applyAlignment="1" applyProtection="1">
      <alignment shrinkToFit="1"/>
      <protection locked="0"/>
    </xf>
    <xf numFmtId="3" fontId="19" fillId="0" borderId="0" xfId="14" applyNumberFormat="1" applyFont="1" applyBorder="1" applyAlignment="1" applyProtection="1">
      <alignment shrinkToFit="1"/>
      <protection locked="0"/>
    </xf>
    <xf numFmtId="2" fontId="6" fillId="0" borderId="262" xfId="14" applyNumberFormat="1" applyFont="1" applyBorder="1" applyAlignment="1" applyProtection="1">
      <alignment shrinkToFit="1"/>
      <protection locked="0"/>
    </xf>
    <xf numFmtId="2" fontId="6" fillId="0" borderId="213" xfId="14" applyNumberFormat="1" applyFont="1" applyBorder="1" applyAlignment="1" applyProtection="1">
      <alignment shrinkToFit="1"/>
      <protection locked="0"/>
    </xf>
    <xf numFmtId="3" fontId="6" fillId="0" borderId="107" xfId="14" applyNumberFormat="1" applyFont="1" applyFill="1" applyBorder="1" applyAlignment="1" applyProtection="1">
      <alignment shrinkToFit="1"/>
      <protection locked="0"/>
    </xf>
    <xf numFmtId="228" fontId="6" fillId="0" borderId="50" xfId="14" applyNumberFormat="1" applyFont="1" applyBorder="1" applyAlignment="1" applyProtection="1">
      <alignment shrinkToFit="1"/>
      <protection locked="0"/>
    </xf>
    <xf numFmtId="241" fontId="19" fillId="21" borderId="404" xfId="14" applyNumberFormat="1" applyFont="1" applyFill="1" applyBorder="1" applyAlignment="1">
      <alignment vertical="center" shrinkToFit="1"/>
    </xf>
    <xf numFmtId="240" fontId="19" fillId="21" borderId="404" xfId="14" applyNumberFormat="1" applyFont="1" applyFill="1" applyBorder="1" applyAlignment="1">
      <alignment vertical="center" shrinkToFit="1"/>
    </xf>
    <xf numFmtId="0" fontId="19" fillId="21" borderId="405" xfId="14" applyNumberFormat="1" applyFont="1" applyFill="1" applyBorder="1" applyAlignment="1">
      <alignment vertical="center" shrinkToFit="1"/>
    </xf>
    <xf numFmtId="3" fontId="19" fillId="21" borderId="405" xfId="14" applyNumberFormat="1" applyFont="1" applyFill="1" applyBorder="1" applyAlignment="1">
      <alignment vertical="center" shrinkToFit="1"/>
    </xf>
    <xf numFmtId="3" fontId="19" fillId="21" borderId="404" xfId="14" applyNumberFormat="1" applyFont="1" applyFill="1" applyBorder="1" applyAlignment="1">
      <alignment vertical="center" shrinkToFit="1"/>
    </xf>
    <xf numFmtId="2" fontId="19" fillId="21" borderId="405" xfId="14" applyNumberFormat="1" applyFont="1" applyFill="1" applyBorder="1" applyAlignment="1">
      <alignment vertical="center" shrinkToFit="1"/>
    </xf>
    <xf numFmtId="2" fontId="19" fillId="21" borderId="404" xfId="14" applyNumberFormat="1" applyFont="1" applyFill="1" applyBorder="1" applyAlignment="1">
      <alignment vertical="center" shrinkToFit="1"/>
    </xf>
    <xf numFmtId="228" fontId="19" fillId="21" borderId="406" xfId="14" applyNumberFormat="1" applyFont="1" applyFill="1" applyBorder="1" applyAlignment="1">
      <alignment vertical="center" shrinkToFit="1"/>
    </xf>
    <xf numFmtId="0" fontId="19" fillId="21" borderId="403" xfId="14" applyNumberFormat="1" applyFont="1" applyFill="1" applyBorder="1" applyAlignment="1">
      <alignment horizontal="center" vertical="center" shrinkToFit="1"/>
    </xf>
    <xf numFmtId="0" fontId="0" fillId="0" borderId="402" xfId="0" applyBorder="1" applyAlignment="1">
      <alignment horizontal="center" vertical="center" shrinkToFit="1"/>
    </xf>
    <xf numFmtId="0" fontId="0" fillId="0" borderId="407" xfId="0" applyBorder="1" applyAlignment="1">
      <alignment horizontal="center" vertical="center" shrinkToFit="1"/>
    </xf>
    <xf numFmtId="0" fontId="6" fillId="3" borderId="84" xfId="14" applyNumberFormat="1" applyFont="1" applyFill="1" applyBorder="1" applyAlignment="1" applyProtection="1">
      <alignment horizontal="center" vertical="center"/>
      <protection locked="0"/>
    </xf>
    <xf numFmtId="0" fontId="6" fillId="3" borderId="72" xfId="14" applyNumberFormat="1" applyFont="1" applyFill="1" applyBorder="1" applyAlignment="1" applyProtection="1">
      <alignment horizontal="center" vertical="center"/>
      <protection locked="0"/>
    </xf>
    <xf numFmtId="0" fontId="0" fillId="0" borderId="172" xfId="0" applyBorder="1" applyAlignment="1">
      <alignment horizontal="center" vertical="center"/>
    </xf>
    <xf numFmtId="0" fontId="6" fillId="3" borderId="408" xfId="14" applyNumberFormat="1" applyFont="1" applyFill="1" applyBorder="1" applyAlignment="1" applyProtection="1">
      <alignment horizontal="center" vertical="center" wrapText="1"/>
      <protection locked="0"/>
    </xf>
    <xf numFmtId="195" fontId="6" fillId="0" borderId="172" xfId="2" applyNumberFormat="1" applyFont="1" applyFill="1" applyBorder="1" applyAlignment="1" applyProtection="1">
      <alignment horizontal="center" vertical="center" wrapText="1" shrinkToFit="1"/>
      <protection locked="0"/>
    </xf>
    <xf numFmtId="196" fontId="6" fillId="0" borderId="171" xfId="2" applyNumberFormat="1" applyFont="1" applyFill="1" applyBorder="1" applyAlignment="1" applyProtection="1">
      <alignment horizontal="center" vertical="center" wrapText="1" shrinkToFit="1"/>
      <protection locked="0"/>
    </xf>
    <xf numFmtId="197" fontId="6" fillId="0" borderId="45" xfId="2" applyNumberFormat="1" applyFont="1" applyFill="1" applyBorder="1" applyAlignment="1" applyProtection="1">
      <alignment horizontal="center" vertical="center" wrapText="1" shrinkToFit="1"/>
      <protection locked="0"/>
    </xf>
    <xf numFmtId="198" fontId="6" fillId="0" borderId="174" xfId="2" applyNumberFormat="1" applyFont="1" applyFill="1" applyBorder="1" applyAlignment="1" applyProtection="1">
      <alignment horizontal="center" vertical="center" wrapText="1" shrinkToFit="1"/>
      <protection locked="0"/>
    </xf>
    <xf numFmtId="0" fontId="19" fillId="0" borderId="0" xfId="2" applyFont="1" applyFill="1" applyBorder="1" applyAlignment="1" applyProtection="1">
      <alignment horizontal="left" vertical="center" indent="1"/>
      <protection locked="0"/>
    </xf>
    <xf numFmtId="0" fontId="6" fillId="0" borderId="0" xfId="2" applyFont="1" applyFill="1" applyBorder="1" applyAlignment="1" applyProtection="1">
      <alignment horizontal="center"/>
      <protection locked="0"/>
    </xf>
    <xf numFmtId="176" fontId="32" fillId="0" borderId="139" xfId="2" applyNumberFormat="1" applyFont="1" applyFill="1" applyBorder="1" applyAlignment="1" applyProtection="1">
      <alignment horizontal="left" vertical="center" indent="1"/>
      <protection locked="0"/>
    </xf>
    <xf numFmtId="0" fontId="6" fillId="0" borderId="409" xfId="2" applyFont="1" applyFill="1" applyBorder="1" applyAlignment="1" applyProtection="1">
      <alignment horizontal="right"/>
    </xf>
    <xf numFmtId="3" fontId="6" fillId="0" borderId="164" xfId="12" applyNumberFormat="1" applyFont="1" applyFill="1" applyBorder="1" applyAlignment="1" applyProtection="1">
      <alignment horizontal="right" shrinkToFit="1"/>
    </xf>
    <xf numFmtId="0" fontId="6" fillId="0" borderId="0" xfId="2" applyFont="1" applyFill="1" applyBorder="1" applyAlignment="1" applyProtection="1">
      <protection locked="0"/>
    </xf>
    <xf numFmtId="0" fontId="6" fillId="0" borderId="0" xfId="14" applyFont="1" applyAlignment="1"/>
    <xf numFmtId="0" fontId="6" fillId="0" borderId="46" xfId="3" applyFont="1" applyFill="1" applyBorder="1" applyAlignment="1">
      <alignment horizontal="left" vertical="center" indent="1" shrinkToFit="1"/>
    </xf>
    <xf numFmtId="0" fontId="6" fillId="0" borderId="45" xfId="3" applyFont="1" applyFill="1" applyBorder="1" applyAlignment="1">
      <alignment horizontal="left" vertical="center" indent="1" shrinkToFit="1"/>
    </xf>
    <xf numFmtId="0" fontId="6" fillId="0" borderId="103" xfId="3" applyFont="1" applyFill="1" applyBorder="1" applyAlignment="1">
      <alignment horizontal="left" vertical="center" indent="1" shrinkToFit="1"/>
    </xf>
    <xf numFmtId="0" fontId="6" fillId="0" borderId="0" xfId="14" applyFont="1" applyAlignment="1">
      <alignment horizontal="left" indent="1" shrinkToFit="1"/>
    </xf>
    <xf numFmtId="0" fontId="6" fillId="0" borderId="50" xfId="3" applyFont="1" applyFill="1" applyBorder="1" applyAlignment="1">
      <alignment horizontal="left" vertical="center" indent="1" shrinkToFit="1"/>
    </xf>
    <xf numFmtId="0" fontId="6" fillId="0" borderId="0" xfId="3" applyFont="1" applyFill="1" applyBorder="1" applyAlignment="1">
      <alignment horizontal="left" vertical="center" indent="1" shrinkToFit="1"/>
    </xf>
    <xf numFmtId="0" fontId="6" fillId="0" borderId="102" xfId="3" applyFont="1" applyFill="1" applyBorder="1" applyAlignment="1">
      <alignment horizontal="left" vertical="center" indent="1" shrinkToFit="1"/>
    </xf>
    <xf numFmtId="0" fontId="6" fillId="0" borderId="0" xfId="14" applyFont="1" applyBorder="1" applyAlignment="1"/>
    <xf numFmtId="0" fontId="6" fillId="0" borderId="410" xfId="14" applyFont="1" applyBorder="1" applyAlignment="1">
      <alignment horizontal="left" indent="1" shrinkToFit="1"/>
    </xf>
    <xf numFmtId="0" fontId="6" fillId="0" borderId="411" xfId="14" applyFont="1" applyBorder="1" applyAlignment="1"/>
    <xf numFmtId="0" fontId="6" fillId="0" borderId="0" xfId="16" applyFont="1" applyAlignment="1"/>
    <xf numFmtId="0" fontId="6" fillId="0" borderId="0" xfId="14" applyNumberFormat="1" applyFont="1" applyBorder="1" applyAlignment="1" applyProtection="1">
      <protection locked="0"/>
    </xf>
    <xf numFmtId="0" fontId="6" fillId="0" borderId="0" xfId="14" applyNumberFormat="1" applyFont="1" applyBorder="1" applyAlignment="1" applyProtection="1">
      <alignment horizontal="left" indent="1"/>
      <protection locked="0"/>
    </xf>
    <xf numFmtId="0" fontId="6" fillId="0" borderId="0" xfId="16" applyFont="1" applyBorder="1" applyAlignment="1"/>
    <xf numFmtId="0" fontId="6" fillId="0" borderId="0" xfId="17" applyFont="1" applyFill="1" applyAlignment="1"/>
    <xf numFmtId="0" fontId="6" fillId="0" borderId="0" xfId="17" applyNumberFormat="1" applyFont="1" applyFill="1" applyBorder="1" applyAlignment="1"/>
    <xf numFmtId="194" fontId="6" fillId="0" borderId="0" xfId="17" applyNumberFormat="1" applyFont="1" applyFill="1" applyBorder="1" applyAlignment="1"/>
    <xf numFmtId="0" fontId="1" fillId="0" borderId="412" xfId="18" applyBorder="1" applyAlignment="1">
      <alignment horizontal="center" vertical="center" shrinkToFit="1"/>
    </xf>
    <xf numFmtId="0" fontId="1" fillId="0" borderId="413" xfId="18" applyBorder="1" applyAlignment="1">
      <alignment horizontal="center" vertical="center" shrinkToFit="1"/>
    </xf>
    <xf numFmtId="0" fontId="1" fillId="0" borderId="414" xfId="18" applyBorder="1" applyAlignment="1">
      <alignment horizontal="center" vertical="center" shrinkToFit="1"/>
    </xf>
    <xf numFmtId="0" fontId="6" fillId="0" borderId="415" xfId="14" applyFont="1" applyBorder="1" applyAlignment="1">
      <alignment horizontal="center" vertical="center" wrapText="1" shrinkToFit="1"/>
    </xf>
    <xf numFmtId="194" fontId="44" fillId="0" borderId="0" xfId="17" applyNumberFormat="1" applyFont="1" applyFill="1" applyBorder="1" applyAlignment="1"/>
    <xf numFmtId="0" fontId="6" fillId="0" borderId="184" xfId="3" applyFont="1" applyFill="1" applyBorder="1" applyAlignment="1">
      <alignment horizontal="left" vertical="center" indent="1" shrinkToFit="1"/>
    </xf>
    <xf numFmtId="0" fontId="6" fillId="0" borderId="178" xfId="3" applyFont="1" applyFill="1" applyBorder="1" applyAlignment="1">
      <alignment horizontal="left" vertical="center" indent="1" shrinkToFit="1"/>
    </xf>
    <xf numFmtId="0" fontId="6" fillId="0" borderId="177" xfId="3" applyFont="1" applyFill="1" applyBorder="1" applyAlignment="1">
      <alignment horizontal="left" vertical="center" indent="1" shrinkToFit="1"/>
    </xf>
    <xf numFmtId="0" fontId="45" fillId="0" borderId="0" xfId="17" applyFont="1" applyFill="1" applyAlignment="1">
      <alignment horizontal="right"/>
    </xf>
    <xf numFmtId="194" fontId="6" fillId="0" borderId="0" xfId="14" applyNumberFormat="1" applyFont="1" applyFill="1" applyBorder="1" applyAlignment="1"/>
    <xf numFmtId="194" fontId="6" fillId="0" borderId="0" xfId="14" applyNumberFormat="1" applyFont="1" applyBorder="1" applyAlignment="1"/>
    <xf numFmtId="0" fontId="11" fillId="0" borderId="0" xfId="14" applyFont="1" applyAlignment="1"/>
    <xf numFmtId="0" fontId="11" fillId="2" borderId="4" xfId="14" applyFont="1" applyFill="1" applyBorder="1" applyAlignment="1"/>
    <xf numFmtId="0" fontId="11" fillId="2" borderId="3" xfId="14" applyFont="1" applyFill="1" applyBorder="1" applyAlignment="1"/>
    <xf numFmtId="0" fontId="11" fillId="2" borderId="3" xfId="14" applyFont="1" applyFill="1" applyBorder="1" applyAlignment="1">
      <alignment vertical="center"/>
    </xf>
    <xf numFmtId="0" fontId="30" fillId="2" borderId="2" xfId="14" applyFont="1" applyFill="1" applyBorder="1" applyAlignment="1">
      <alignment horizontal="left" vertical="center"/>
    </xf>
    <xf numFmtId="0" fontId="30" fillId="2" borderId="2" xfId="14" applyFont="1" applyFill="1" applyBorder="1" applyAlignment="1">
      <alignment horizontal="left" vertical="center" indent="1"/>
    </xf>
    <xf numFmtId="0" fontId="6" fillId="0" borderId="0" xfId="14" applyFont="1" applyAlignment="1">
      <alignment shrinkToFit="1"/>
    </xf>
    <xf numFmtId="0" fontId="0" fillId="0" borderId="0" xfId="0" applyAlignment="1">
      <alignment shrinkToFit="1"/>
    </xf>
    <xf numFmtId="0" fontId="6" fillId="0" borderId="411" xfId="14" applyFont="1" applyBorder="1" applyAlignment="1">
      <alignment shrinkToFit="1"/>
    </xf>
    <xf numFmtId="0" fontId="0" fillId="0" borderId="411" xfId="0" applyBorder="1" applyAlignment="1">
      <alignment shrinkToFit="1"/>
    </xf>
    <xf numFmtId="0" fontId="6" fillId="0" borderId="410" xfId="14" applyFont="1" applyBorder="1" applyAlignment="1">
      <alignment shrinkToFit="1"/>
    </xf>
    <xf numFmtId="0" fontId="0" fillId="0" borderId="410" xfId="0" applyBorder="1" applyAlignment="1">
      <alignment shrinkToFit="1"/>
    </xf>
    <xf numFmtId="0" fontId="6" fillId="0" borderId="0" xfId="14" applyNumberFormat="1" applyFont="1" applyBorder="1" applyAlignment="1" applyProtection="1">
      <alignment shrinkToFit="1"/>
      <protection locked="0"/>
    </xf>
    <xf numFmtId="0" fontId="6" fillId="0" borderId="0" xfId="14" applyFont="1" applyBorder="1" applyAlignment="1">
      <alignment shrinkToFit="1"/>
    </xf>
    <xf numFmtId="0" fontId="6" fillId="0" borderId="411" xfId="14" applyNumberFormat="1" applyFont="1" applyBorder="1" applyAlignment="1">
      <alignment shrinkToFit="1"/>
    </xf>
    <xf numFmtId="0" fontId="6" fillId="0" borderId="410" xfId="14" applyNumberFormat="1" applyFont="1" applyBorder="1" applyAlignment="1">
      <alignment shrinkToFit="1"/>
    </xf>
    <xf numFmtId="0" fontId="6" fillId="0" borderId="0" xfId="16" applyFont="1" applyBorder="1" applyAlignment="1">
      <alignment shrinkToFit="1"/>
    </xf>
    <xf numFmtId="0" fontId="6" fillId="0" borderId="0" xfId="16" applyFont="1" applyAlignment="1">
      <alignment shrinkToFit="1"/>
    </xf>
    <xf numFmtId="0" fontId="6" fillId="0" borderId="46" xfId="14" applyNumberFormat="1" applyFont="1" applyBorder="1" applyAlignment="1" applyProtection="1">
      <alignment shrinkToFit="1"/>
      <protection locked="0"/>
    </xf>
    <xf numFmtId="239" fontId="19" fillId="0" borderId="383" xfId="14" applyNumberFormat="1" applyFont="1" applyBorder="1" applyAlignment="1" applyProtection="1">
      <alignment shrinkToFit="1"/>
      <protection locked="0"/>
    </xf>
    <xf numFmtId="3" fontId="19" fillId="0" borderId="381" xfId="14" applyNumberFormat="1" applyFont="1" applyBorder="1" applyAlignment="1" applyProtection="1">
      <alignment shrinkToFit="1"/>
      <protection locked="0"/>
    </xf>
    <xf numFmtId="243" fontId="6" fillId="0" borderId="47" xfId="14" applyNumberFormat="1" applyFont="1" applyBorder="1" applyAlignment="1" applyProtection="1">
      <alignment shrinkToFit="1"/>
      <protection locked="0"/>
    </xf>
    <xf numFmtId="243" fontId="6" fillId="0" borderId="381" xfId="14" applyNumberFormat="1" applyFont="1" applyBorder="1" applyAlignment="1" applyProtection="1">
      <alignment shrinkToFit="1"/>
      <protection locked="0"/>
    </xf>
    <xf numFmtId="244" fontId="6" fillId="0" borderId="47" xfId="14" applyNumberFormat="1" applyFont="1" applyBorder="1" applyAlignment="1" applyProtection="1">
      <alignment shrinkToFit="1"/>
      <protection locked="0"/>
    </xf>
    <xf numFmtId="243" fontId="6" fillId="0" borderId="357" xfId="14" applyNumberFormat="1" applyFont="1" applyBorder="1" applyAlignment="1" applyProtection="1">
      <alignment shrinkToFit="1"/>
      <protection locked="0"/>
    </xf>
    <xf numFmtId="0" fontId="6" fillId="0" borderId="136" xfId="14" applyNumberFormat="1" applyFont="1" applyBorder="1" applyAlignment="1" applyProtection="1">
      <alignment shrinkToFit="1"/>
      <protection locked="0"/>
    </xf>
    <xf numFmtId="239" fontId="19" fillId="0" borderId="310" xfId="14" applyNumberFormat="1" applyFont="1" applyBorder="1" applyAlignment="1" applyProtection="1">
      <alignment shrinkToFit="1"/>
      <protection locked="0"/>
    </xf>
    <xf numFmtId="3" fontId="19" fillId="0" borderId="384" xfId="14" applyNumberFormat="1" applyFont="1" applyBorder="1" applyAlignment="1" applyProtection="1">
      <alignment shrinkToFit="1"/>
      <protection locked="0"/>
    </xf>
    <xf numFmtId="243" fontId="6" fillId="0" borderId="135" xfId="14" applyNumberFormat="1" applyFont="1" applyBorder="1" applyAlignment="1" applyProtection="1">
      <alignment shrinkToFit="1"/>
      <protection locked="0"/>
    </xf>
    <xf numFmtId="243" fontId="6" fillId="0" borderId="384" xfId="14" applyNumberFormat="1" applyFont="1" applyBorder="1" applyAlignment="1" applyProtection="1">
      <alignment shrinkToFit="1"/>
      <protection locked="0"/>
    </xf>
    <xf numFmtId="244" fontId="6" fillId="0" borderId="135" xfId="14" applyNumberFormat="1" applyFont="1" applyBorder="1" applyAlignment="1" applyProtection="1">
      <alignment shrinkToFit="1"/>
      <protection locked="0"/>
    </xf>
    <xf numFmtId="243" fontId="6" fillId="0" borderId="199" xfId="14" applyNumberFormat="1" applyFont="1" applyBorder="1" applyAlignment="1" applyProtection="1">
      <alignment shrinkToFit="1"/>
      <protection locked="0"/>
    </xf>
    <xf numFmtId="0" fontId="6" fillId="0" borderId="200" xfId="14" applyNumberFormat="1" applyFont="1" applyBorder="1" applyAlignment="1" applyProtection="1">
      <alignment shrinkToFit="1"/>
      <protection locked="0"/>
    </xf>
    <xf numFmtId="239" fontId="19" fillId="0" borderId="354" xfId="14" applyNumberFormat="1" applyFont="1" applyBorder="1" applyAlignment="1" applyProtection="1">
      <alignment shrinkToFit="1"/>
      <protection locked="0"/>
    </xf>
    <xf numFmtId="3" fontId="19" fillId="0" borderId="69" xfId="14" applyNumberFormat="1" applyFont="1" applyBorder="1" applyAlignment="1" applyProtection="1">
      <alignment shrinkToFit="1"/>
      <protection locked="0"/>
    </xf>
    <xf numFmtId="243" fontId="6" fillId="0" borderId="68" xfId="14" applyNumberFormat="1" applyFont="1" applyBorder="1" applyAlignment="1" applyProtection="1">
      <alignment shrinkToFit="1"/>
      <protection locked="0"/>
    </xf>
    <xf numFmtId="243" fontId="6" fillId="0" borderId="69" xfId="14" applyNumberFormat="1" applyFont="1" applyBorder="1" applyAlignment="1" applyProtection="1">
      <alignment shrinkToFit="1"/>
      <protection locked="0"/>
    </xf>
    <xf numFmtId="244" fontId="6" fillId="0" borderId="68" xfId="14" applyNumberFormat="1" applyFont="1" applyBorder="1" applyAlignment="1" applyProtection="1">
      <alignment shrinkToFit="1"/>
      <protection locked="0"/>
    </xf>
    <xf numFmtId="243" fontId="6" fillId="0" borderId="353" xfId="14" applyNumberFormat="1" applyFont="1" applyBorder="1" applyAlignment="1" applyProtection="1">
      <alignment shrinkToFit="1"/>
      <protection locked="0"/>
    </xf>
    <xf numFmtId="0" fontId="6" fillId="3" borderId="46" xfId="14" applyNumberFormat="1" applyFont="1" applyFill="1" applyBorder="1" applyAlignment="1" applyProtection="1">
      <alignment horizontal="center" vertical="center" wrapText="1" shrinkToFit="1"/>
      <protection locked="0"/>
    </xf>
    <xf numFmtId="0" fontId="6" fillId="3" borderId="383" xfId="14" applyNumberFormat="1" applyFont="1" applyFill="1" applyBorder="1" applyAlignment="1" applyProtection="1">
      <alignment horizontal="center" vertical="center" wrapText="1" shrinkToFit="1"/>
      <protection locked="0"/>
    </xf>
    <xf numFmtId="0" fontId="6" fillId="3" borderId="381" xfId="14" applyNumberFormat="1" applyFont="1" applyFill="1" applyBorder="1" applyAlignment="1" applyProtection="1">
      <alignment horizontal="center" vertical="center" wrapText="1" shrinkToFit="1"/>
      <protection locked="0"/>
    </xf>
    <xf numFmtId="0" fontId="6" fillId="3" borderId="381" xfId="14" applyNumberFormat="1" applyFont="1" applyFill="1" applyBorder="1" applyAlignment="1" applyProtection="1">
      <alignment horizontal="center" vertical="center" wrapText="1" shrinkToFit="1"/>
      <protection locked="0"/>
    </xf>
    <xf numFmtId="0" fontId="6" fillId="3" borderId="357" xfId="14" applyNumberFormat="1" applyFont="1" applyFill="1" applyBorder="1" applyAlignment="1" applyProtection="1">
      <alignment horizontal="center" vertical="center" shrinkToFit="1"/>
      <protection locked="0"/>
    </xf>
    <xf numFmtId="0" fontId="6" fillId="3" borderId="383" xfId="14" applyFont="1" applyFill="1" applyBorder="1" applyAlignment="1" applyProtection="1">
      <alignment horizontal="center" vertical="center" shrinkToFit="1"/>
      <protection locked="0"/>
    </xf>
    <xf numFmtId="0" fontId="6" fillId="3" borderId="381" xfId="14" applyFont="1" applyFill="1" applyBorder="1" applyAlignment="1" applyProtection="1">
      <alignment horizontal="center" vertical="center" shrinkToFit="1"/>
      <protection locked="0"/>
    </xf>
    <xf numFmtId="0" fontId="6" fillId="3" borderId="165" xfId="14" applyFont="1" applyFill="1" applyBorder="1" applyAlignment="1" applyProtection="1">
      <alignment horizontal="center" vertical="center"/>
      <protection locked="0"/>
    </xf>
    <xf numFmtId="0" fontId="6" fillId="3" borderId="50" xfId="14" applyNumberFormat="1" applyFont="1" applyFill="1" applyBorder="1" applyAlignment="1" applyProtection="1">
      <alignment horizontal="center" vertical="center" wrapText="1" shrinkToFit="1"/>
      <protection locked="0"/>
    </xf>
    <xf numFmtId="0" fontId="6" fillId="3" borderId="213" xfId="14" applyNumberFormat="1" applyFont="1" applyFill="1" applyBorder="1" applyAlignment="1" applyProtection="1">
      <alignment horizontal="center" vertical="center" wrapText="1" shrinkToFit="1"/>
      <protection locked="0"/>
    </xf>
    <xf numFmtId="0" fontId="6" fillId="3" borderId="0" xfId="14" applyNumberFormat="1" applyFont="1" applyFill="1" applyBorder="1" applyAlignment="1" applyProtection="1">
      <alignment horizontal="center" vertical="center" wrapText="1" shrinkToFit="1"/>
      <protection locked="0"/>
    </xf>
    <xf numFmtId="0" fontId="6" fillId="3" borderId="72" xfId="14" applyNumberFormat="1" applyFont="1" applyFill="1" applyBorder="1" applyAlignment="1" applyProtection="1">
      <alignment horizontal="center" vertical="center" wrapText="1"/>
      <protection locked="0"/>
    </xf>
    <xf numFmtId="0" fontId="6" fillId="3" borderId="370" xfId="14" applyNumberFormat="1" applyFont="1" applyFill="1" applyBorder="1" applyAlignment="1" applyProtection="1">
      <alignment horizontal="center" vertical="center" wrapText="1"/>
      <protection locked="0"/>
    </xf>
    <xf numFmtId="0" fontId="6" fillId="3" borderId="314" xfId="14" applyFont="1" applyFill="1" applyBorder="1" applyAlignment="1" applyProtection="1">
      <alignment horizontal="center" vertical="center" shrinkToFit="1"/>
      <protection locked="0"/>
    </xf>
    <xf numFmtId="0" fontId="6" fillId="3" borderId="220" xfId="14" applyNumberFormat="1" applyFont="1" applyFill="1" applyBorder="1" applyAlignment="1" applyProtection="1">
      <alignment horizontal="center" vertical="center" wrapText="1" shrinkToFit="1"/>
      <protection locked="0"/>
    </xf>
    <xf numFmtId="0" fontId="6" fillId="3" borderId="84" xfId="14" applyNumberFormat="1" applyFont="1" applyFill="1" applyBorder="1" applyAlignment="1" applyProtection="1">
      <alignment horizontal="center" vertical="center" wrapText="1"/>
      <protection locked="0"/>
    </xf>
    <xf numFmtId="0" fontId="6" fillId="3" borderId="61" xfId="14" applyNumberFormat="1" applyFont="1" applyFill="1" applyBorder="1" applyAlignment="1" applyProtection="1">
      <alignment horizontal="center" vertical="center" wrapText="1" shrinkToFit="1"/>
      <protection locked="0"/>
    </xf>
    <xf numFmtId="0" fontId="6" fillId="3" borderId="398" xfId="14" applyNumberFormat="1" applyFont="1" applyFill="1" applyBorder="1" applyAlignment="1" applyProtection="1">
      <alignment horizontal="center" vertical="center" wrapText="1"/>
      <protection locked="0"/>
    </xf>
    <xf numFmtId="0" fontId="6" fillId="3" borderId="90" xfId="14" applyNumberFormat="1" applyFont="1" applyFill="1" applyBorder="1" applyAlignment="1" applyProtection="1">
      <alignment horizontal="center" vertical="center" wrapText="1"/>
      <protection locked="0"/>
    </xf>
    <xf numFmtId="0" fontId="6" fillId="3" borderId="149" xfId="14" applyNumberFormat="1" applyFont="1" applyFill="1" applyBorder="1" applyAlignment="1" applyProtection="1">
      <alignment horizontal="center" vertical="center" wrapText="1"/>
      <protection locked="0"/>
    </xf>
    <xf numFmtId="0" fontId="6" fillId="3" borderId="142" xfId="14" applyFont="1" applyFill="1" applyBorder="1" applyAlignment="1" applyProtection="1">
      <alignment horizontal="center" vertical="center" shrinkToFit="1"/>
      <protection locked="0"/>
    </xf>
    <xf numFmtId="0" fontId="47" fillId="0" borderId="0" xfId="13" applyFont="1">
      <alignment vertical="center"/>
    </xf>
    <xf numFmtId="0" fontId="3" fillId="2" borderId="4" xfId="14" applyFont="1" applyFill="1" applyBorder="1"/>
    <xf numFmtId="0" fontId="3" fillId="2" borderId="3" xfId="14" applyNumberFormat="1" applyFont="1" applyFill="1" applyBorder="1" applyProtection="1">
      <protection locked="0"/>
    </xf>
    <xf numFmtId="0" fontId="3" fillId="2" borderId="3" xfId="14" applyFont="1" applyFill="1" applyBorder="1"/>
    <xf numFmtId="194" fontId="48" fillId="2" borderId="3" xfId="14" applyNumberFormat="1" applyFont="1" applyFill="1" applyBorder="1" applyProtection="1">
      <protection locked="0"/>
    </xf>
    <xf numFmtId="194" fontId="3" fillId="2" borderId="3" xfId="14" applyNumberFormat="1" applyFont="1" applyFill="1" applyBorder="1" applyProtection="1">
      <protection locked="0"/>
    </xf>
    <xf numFmtId="0" fontId="48" fillId="2" borderId="2" xfId="14" applyNumberFormat="1" applyFont="1" applyFill="1" applyBorder="1" applyAlignment="1" applyProtection="1">
      <alignment horizontal="left" vertical="center" indent="1"/>
      <protection locked="0"/>
    </xf>
    <xf numFmtId="243" fontId="6" fillId="0" borderId="262" xfId="14" applyNumberFormat="1" applyFont="1" applyBorder="1" applyAlignment="1" applyProtection="1">
      <alignment shrinkToFit="1"/>
      <protection locked="0"/>
    </xf>
    <xf numFmtId="244" fontId="6" fillId="0" borderId="107" xfId="14" applyNumberFormat="1" applyFont="1" applyBorder="1" applyAlignment="1" applyProtection="1">
      <alignment shrinkToFit="1"/>
      <protection locked="0"/>
    </xf>
    <xf numFmtId="243" fontId="6" fillId="0" borderId="66" xfId="14" applyNumberFormat="1" applyFont="1" applyBorder="1" applyAlignment="1" applyProtection="1">
      <alignment shrinkToFit="1"/>
      <protection locked="0"/>
    </xf>
    <xf numFmtId="243" fontId="6" fillId="0" borderId="107" xfId="14" applyNumberFormat="1" applyFont="1" applyBorder="1" applyAlignment="1" applyProtection="1">
      <alignment shrinkToFit="1"/>
      <protection locked="0"/>
    </xf>
    <xf numFmtId="3" fontId="19" fillId="0" borderId="66" xfId="14" applyNumberFormat="1" applyFont="1" applyBorder="1" applyAlignment="1" applyProtection="1">
      <alignment shrinkToFit="1"/>
      <protection locked="0"/>
    </xf>
    <xf numFmtId="239" fontId="19" fillId="0" borderId="314" xfId="14" applyNumberFormat="1" applyFont="1" applyBorder="1" applyAlignment="1" applyProtection="1">
      <alignment shrinkToFit="1"/>
      <protection locked="0"/>
    </xf>
    <xf numFmtId="0" fontId="6" fillId="0" borderId="50" xfId="14" applyNumberFormat="1" applyFont="1" applyBorder="1" applyAlignment="1" applyProtection="1">
      <alignment shrinkToFit="1"/>
      <protection locked="0"/>
    </xf>
    <xf numFmtId="0" fontId="6" fillId="0" borderId="384" xfId="14" applyNumberFormat="1" applyFont="1" applyBorder="1" applyAlignment="1" applyProtection="1">
      <alignment shrinkToFit="1"/>
      <protection locked="0"/>
    </xf>
    <xf numFmtId="3" fontId="19" fillId="21" borderId="418" xfId="14" applyNumberFormat="1" applyFont="1" applyFill="1" applyBorder="1" applyAlignment="1" applyProtection="1">
      <alignment vertical="center" shrinkToFit="1"/>
      <protection locked="0"/>
    </xf>
    <xf numFmtId="243" fontId="19" fillId="21" borderId="418" xfId="14" applyNumberFormat="1" applyFont="1" applyFill="1" applyBorder="1" applyAlignment="1" applyProtection="1">
      <alignment vertical="center" shrinkToFit="1"/>
      <protection locked="0"/>
    </xf>
    <xf numFmtId="244" fontId="19" fillId="21" borderId="417" xfId="14" applyNumberFormat="1" applyFont="1" applyFill="1" applyBorder="1" applyAlignment="1" applyProtection="1">
      <alignment vertical="center" shrinkToFit="1"/>
      <protection locked="0"/>
    </xf>
    <xf numFmtId="243" fontId="19" fillId="21" borderId="417" xfId="14" applyNumberFormat="1" applyFont="1" applyFill="1" applyBorder="1" applyAlignment="1" applyProtection="1">
      <alignment vertical="center" shrinkToFit="1"/>
      <protection locked="0"/>
    </xf>
    <xf numFmtId="3" fontId="19" fillId="21" borderId="417" xfId="14" applyNumberFormat="1" applyFont="1" applyFill="1" applyBorder="1" applyAlignment="1" applyProtection="1">
      <alignment vertical="center" shrinkToFit="1"/>
      <protection locked="0"/>
    </xf>
    <xf numFmtId="239" fontId="19" fillId="21" borderId="417" xfId="14" applyNumberFormat="1" applyFont="1" applyFill="1" applyBorder="1" applyAlignment="1" applyProtection="1">
      <alignment vertical="center" shrinkToFit="1"/>
      <protection locked="0"/>
    </xf>
    <xf numFmtId="0" fontId="19" fillId="21" borderId="419" xfId="14" applyNumberFormat="1" applyFont="1" applyFill="1" applyBorder="1" applyAlignment="1" applyProtection="1">
      <alignment vertical="center" shrinkToFit="1"/>
      <protection locked="0"/>
    </xf>
    <xf numFmtId="0" fontId="19" fillId="21" borderId="416" xfId="14" applyNumberFormat="1" applyFont="1" applyFill="1" applyBorder="1" applyAlignment="1" applyProtection="1">
      <alignment horizontal="center" vertical="center" shrinkToFit="1"/>
      <protection locked="0"/>
    </xf>
    <xf numFmtId="0" fontId="0" fillId="0" borderId="420" xfId="0" applyBorder="1" applyAlignment="1">
      <alignment horizontal="center" vertical="center" shrinkToFit="1"/>
    </xf>
    <xf numFmtId="0" fontId="0" fillId="0" borderId="421" xfId="0" applyBorder="1" applyAlignment="1">
      <alignment horizontal="center" vertical="center" shrinkToFit="1"/>
    </xf>
    <xf numFmtId="243" fontId="19" fillId="21" borderId="417" xfId="14" applyNumberFormat="1" applyFont="1" applyFill="1" applyBorder="1" applyAlignment="1" applyProtection="1">
      <alignment horizontal="center" vertical="center" shrinkToFit="1"/>
      <protection locked="0"/>
    </xf>
    <xf numFmtId="3" fontId="19" fillId="21" borderId="417" xfId="14" applyNumberFormat="1" applyFont="1" applyFill="1" applyBorder="1" applyAlignment="1" applyProtection="1">
      <alignment horizontal="center" vertical="center" shrinkToFit="1"/>
      <protection locked="0"/>
    </xf>
    <xf numFmtId="239" fontId="19" fillId="21" borderId="417" xfId="14" applyNumberFormat="1" applyFont="1" applyFill="1" applyBorder="1" applyAlignment="1" applyProtection="1">
      <alignment horizontal="center" vertical="center" shrinkToFit="1"/>
      <protection locked="0"/>
    </xf>
    <xf numFmtId="3" fontId="6" fillId="0" borderId="136" xfId="14" applyNumberFormat="1" applyFont="1" applyBorder="1" applyAlignment="1" applyProtection="1">
      <alignment shrinkToFit="1"/>
      <protection locked="0"/>
    </xf>
    <xf numFmtId="3" fontId="6" fillId="0" borderId="155" xfId="14" applyNumberFormat="1" applyFont="1" applyBorder="1" applyAlignment="1" applyProtection="1">
      <alignment shrinkToFit="1"/>
      <protection locked="0"/>
    </xf>
    <xf numFmtId="0" fontId="6" fillId="0" borderId="313" xfId="14" applyNumberFormat="1" applyFont="1" applyBorder="1" applyAlignment="1" applyProtection="1">
      <alignment shrinkToFit="1"/>
      <protection locked="0"/>
    </xf>
    <xf numFmtId="183" fontId="6" fillId="3" borderId="314" xfId="14" applyNumberFormat="1" applyFont="1" applyFill="1" applyBorder="1" applyAlignment="1" applyProtection="1">
      <alignment horizontal="center" vertical="center" shrinkToFit="1"/>
      <protection locked="0"/>
    </xf>
    <xf numFmtId="183" fontId="6" fillId="3" borderId="107" xfId="14" applyNumberFormat="1" applyFont="1" applyFill="1" applyBorder="1" applyAlignment="1" applyProtection="1">
      <alignment horizontal="center" vertical="center" shrinkToFit="1"/>
      <protection locked="0"/>
    </xf>
    <xf numFmtId="183" fontId="6" fillId="3" borderId="262" xfId="14" applyNumberFormat="1" applyFont="1" applyFill="1" applyBorder="1" applyAlignment="1" applyProtection="1">
      <alignment horizontal="center" vertical="center" shrinkToFit="1"/>
      <protection locked="0"/>
    </xf>
    <xf numFmtId="0" fontId="6" fillId="3" borderId="422" xfId="14" applyNumberFormat="1" applyFont="1" applyFill="1" applyBorder="1" applyAlignment="1" applyProtection="1">
      <alignment horizontal="center" vertical="center" wrapText="1" shrinkToFit="1"/>
      <protection locked="0"/>
    </xf>
    <xf numFmtId="0" fontId="6" fillId="3" borderId="144" xfId="14" applyNumberFormat="1" applyFont="1" applyFill="1" applyBorder="1" applyAlignment="1" applyProtection="1">
      <alignment horizontal="center" vertical="center"/>
      <protection locked="0"/>
    </xf>
    <xf numFmtId="0" fontId="6" fillId="3" borderId="80" xfId="14" applyNumberFormat="1" applyFont="1" applyFill="1" applyBorder="1" applyAlignment="1" applyProtection="1">
      <alignment horizontal="center" vertical="center"/>
      <protection locked="0"/>
    </xf>
    <xf numFmtId="0" fontId="6" fillId="3" borderId="145" xfId="14" applyNumberFormat="1" applyFont="1" applyFill="1" applyBorder="1" applyAlignment="1" applyProtection="1">
      <alignment horizontal="center" vertical="center"/>
      <protection locked="0"/>
    </xf>
    <xf numFmtId="0" fontId="6" fillId="3" borderId="144" xfId="14" applyFont="1" applyFill="1" applyBorder="1" applyAlignment="1" applyProtection="1">
      <alignment horizontal="center" vertical="center" wrapText="1" shrinkToFit="1"/>
      <protection locked="0"/>
    </xf>
    <xf numFmtId="0" fontId="49" fillId="0" borderId="0" xfId="13" applyFont="1">
      <alignment vertical="center"/>
    </xf>
    <xf numFmtId="0" fontId="50" fillId="2" borderId="4" xfId="14" applyFont="1" applyFill="1" applyBorder="1"/>
    <xf numFmtId="0" fontId="50" fillId="2" borderId="3" xfId="14" applyFont="1" applyFill="1" applyBorder="1"/>
    <xf numFmtId="0" fontId="50" fillId="2" borderId="3" xfId="14" applyNumberFormat="1" applyFont="1" applyFill="1" applyBorder="1" applyProtection="1">
      <protection locked="0"/>
    </xf>
    <xf numFmtId="242" fontId="50" fillId="2" borderId="3" xfId="14" applyNumberFormat="1" applyFont="1" applyFill="1" applyBorder="1" applyAlignment="1" applyProtection="1">
      <alignment horizontal="left"/>
      <protection locked="0"/>
    </xf>
    <xf numFmtId="0" fontId="50" fillId="2" borderId="3" xfId="14" applyFont="1" applyFill="1" applyBorder="1" applyProtection="1">
      <protection locked="0"/>
    </xf>
    <xf numFmtId="194" fontId="9" fillId="2" borderId="3" xfId="14" applyNumberFormat="1" applyFont="1" applyFill="1" applyBorder="1" applyProtection="1">
      <protection locked="0"/>
    </xf>
    <xf numFmtId="194" fontId="50" fillId="2" borderId="3" xfId="14" applyNumberFormat="1" applyFont="1" applyFill="1" applyBorder="1" applyProtection="1">
      <protection locked="0"/>
    </xf>
    <xf numFmtId="0" fontId="9" fillId="2" borderId="2" xfId="14" applyNumberFormat="1" applyFont="1" applyFill="1" applyBorder="1" applyAlignment="1" applyProtection="1">
      <alignment horizontal="left" vertical="center" indent="1"/>
      <protection locked="0"/>
    </xf>
    <xf numFmtId="0" fontId="6" fillId="3" borderId="213" xfId="14" applyFont="1" applyFill="1" applyBorder="1" applyAlignment="1" applyProtection="1">
      <alignment horizontal="center" vertical="center" wrapText="1" shrinkToFit="1"/>
      <protection locked="0"/>
    </xf>
    <xf numFmtId="0" fontId="6" fillId="3" borderId="423" xfId="14" applyNumberFormat="1" applyFont="1" applyFill="1" applyBorder="1" applyAlignment="1" applyProtection="1">
      <alignment horizontal="center" vertical="center" wrapText="1" shrinkToFit="1"/>
      <protection locked="0"/>
    </xf>
    <xf numFmtId="0" fontId="6" fillId="0" borderId="310" xfId="14" applyNumberFormat="1" applyFont="1" applyBorder="1" applyAlignment="1" applyProtection="1">
      <alignment shrinkToFit="1"/>
      <protection locked="0"/>
    </xf>
    <xf numFmtId="0" fontId="0" fillId="0" borderId="430" xfId="0" applyBorder="1" applyAlignment="1">
      <alignment horizontal="center" vertical="center" shrinkToFit="1"/>
    </xf>
    <xf numFmtId="0" fontId="6" fillId="0" borderId="397" xfId="14" applyNumberFormat="1" applyFont="1" applyBorder="1" applyAlignment="1" applyProtection="1">
      <alignment shrinkToFit="1"/>
      <protection locked="0"/>
    </xf>
    <xf numFmtId="3" fontId="6" fillId="0" borderId="213" xfId="14" applyNumberFormat="1" applyFont="1" applyBorder="1" applyAlignment="1" applyProtection="1">
      <alignment shrinkToFit="1"/>
      <protection locked="0"/>
    </xf>
    <xf numFmtId="3" fontId="6" fillId="0" borderId="50" xfId="14" applyNumberFormat="1" applyFont="1" applyBorder="1" applyAlignment="1" applyProtection="1">
      <alignment shrinkToFit="1"/>
      <protection locked="0"/>
    </xf>
    <xf numFmtId="0" fontId="19" fillId="22" borderId="431" xfId="14" applyNumberFormat="1" applyFont="1" applyFill="1" applyBorder="1" applyAlignment="1" applyProtection="1">
      <alignment horizontal="center" vertical="center" shrinkToFit="1"/>
      <protection locked="0"/>
    </xf>
    <xf numFmtId="0" fontId="0" fillId="0" borderId="432" xfId="0" applyBorder="1" applyAlignment="1">
      <alignment horizontal="center" vertical="center" shrinkToFit="1"/>
    </xf>
    <xf numFmtId="0" fontId="0" fillId="0" borderId="433" xfId="0" applyBorder="1" applyAlignment="1">
      <alignment horizontal="center" vertical="center" shrinkToFit="1"/>
    </xf>
    <xf numFmtId="0" fontId="19" fillId="0" borderId="424" xfId="14" applyNumberFormat="1" applyFont="1" applyBorder="1" applyAlignment="1" applyProtection="1">
      <alignment vertical="center" shrinkToFit="1"/>
      <protection locked="0"/>
    </xf>
    <xf numFmtId="241" fontId="19" fillId="0" borderId="425" xfId="14" applyNumberFormat="1" applyFont="1" applyBorder="1" applyAlignment="1" applyProtection="1">
      <alignment vertical="center" shrinkToFit="1"/>
      <protection locked="0"/>
    </xf>
    <xf numFmtId="3" fontId="19" fillId="0" borderId="426" xfId="14" applyNumberFormat="1" applyFont="1" applyBorder="1" applyAlignment="1" applyProtection="1">
      <alignment vertical="center" shrinkToFit="1"/>
      <protection locked="0"/>
    </xf>
    <xf numFmtId="3" fontId="19" fillId="0" borderId="425" xfId="14" applyNumberFormat="1" applyFont="1" applyBorder="1" applyAlignment="1" applyProtection="1">
      <alignment vertical="center" shrinkToFit="1"/>
      <protection locked="0"/>
    </xf>
    <xf numFmtId="3" fontId="19" fillId="0" borderId="427" xfId="14" applyNumberFormat="1" applyFont="1" applyBorder="1" applyAlignment="1" applyProtection="1">
      <alignment vertical="center" shrinkToFit="1"/>
      <protection locked="0"/>
    </xf>
    <xf numFmtId="3" fontId="19" fillId="0" borderId="428" xfId="14" applyNumberFormat="1" applyFont="1" applyBorder="1" applyAlignment="1" applyProtection="1">
      <alignment vertical="center" shrinkToFit="1"/>
      <protection locked="0"/>
    </xf>
    <xf numFmtId="0" fontId="19" fillId="0" borderId="429" xfId="14" applyNumberFormat="1" applyFont="1" applyBorder="1" applyAlignment="1" applyProtection="1">
      <alignment horizontal="left" vertical="center" indent="1" shrinkToFit="1"/>
      <protection locked="0"/>
    </xf>
    <xf numFmtId="0" fontId="0" fillId="0" borderId="430" xfId="0" applyBorder="1" applyAlignment="1">
      <alignment horizontal="left" vertical="center" indent="1" shrinkToFit="1"/>
    </xf>
    <xf numFmtId="0" fontId="0" fillId="0" borderId="427" xfId="0" applyBorder="1" applyAlignment="1">
      <alignment horizontal="left" vertical="center" indent="1" shrinkToFit="1"/>
    </xf>
    <xf numFmtId="0" fontId="19" fillId="23" borderId="431" xfId="14" applyNumberFormat="1" applyFont="1" applyFill="1" applyBorder="1" applyAlignment="1" applyProtection="1">
      <alignment horizontal="center" vertical="center" shrinkToFit="1"/>
      <protection locked="0"/>
    </xf>
    <xf numFmtId="0" fontId="19" fillId="24" borderId="431" xfId="14" applyNumberFormat="1" applyFont="1" applyFill="1" applyBorder="1" applyAlignment="1" applyProtection="1">
      <alignment horizontal="center" vertical="center" shrinkToFit="1"/>
      <protection locked="0"/>
    </xf>
    <xf numFmtId="0" fontId="6" fillId="0" borderId="434" xfId="14" applyNumberFormat="1" applyFont="1" applyBorder="1" applyAlignment="1" applyProtection="1">
      <alignment horizontal="center" vertical="center" shrinkToFit="1"/>
      <protection locked="0"/>
    </xf>
    <xf numFmtId="0" fontId="6" fillId="0" borderId="435" xfId="14" applyNumberFormat="1" applyFont="1" applyBorder="1" applyAlignment="1" applyProtection="1">
      <alignment horizontal="center" vertical="center" shrinkToFit="1"/>
      <protection locked="0"/>
    </xf>
    <xf numFmtId="0" fontId="6" fillId="0" borderId="435" xfId="14" applyNumberFormat="1" applyFont="1" applyBorder="1" applyAlignment="1" applyProtection="1">
      <alignment horizontal="left" vertical="center" shrinkToFit="1"/>
      <protection locked="0"/>
    </xf>
    <xf numFmtId="0" fontId="0" fillId="0" borderId="436" xfId="0" applyBorder="1" applyAlignment="1">
      <alignment horizontal="left" vertical="center" shrinkToFit="1"/>
    </xf>
    <xf numFmtId="3" fontId="6" fillId="0" borderId="437" xfId="14" applyNumberFormat="1" applyFont="1" applyBorder="1" applyAlignment="1" applyProtection="1">
      <alignment vertical="center" shrinkToFit="1"/>
      <protection locked="0"/>
    </xf>
    <xf numFmtId="3" fontId="6" fillId="0" borderId="435" xfId="14" applyNumberFormat="1" applyFont="1" applyBorder="1" applyAlignment="1" applyProtection="1">
      <alignment vertical="center" shrinkToFit="1"/>
      <protection locked="0"/>
    </xf>
    <xf numFmtId="3" fontId="6" fillId="0" borderId="438" xfId="14" applyNumberFormat="1" applyFont="1" applyBorder="1" applyAlignment="1" applyProtection="1">
      <alignment vertical="center" shrinkToFit="1"/>
      <protection locked="0"/>
    </xf>
    <xf numFmtId="0" fontId="19" fillId="0" borderId="417" xfId="14" applyNumberFormat="1" applyFont="1" applyBorder="1" applyAlignment="1" applyProtection="1">
      <alignment vertical="center" shrinkToFit="1"/>
      <protection locked="0"/>
    </xf>
    <xf numFmtId="3" fontId="19" fillId="0" borderId="418" xfId="14" applyNumberFormat="1" applyFont="1" applyBorder="1" applyAlignment="1" applyProtection="1">
      <alignment vertical="center" shrinkToFit="1"/>
      <protection locked="0"/>
    </xf>
    <xf numFmtId="3" fontId="19" fillId="0" borderId="417" xfId="14" applyNumberFormat="1" applyFont="1" applyBorder="1" applyAlignment="1" applyProtection="1">
      <alignment vertical="center" shrinkToFit="1"/>
      <protection locked="0"/>
    </xf>
    <xf numFmtId="3" fontId="19" fillId="0" borderId="419" xfId="14" applyNumberFormat="1" applyFont="1" applyBorder="1" applyAlignment="1" applyProtection="1">
      <alignment vertical="center" shrinkToFit="1"/>
      <protection locked="0"/>
    </xf>
    <xf numFmtId="0" fontId="19" fillId="0" borderId="416" xfId="14" applyNumberFormat="1" applyFont="1" applyBorder="1" applyAlignment="1" applyProtection="1">
      <alignment horizontal="center" vertical="center" shrinkToFit="1"/>
      <protection locked="0"/>
    </xf>
    <xf numFmtId="241" fontId="19" fillId="0" borderId="418" xfId="14" applyNumberFormat="1" applyFont="1" applyBorder="1" applyAlignment="1" applyProtection="1">
      <alignment vertical="center" shrinkToFit="1"/>
      <protection locked="0"/>
    </xf>
    <xf numFmtId="0" fontId="6" fillId="0" borderId="314" xfId="14" applyNumberFormat="1" applyFont="1" applyBorder="1" applyAlignment="1" applyProtection="1">
      <alignment shrinkToFit="1"/>
      <protection locked="0"/>
    </xf>
    <xf numFmtId="241" fontId="19" fillId="22" borderId="441" xfId="14" applyNumberFormat="1" applyFont="1" applyFill="1" applyBorder="1" applyAlignment="1" applyProtection="1">
      <alignment vertical="center" shrinkToFit="1"/>
      <protection locked="0"/>
    </xf>
    <xf numFmtId="3" fontId="19" fillId="22" borderId="441" xfId="14" applyNumberFormat="1" applyFont="1" applyFill="1" applyBorder="1" applyAlignment="1" applyProtection="1">
      <alignment vertical="center" shrinkToFit="1"/>
      <protection locked="0"/>
    </xf>
    <xf numFmtId="3" fontId="19" fillId="22" borderId="440" xfId="14" applyNumberFormat="1" applyFont="1" applyFill="1" applyBorder="1" applyAlignment="1" applyProtection="1">
      <alignment vertical="center" shrinkToFit="1"/>
      <protection locked="0"/>
    </xf>
    <xf numFmtId="3" fontId="19" fillId="22" borderId="442" xfId="14" applyNumberFormat="1" applyFont="1" applyFill="1" applyBorder="1" applyAlignment="1" applyProtection="1">
      <alignment vertical="center" shrinkToFit="1"/>
      <protection locked="0"/>
    </xf>
    <xf numFmtId="0" fontId="19" fillId="22" borderId="439" xfId="14" applyNumberFormat="1" applyFont="1" applyFill="1" applyBorder="1" applyAlignment="1" applyProtection="1">
      <alignment horizontal="center" vertical="center" shrinkToFit="1"/>
      <protection locked="0"/>
    </xf>
    <xf numFmtId="0" fontId="2" fillId="22" borderId="440" xfId="0" applyNumberFormat="1" applyFont="1" applyFill="1" applyBorder="1" applyAlignment="1">
      <alignment horizontal="center" vertical="center" shrinkToFit="1"/>
    </xf>
    <xf numFmtId="241" fontId="19" fillId="23" borderId="441" xfId="14" applyNumberFormat="1" applyFont="1" applyFill="1" applyBorder="1" applyAlignment="1" applyProtection="1">
      <alignment vertical="center" shrinkToFit="1"/>
      <protection locked="0"/>
    </xf>
    <xf numFmtId="3" fontId="19" fillId="23" borderId="441" xfId="14" applyNumberFormat="1" applyFont="1" applyFill="1" applyBorder="1" applyAlignment="1" applyProtection="1">
      <alignment vertical="center" shrinkToFit="1"/>
      <protection locked="0"/>
    </xf>
    <xf numFmtId="3" fontId="19" fillId="23" borderId="440" xfId="14" applyNumberFormat="1" applyFont="1" applyFill="1" applyBorder="1" applyAlignment="1" applyProtection="1">
      <alignment vertical="center" shrinkToFit="1"/>
      <protection locked="0"/>
    </xf>
    <xf numFmtId="3" fontId="19" fillId="23" borderId="442" xfId="14" applyNumberFormat="1" applyFont="1" applyFill="1" applyBorder="1" applyAlignment="1" applyProtection="1">
      <alignment vertical="center" shrinkToFit="1"/>
      <protection locked="0"/>
    </xf>
    <xf numFmtId="0" fontId="19" fillId="23" borderId="439" xfId="14" applyNumberFormat="1" applyFont="1" applyFill="1" applyBorder="1" applyAlignment="1" applyProtection="1">
      <alignment horizontal="center" vertical="center" shrinkToFit="1"/>
      <protection locked="0"/>
    </xf>
    <xf numFmtId="0" fontId="2" fillId="23" borderId="440" xfId="0" applyNumberFormat="1" applyFont="1" applyFill="1" applyBorder="1" applyAlignment="1">
      <alignment horizontal="center" vertical="center" shrinkToFit="1"/>
    </xf>
    <xf numFmtId="241" fontId="19" fillId="24" borderId="441" xfId="14" applyNumberFormat="1" applyFont="1" applyFill="1" applyBorder="1" applyAlignment="1" applyProtection="1">
      <alignment vertical="center" shrinkToFit="1"/>
      <protection locked="0"/>
    </xf>
    <xf numFmtId="3" fontId="19" fillId="24" borderId="441" xfId="14" applyNumberFormat="1" applyFont="1" applyFill="1" applyBorder="1" applyAlignment="1" applyProtection="1">
      <alignment vertical="center" shrinkToFit="1"/>
      <protection locked="0"/>
    </xf>
    <xf numFmtId="3" fontId="19" fillId="24" borderId="440" xfId="14" applyNumberFormat="1" applyFont="1" applyFill="1" applyBorder="1" applyAlignment="1" applyProtection="1">
      <alignment vertical="center" shrinkToFit="1"/>
      <protection locked="0"/>
    </xf>
    <xf numFmtId="3" fontId="19" fillId="24" borderId="442" xfId="14" applyNumberFormat="1" applyFont="1" applyFill="1" applyBorder="1" applyAlignment="1" applyProtection="1">
      <alignment vertical="center" shrinkToFit="1"/>
      <protection locked="0"/>
    </xf>
    <xf numFmtId="0" fontId="19" fillId="24" borderId="439" xfId="14" applyNumberFormat="1" applyFont="1" applyFill="1" applyBorder="1" applyAlignment="1" applyProtection="1">
      <alignment horizontal="center" vertical="center" shrinkToFit="1"/>
      <protection locked="0"/>
    </xf>
    <xf numFmtId="0" fontId="2" fillId="24" borderId="440" xfId="0" applyNumberFormat="1" applyFont="1" applyFill="1" applyBorder="1" applyAlignment="1">
      <alignment horizontal="center" vertical="center" shrinkToFit="1"/>
    </xf>
    <xf numFmtId="0" fontId="19" fillId="22" borderId="443" xfId="14" applyNumberFormat="1" applyFont="1" applyFill="1" applyBorder="1" applyAlignment="1">
      <alignment horizontal="center" vertical="center" shrinkToFit="1"/>
    </xf>
    <xf numFmtId="0" fontId="0" fillId="0" borderId="444" xfId="0" applyBorder="1" applyAlignment="1">
      <alignment horizontal="center" vertical="center" shrinkToFit="1"/>
    </xf>
    <xf numFmtId="0" fontId="0" fillId="0" borderId="445" xfId="0" applyBorder="1" applyAlignment="1">
      <alignment horizontal="center" vertical="center" shrinkToFit="1"/>
    </xf>
    <xf numFmtId="241" fontId="19" fillId="22" borderId="446" xfId="14" applyNumberFormat="1" applyFont="1" applyFill="1" applyBorder="1" applyAlignment="1">
      <alignment vertical="center" shrinkToFit="1"/>
    </xf>
    <xf numFmtId="3" fontId="19" fillId="22" borderId="446" xfId="14" applyNumberFormat="1" applyFont="1" applyFill="1" applyBorder="1" applyAlignment="1">
      <alignment vertical="center" shrinkToFit="1"/>
    </xf>
    <xf numFmtId="3" fontId="19" fillId="22" borderId="447" xfId="14" applyNumberFormat="1" applyFont="1" applyFill="1" applyBorder="1" applyAlignment="1">
      <alignment vertical="center" shrinkToFit="1"/>
    </xf>
    <xf numFmtId="3" fontId="51" fillId="22" borderId="447" xfId="14" applyNumberFormat="1" applyFont="1" applyFill="1" applyBorder="1" applyAlignment="1">
      <alignment vertical="center" shrinkToFit="1"/>
    </xf>
    <xf numFmtId="3" fontId="19" fillId="22" borderId="448" xfId="14" applyNumberFormat="1" applyFont="1" applyFill="1" applyBorder="1" applyAlignment="1">
      <alignment vertical="center" shrinkToFit="1"/>
    </xf>
    <xf numFmtId="0" fontId="19" fillId="21" borderId="443" xfId="14" applyNumberFormat="1" applyFont="1" applyFill="1" applyBorder="1" applyAlignment="1">
      <alignment horizontal="center" vertical="center" shrinkToFit="1"/>
    </xf>
    <xf numFmtId="241" fontId="19" fillId="21" borderId="446" xfId="14" applyNumberFormat="1" applyFont="1" applyFill="1" applyBorder="1" applyAlignment="1">
      <alignment vertical="center" shrinkToFit="1"/>
    </xf>
    <xf numFmtId="3" fontId="19" fillId="21" borderId="446" xfId="14" applyNumberFormat="1" applyFont="1" applyFill="1" applyBorder="1" applyAlignment="1">
      <alignment vertical="center" shrinkToFit="1"/>
    </xf>
    <xf numFmtId="3" fontId="19" fillId="21" borderId="447" xfId="14" applyNumberFormat="1" applyFont="1" applyFill="1" applyBorder="1" applyAlignment="1">
      <alignment vertical="center" shrinkToFit="1"/>
    </xf>
    <xf numFmtId="3" fontId="51" fillId="21" borderId="447" xfId="14" applyNumberFormat="1" applyFont="1" applyFill="1" applyBorder="1" applyAlignment="1">
      <alignment vertical="center" shrinkToFit="1"/>
    </xf>
    <xf numFmtId="3" fontId="19" fillId="21" borderId="448" xfId="14" applyNumberFormat="1" applyFont="1" applyFill="1" applyBorder="1" applyAlignment="1">
      <alignment vertical="center" shrinkToFit="1"/>
    </xf>
    <xf numFmtId="0" fontId="19" fillId="21" borderId="429" xfId="14" applyNumberFormat="1" applyFont="1" applyFill="1" applyBorder="1" applyAlignment="1">
      <alignment horizontal="center" vertical="center" shrinkToFit="1"/>
    </xf>
    <xf numFmtId="0" fontId="0" fillId="0" borderId="452" xfId="0" applyBorder="1" applyAlignment="1">
      <alignment horizontal="center" vertical="center" shrinkToFit="1"/>
    </xf>
    <xf numFmtId="241" fontId="19" fillId="21" borderId="449" xfId="14" applyNumberFormat="1" applyFont="1" applyFill="1" applyBorder="1" applyAlignment="1">
      <alignment vertical="center" shrinkToFit="1"/>
    </xf>
    <xf numFmtId="3" fontId="19" fillId="21" borderId="449" xfId="14" applyNumberFormat="1" applyFont="1" applyFill="1" applyBorder="1" applyAlignment="1">
      <alignment vertical="center" shrinkToFit="1"/>
    </xf>
    <xf numFmtId="3" fontId="19" fillId="21" borderId="450" xfId="14" applyNumberFormat="1" applyFont="1" applyFill="1" applyBorder="1" applyAlignment="1">
      <alignment vertical="center" shrinkToFit="1"/>
    </xf>
    <xf numFmtId="3" fontId="19" fillId="21" borderId="451" xfId="14" applyNumberFormat="1" applyFont="1" applyFill="1" applyBorder="1" applyAlignment="1">
      <alignment vertical="center" shrinkToFit="1"/>
    </xf>
    <xf numFmtId="3" fontId="51" fillId="21" borderId="450" xfId="14" applyNumberFormat="1" applyFont="1" applyFill="1" applyBorder="1" applyAlignment="1">
      <alignment vertical="center" shrinkToFit="1"/>
    </xf>
    <xf numFmtId="0" fontId="19" fillId="23" borderId="443" xfId="14" applyNumberFormat="1" applyFont="1" applyFill="1" applyBorder="1" applyAlignment="1">
      <alignment horizontal="center" vertical="center" shrinkToFit="1"/>
    </xf>
    <xf numFmtId="241" fontId="19" fillId="23" borderId="446" xfId="14" applyNumberFormat="1" applyFont="1" applyFill="1" applyBorder="1" applyAlignment="1">
      <alignment vertical="center" shrinkToFit="1"/>
    </xf>
    <xf numFmtId="3" fontId="19" fillId="23" borderId="446" xfId="14" applyNumberFormat="1" applyFont="1" applyFill="1" applyBorder="1" applyAlignment="1">
      <alignment vertical="center" shrinkToFit="1"/>
    </xf>
    <xf numFmtId="3" fontId="19" fillId="23" borderId="447" xfId="14" applyNumberFormat="1" applyFont="1" applyFill="1" applyBorder="1" applyAlignment="1">
      <alignment vertical="center" shrinkToFit="1"/>
    </xf>
    <xf numFmtId="3" fontId="51" fillId="23" borderId="447" xfId="14" applyNumberFormat="1" applyFont="1" applyFill="1" applyBorder="1" applyAlignment="1">
      <alignment vertical="center" shrinkToFit="1"/>
    </xf>
    <xf numFmtId="3" fontId="19" fillId="23" borderId="448" xfId="14" applyNumberFormat="1" applyFont="1" applyFill="1" applyBorder="1" applyAlignment="1">
      <alignment vertical="center" shrinkToFit="1"/>
    </xf>
    <xf numFmtId="0" fontId="19" fillId="24" borderId="453" xfId="14" applyNumberFormat="1" applyFont="1" applyFill="1" applyBorder="1" applyAlignment="1" applyProtection="1">
      <alignment horizontal="center" vertical="center" shrinkToFit="1"/>
      <protection locked="0"/>
    </xf>
    <xf numFmtId="0" fontId="2" fillId="24" borderId="454" xfId="0" applyNumberFormat="1" applyFont="1" applyFill="1" applyBorder="1" applyAlignment="1">
      <alignment horizontal="center" vertical="center" shrinkToFit="1"/>
    </xf>
    <xf numFmtId="241" fontId="19" fillId="24" borderId="455" xfId="14" applyNumberFormat="1" applyFont="1" applyFill="1" applyBorder="1" applyAlignment="1" applyProtection="1">
      <alignment vertical="center" shrinkToFit="1"/>
      <protection locked="0"/>
    </xf>
    <xf numFmtId="3" fontId="19" fillId="24" borderId="455" xfId="14" applyNumberFormat="1" applyFont="1" applyFill="1" applyBorder="1" applyAlignment="1" applyProtection="1">
      <alignment vertical="center" shrinkToFit="1"/>
      <protection locked="0"/>
    </xf>
    <xf numFmtId="3" fontId="19" fillId="24" borderId="454" xfId="14" applyNumberFormat="1" applyFont="1" applyFill="1" applyBorder="1" applyAlignment="1" applyProtection="1">
      <alignment vertical="center" shrinkToFit="1"/>
      <protection locked="0"/>
    </xf>
    <xf numFmtId="3" fontId="19" fillId="24" borderId="456" xfId="14" applyNumberFormat="1" applyFont="1" applyFill="1" applyBorder="1" applyAlignment="1" applyProtection="1">
      <alignment vertical="center" shrinkToFit="1"/>
      <protection locked="0"/>
    </xf>
    <xf numFmtId="183" fontId="6" fillId="18" borderId="213" xfId="14" applyNumberFormat="1" applyFont="1" applyFill="1" applyBorder="1" applyAlignment="1" applyProtection="1">
      <alignment horizontal="center" vertical="center" shrinkToFit="1"/>
      <protection locked="0"/>
    </xf>
    <xf numFmtId="183" fontId="6" fillId="17" borderId="262" xfId="14" applyNumberFormat="1" applyFont="1" applyFill="1" applyBorder="1" applyAlignment="1" applyProtection="1">
      <alignment horizontal="center" vertical="center" shrinkToFit="1"/>
      <protection locked="0"/>
    </xf>
    <xf numFmtId="0" fontId="6" fillId="3" borderId="61" xfId="14" applyNumberFormat="1" applyFont="1" applyFill="1" applyBorder="1" applyAlignment="1" applyProtection="1">
      <alignment horizontal="center" vertical="center"/>
      <protection locked="0"/>
    </xf>
    <xf numFmtId="242" fontId="3" fillId="2" borderId="3" xfId="14" applyNumberFormat="1" applyFont="1" applyFill="1" applyBorder="1" applyAlignment="1" applyProtection="1">
      <alignment horizontal="left"/>
      <protection locked="0"/>
    </xf>
    <xf numFmtId="0" fontId="3" fillId="2" borderId="3" xfId="14" applyFont="1" applyFill="1" applyBorder="1" applyProtection="1">
      <protection locked="0"/>
    </xf>
    <xf numFmtId="0" fontId="6" fillId="3" borderId="50" xfId="14" applyNumberFormat="1" applyFont="1" applyFill="1" applyBorder="1" applyAlignment="1" applyProtection="1">
      <alignment horizontal="center" vertical="center"/>
      <protection locked="0"/>
    </xf>
    <xf numFmtId="3" fontId="51" fillId="21" borderId="446" xfId="14" applyNumberFormat="1" applyFont="1" applyFill="1" applyBorder="1" applyAlignment="1">
      <alignment vertical="center" shrinkToFit="1"/>
    </xf>
    <xf numFmtId="3" fontId="19" fillId="21" borderId="448" xfId="14" applyNumberFormat="1" applyFont="1" applyFill="1" applyBorder="1" applyAlignment="1">
      <alignment vertical="center"/>
    </xf>
    <xf numFmtId="3" fontId="51" fillId="21" borderId="449" xfId="14" applyNumberFormat="1" applyFont="1" applyFill="1" applyBorder="1" applyAlignment="1">
      <alignment vertical="center" shrinkToFit="1"/>
    </xf>
    <xf numFmtId="0" fontId="6" fillId="0" borderId="457" xfId="14" applyNumberFormat="1" applyFont="1" applyBorder="1" applyAlignment="1" applyProtection="1">
      <alignment horizontal="center" vertical="center" shrinkToFit="1"/>
      <protection locked="0"/>
    </xf>
    <xf numFmtId="0" fontId="6" fillId="0" borderId="107" xfId="14" applyNumberFormat="1" applyFont="1" applyBorder="1" applyAlignment="1" applyProtection="1">
      <alignment horizontal="center" shrinkToFit="1"/>
      <protection locked="0"/>
    </xf>
    <xf numFmtId="0" fontId="6" fillId="0" borderId="458" xfId="14" applyNumberFormat="1" applyFont="1" applyBorder="1" applyAlignment="1" applyProtection="1">
      <alignment horizontal="left" shrinkToFit="1"/>
      <protection locked="0"/>
    </xf>
    <xf numFmtId="0" fontId="0" fillId="0" borderId="223" xfId="0" applyBorder="1" applyAlignment="1">
      <alignment horizontal="left" shrinkToFit="1"/>
    </xf>
    <xf numFmtId="239" fontId="6" fillId="0" borderId="155" xfId="14" applyNumberFormat="1" applyFont="1" applyBorder="1" applyAlignment="1" applyProtection="1">
      <alignment shrinkToFit="1"/>
      <protection locked="0"/>
    </xf>
    <xf numFmtId="239" fontId="6" fillId="0" borderId="135" xfId="14" applyNumberFormat="1" applyFont="1" applyBorder="1" applyAlignment="1" applyProtection="1">
      <alignment shrinkToFit="1"/>
      <protection locked="0"/>
    </xf>
    <xf numFmtId="0" fontId="6" fillId="0" borderId="135" xfId="14" applyNumberFormat="1" applyFont="1" applyBorder="1" applyAlignment="1" applyProtection="1">
      <alignment shrinkToFit="1"/>
      <protection locked="0"/>
    </xf>
    <xf numFmtId="239" fontId="6" fillId="0" borderId="199" xfId="14" applyNumberFormat="1" applyFont="1" applyBorder="1" applyAlignment="1" applyProtection="1">
      <alignment horizontal="center" shrinkToFit="1"/>
      <protection locked="0"/>
    </xf>
    <xf numFmtId="0" fontId="6" fillId="3" borderId="213" xfId="14" applyNumberFormat="1" applyFont="1" applyFill="1" applyBorder="1" applyAlignment="1" applyProtection="1">
      <alignment horizontal="center" vertical="center" wrapText="1"/>
      <protection locked="0"/>
    </xf>
    <xf numFmtId="0" fontId="6" fillId="3" borderId="107" xfId="14" applyFont="1" applyFill="1" applyBorder="1" applyAlignment="1" applyProtection="1">
      <alignment horizontal="center" vertical="center" wrapText="1" shrinkToFit="1"/>
      <protection locked="0"/>
    </xf>
    <xf numFmtId="0" fontId="6" fillId="3" borderId="107" xfId="14" applyFont="1" applyFill="1" applyBorder="1" applyAlignment="1" applyProtection="1">
      <alignment horizontal="center" vertical="center" wrapText="1" shrinkToFit="1"/>
      <protection locked="0"/>
    </xf>
    <xf numFmtId="0" fontId="6" fillId="18" borderId="209" xfId="14" applyNumberFormat="1" applyFont="1" applyFill="1" applyBorder="1" applyAlignment="1" applyProtection="1">
      <alignment horizontal="center" vertical="center"/>
      <protection locked="0"/>
    </xf>
    <xf numFmtId="0" fontId="6" fillId="18" borderId="84" xfId="14" applyNumberFormat="1" applyFont="1" applyFill="1" applyBorder="1" applyAlignment="1" applyProtection="1">
      <alignment horizontal="center" vertical="center"/>
      <protection locked="0"/>
    </xf>
    <xf numFmtId="0" fontId="6" fillId="18" borderId="370" xfId="14" applyNumberFormat="1" applyFont="1" applyFill="1" applyBorder="1" applyAlignment="1" applyProtection="1">
      <alignment horizontal="center" vertical="center"/>
      <protection locked="0"/>
    </xf>
    <xf numFmtId="0" fontId="6" fillId="17" borderId="209" xfId="14" applyNumberFormat="1" applyFont="1" applyFill="1" applyBorder="1" applyAlignment="1" applyProtection="1">
      <alignment horizontal="center" vertical="center"/>
      <protection locked="0"/>
    </xf>
    <xf numFmtId="0" fontId="6" fillId="17" borderId="84" xfId="14" applyNumberFormat="1" applyFont="1" applyFill="1" applyBorder="1" applyAlignment="1" applyProtection="1">
      <alignment horizontal="center" vertical="center"/>
      <protection locked="0"/>
    </xf>
    <xf numFmtId="0" fontId="6" fillId="17" borderId="370" xfId="14" applyNumberFormat="1" applyFont="1" applyFill="1" applyBorder="1" applyAlignment="1" applyProtection="1">
      <alignment horizontal="center" vertical="center"/>
      <protection locked="0"/>
    </xf>
    <xf numFmtId="0" fontId="6" fillId="3" borderId="223" xfId="14" applyFont="1" applyFill="1" applyBorder="1" applyAlignment="1" applyProtection="1">
      <alignment horizontal="center" vertical="center" wrapText="1" shrinkToFit="1"/>
      <protection locked="0"/>
    </xf>
    <xf numFmtId="0" fontId="6" fillId="3" borderId="395" xfId="14" applyFont="1" applyFill="1" applyBorder="1" applyAlignment="1" applyProtection="1">
      <alignment horizontal="center" vertical="center" wrapText="1" shrinkToFit="1"/>
      <protection locked="0"/>
    </xf>
    <xf numFmtId="0" fontId="6" fillId="3" borderId="225" xfId="14" applyFont="1" applyFill="1" applyBorder="1" applyAlignment="1" applyProtection="1">
      <alignment horizontal="center" vertical="center" wrapText="1" shrinkToFit="1"/>
      <protection locked="0"/>
    </xf>
    <xf numFmtId="0" fontId="6" fillId="3" borderId="25" xfId="14" applyFont="1" applyFill="1" applyBorder="1" applyAlignment="1" applyProtection="1">
      <alignment horizontal="center" vertical="center" wrapText="1" shrinkToFit="1"/>
      <protection locked="0"/>
    </xf>
    <xf numFmtId="0" fontId="53" fillId="0" borderId="0" xfId="13" applyFont="1">
      <alignment vertical="center"/>
    </xf>
    <xf numFmtId="0" fontId="54" fillId="2" borderId="4" xfId="14" applyFont="1" applyFill="1" applyBorder="1"/>
    <xf numFmtId="242" fontId="54" fillId="2" borderId="3" xfId="14" applyNumberFormat="1" applyFont="1" applyFill="1" applyBorder="1" applyAlignment="1" applyProtection="1">
      <alignment horizontal="left"/>
      <protection locked="0"/>
    </xf>
    <xf numFmtId="0" fontId="54" fillId="2" borderId="3" xfId="14" applyFont="1" applyFill="1" applyBorder="1" applyProtection="1">
      <protection locked="0"/>
    </xf>
    <xf numFmtId="194" fontId="55" fillId="2" borderId="3" xfId="14" applyNumberFormat="1" applyFont="1" applyFill="1" applyBorder="1" applyProtection="1">
      <protection locked="0"/>
    </xf>
    <xf numFmtId="194" fontId="54" fillId="2" borderId="3" xfId="14" applyNumberFormat="1" applyFont="1" applyFill="1" applyBorder="1" applyProtection="1">
      <protection locked="0"/>
    </xf>
    <xf numFmtId="0" fontId="55" fillId="2" borderId="2" xfId="14" applyNumberFormat="1" applyFont="1" applyFill="1" applyBorder="1" applyAlignment="1" applyProtection="1">
      <alignment horizontal="left" vertical="center" indent="1"/>
      <protection locked="0"/>
    </xf>
    <xf numFmtId="0" fontId="6" fillId="3" borderId="262" xfId="14" applyFont="1" applyFill="1" applyBorder="1" applyAlignment="1" applyProtection="1">
      <alignment horizontal="center" vertical="center" wrapText="1" shrinkToFit="1"/>
      <protection locked="0"/>
    </xf>
    <xf numFmtId="239" fontId="19" fillId="0" borderId="426" xfId="14" applyNumberFormat="1" applyFont="1" applyBorder="1" applyAlignment="1" applyProtection="1">
      <alignment horizontal="center" vertical="center" shrinkToFit="1"/>
      <protection locked="0"/>
    </xf>
    <xf numFmtId="0" fontId="19" fillId="0" borderId="425" xfId="14" applyNumberFormat="1" applyFont="1" applyBorder="1" applyAlignment="1" applyProtection="1">
      <alignment vertical="center" shrinkToFit="1"/>
      <protection locked="0"/>
    </xf>
    <xf numFmtId="239" fontId="19" fillId="0" borderId="425" xfId="14" applyNumberFormat="1" applyFont="1" applyBorder="1" applyAlignment="1" applyProtection="1">
      <alignment vertical="center" shrinkToFit="1"/>
      <protection locked="0"/>
    </xf>
    <xf numFmtId="239" fontId="19" fillId="0" borderId="427" xfId="14" applyNumberFormat="1" applyFont="1" applyBorder="1" applyAlignment="1" applyProtection="1">
      <alignment vertical="center" shrinkToFit="1"/>
      <protection locked="0"/>
    </xf>
    <xf numFmtId="228" fontId="19" fillId="0" borderId="428" xfId="14" applyNumberFormat="1" applyFont="1" applyBorder="1" applyAlignment="1" applyProtection="1">
      <alignment vertical="center" shrinkToFit="1"/>
      <protection locked="0"/>
    </xf>
    <xf numFmtId="239" fontId="6" fillId="0" borderId="262" xfId="14" applyNumberFormat="1" applyFont="1" applyBorder="1" applyAlignment="1" applyProtection="1">
      <alignment horizontal="center" shrinkToFit="1"/>
      <protection locked="0"/>
    </xf>
    <xf numFmtId="0" fontId="6" fillId="0" borderId="107" xfId="14" applyNumberFormat="1" applyFont="1" applyBorder="1" applyAlignment="1" applyProtection="1">
      <alignment shrinkToFit="1"/>
      <protection locked="0"/>
    </xf>
    <xf numFmtId="239" fontId="6" fillId="0" borderId="107" xfId="14" applyNumberFormat="1" applyFont="1" applyBorder="1" applyAlignment="1" applyProtection="1">
      <alignment shrinkToFit="1"/>
      <protection locked="0"/>
    </xf>
    <xf numFmtId="239" fontId="6" fillId="0" borderId="213" xfId="14" applyNumberFormat="1" applyFont="1" applyBorder="1" applyAlignment="1" applyProtection="1">
      <alignment shrinkToFit="1"/>
      <protection locked="0"/>
    </xf>
    <xf numFmtId="239" fontId="19" fillId="0" borderId="418" xfId="14" applyNumberFormat="1" applyFont="1" applyBorder="1" applyAlignment="1" applyProtection="1">
      <alignment horizontal="center" vertical="center" shrinkToFit="1"/>
      <protection locked="0"/>
    </xf>
    <xf numFmtId="239" fontId="19" fillId="0" borderId="418" xfId="14" applyNumberFormat="1" applyFont="1" applyBorder="1" applyAlignment="1" applyProtection="1">
      <alignment vertical="center" shrinkToFit="1"/>
      <protection locked="0"/>
    </xf>
    <xf numFmtId="239" fontId="19" fillId="0" borderId="417" xfId="14" applyNumberFormat="1" applyFont="1" applyBorder="1" applyAlignment="1" applyProtection="1">
      <alignment vertical="center" shrinkToFit="1"/>
      <protection locked="0"/>
    </xf>
    <xf numFmtId="228" fontId="19" fillId="0" borderId="419" xfId="14" applyNumberFormat="1" applyFont="1" applyBorder="1" applyAlignment="1" applyProtection="1">
      <alignment vertical="center" shrinkToFit="1"/>
      <protection locked="0"/>
    </xf>
    <xf numFmtId="239" fontId="19" fillId="21" borderId="446" xfId="14" applyNumberFormat="1" applyFont="1" applyFill="1" applyBorder="1" applyAlignment="1">
      <alignment vertical="center" shrinkToFit="1"/>
    </xf>
    <xf numFmtId="0" fontId="19" fillId="21" borderId="447" xfId="14" applyNumberFormat="1" applyFont="1" applyFill="1" applyBorder="1" applyAlignment="1">
      <alignment vertical="center" shrinkToFit="1"/>
    </xf>
    <xf numFmtId="239" fontId="51" fillId="21" borderId="446" xfId="14" applyNumberFormat="1" applyFont="1" applyFill="1" applyBorder="1" applyAlignment="1">
      <alignment vertical="center" shrinkToFit="1"/>
    </xf>
    <xf numFmtId="239" fontId="51" fillId="21" borderId="447" xfId="14" applyNumberFormat="1" applyFont="1" applyFill="1" applyBorder="1" applyAlignment="1">
      <alignment vertical="center" shrinkToFit="1"/>
    </xf>
    <xf numFmtId="239" fontId="19" fillId="21" borderId="447" xfId="14" applyNumberFormat="1" applyFont="1" applyFill="1" applyBorder="1" applyAlignment="1">
      <alignment vertical="center" shrinkToFit="1"/>
    </xf>
    <xf numFmtId="228" fontId="19" fillId="21" borderId="448" xfId="14" applyNumberFormat="1" applyFont="1" applyFill="1" applyBorder="1" applyAlignment="1">
      <alignment vertical="center" shrinkToFit="1"/>
    </xf>
    <xf numFmtId="239" fontId="19" fillId="21" borderId="449" xfId="14" applyNumberFormat="1" applyFont="1" applyFill="1" applyBorder="1" applyAlignment="1">
      <alignment vertical="center" shrinkToFit="1"/>
    </xf>
    <xf numFmtId="0" fontId="19" fillId="21" borderId="450" xfId="14" applyNumberFormat="1" applyFont="1" applyFill="1" applyBorder="1" applyAlignment="1">
      <alignment vertical="center" shrinkToFit="1"/>
    </xf>
    <xf numFmtId="239" fontId="19" fillId="21" borderId="450" xfId="14" applyNumberFormat="1" applyFont="1" applyFill="1" applyBorder="1" applyAlignment="1">
      <alignment vertical="center" shrinkToFit="1"/>
    </xf>
    <xf numFmtId="228" fontId="19" fillId="21" borderId="451" xfId="14" applyNumberFormat="1" applyFont="1" applyFill="1" applyBorder="1" applyAlignment="1">
      <alignment vertical="center" shrinkToFit="1"/>
    </xf>
    <xf numFmtId="0" fontId="56" fillId="0" borderId="0" xfId="19" applyFont="1" applyProtection="1">
      <protection locked="0"/>
    </xf>
    <xf numFmtId="0" fontId="56" fillId="0" borderId="0" xfId="19" applyFont="1" applyAlignment="1" applyProtection="1">
      <alignment horizontal="center"/>
      <protection locked="0"/>
    </xf>
    <xf numFmtId="0" fontId="56" fillId="0" borderId="0" xfId="19" applyFont="1" applyBorder="1" applyProtection="1">
      <protection locked="0"/>
    </xf>
    <xf numFmtId="0" fontId="56" fillId="0" borderId="0" xfId="19" applyFont="1" applyBorder="1" applyAlignment="1" applyProtection="1">
      <alignment horizontal="center"/>
      <protection locked="0"/>
    </xf>
    <xf numFmtId="0" fontId="56" fillId="0" borderId="0" xfId="19" applyFont="1" applyAlignment="1" applyProtection="1">
      <alignment horizontal="center"/>
      <protection locked="0"/>
    </xf>
    <xf numFmtId="0" fontId="57" fillId="0" borderId="0" xfId="19" applyFont="1" applyAlignment="1" applyProtection="1">
      <alignment horizontal="center"/>
      <protection locked="0"/>
    </xf>
    <xf numFmtId="0" fontId="32" fillId="0" borderId="0" xfId="19" applyFont="1" applyAlignment="1" applyProtection="1">
      <alignment horizontal="center" shrinkToFit="1"/>
      <protection locked="0"/>
    </xf>
    <xf numFmtId="176" fontId="6" fillId="0" borderId="0" xfId="19" applyNumberFormat="1" applyFont="1" applyProtection="1"/>
    <xf numFmtId="0" fontId="6" fillId="0" borderId="0" xfId="19" applyFont="1" applyProtection="1">
      <protection locked="0"/>
    </xf>
    <xf numFmtId="55" fontId="57" fillId="0" borderId="0" xfId="19" applyNumberFormat="1" applyFont="1" applyAlignment="1" applyProtection="1">
      <alignment horizontal="center"/>
      <protection locked="0"/>
    </xf>
  </cellXfs>
  <cellStyles count="20">
    <cellStyle name="桁区切り 2" xfId="12"/>
    <cellStyle name="標準" xfId="0" builtinId="0"/>
    <cellStyle name="標準 15" xfId="18"/>
    <cellStyle name="標準 2 2" xfId="3"/>
    <cellStyle name="標準 9 2 2" xfId="13"/>
    <cellStyle name="標準_A4横表紙_1" xfId="19"/>
    <cellStyle name="標準_Book2" xfId="4"/>
    <cellStyle name="標準_K値テーブル" xfId="8"/>
    <cellStyle name="標準_ｴｱﾊﾝ" xfId="14"/>
    <cellStyle name="標準_外部遮蔽_1" xfId="9"/>
    <cellStyle name="標準_空気線図" xfId="16"/>
    <cellStyle name="標準_空気線図_1" xfId="17"/>
    <cellStyle name="標準_空気線図リンクサンプル" xfId="15"/>
    <cellStyle name="標準_熱通過率" xfId="10"/>
    <cellStyle name="標準_熱負荷_1" xfId="1"/>
    <cellStyle name="標準_熱負荷計算書" xfId="2"/>
    <cellStyle name="標準_負荷計算" xfId="11"/>
    <cellStyle name="標準_負荷計算2000_1" xfId="5"/>
    <cellStyle name="標準_負荷計算2000_K値テーブル" xfId="7"/>
    <cellStyle name="標準_負荷計算基礎データ"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33F5-4977-9D82-812B15A3C11A}"/>
            </c:ext>
          </c:extLst>
        </c:ser>
        <c:ser>
          <c:idx val="1"/>
          <c:order val="1"/>
          <c:tx>
            <c:v>比エンタルピ座標軸</c:v>
          </c:tx>
          <c:spPr>
            <a:ln w="3175">
              <a:solidFill>
                <a:srgbClr val="000000"/>
              </a:solidFill>
              <a:prstDash val="solid"/>
            </a:ln>
          </c:spPr>
          <c:marker>
            <c:symbol val="none"/>
          </c:marker>
          <c:xVal>
            <c:numLit>
              <c:formatCode>General</c:formatCode>
              <c:ptCount val="2"/>
              <c:pt idx="0">
                <c:v>-10.178169782224485</c:v>
              </c:pt>
              <c:pt idx="1">
                <c:v>26.408799999999999</c:v>
              </c:pt>
            </c:numLit>
          </c:xVal>
          <c:yVal>
            <c:numLit>
              <c:formatCode>General</c:formatCode>
              <c:ptCount val="2"/>
              <c:pt idx="0">
                <c:v>2.4560824455002899E-3</c:v>
              </c:pt>
              <c:pt idx="1">
                <c:v>3.4000000000000002E-2</c:v>
              </c:pt>
            </c:numLit>
          </c:yVal>
          <c:smooth val="0"/>
          <c:extLst>
            <c:ext xmlns:c16="http://schemas.microsoft.com/office/drawing/2014/chart" uri="{C3380CC4-5D6E-409C-BE32-E72D297353CC}">
              <c16:uniqueId val="{00000001-33F5-4977-9D82-812B15A3C11A}"/>
            </c:ext>
          </c:extLst>
        </c:ser>
        <c:ser>
          <c:idx val="2"/>
          <c:order val="2"/>
          <c:tx>
            <c:v>比エンタルピ座標軸ラベル</c:v>
          </c:tx>
          <c:spPr>
            <a:ln w="3175">
              <a:solidFill>
                <a:srgbClr val="000000"/>
              </a:solidFill>
              <a:prstDash val="solid"/>
            </a:ln>
          </c:spPr>
          <c:marker>
            <c:symbol val="none"/>
          </c:marker>
          <c:dLbls>
            <c:dLbl>
              <c:idx val="0"/>
              <c:layout>
                <c:manualLayout>
                  <c:x val="-7.7204861111111106E-2"/>
                  <c:y val="-3.9173336640061513E-17"/>
                </c:manualLayout>
              </c:layout>
              <c:tx>
                <c:rich>
                  <a:bodyPr rot="-294000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比エンタルピ </a:t>
                    </a:r>
                    <a:r>
                      <a:rPr lang="en-US"/>
                      <a:t>h [kJ/kg(DA)]
</a:t>
                    </a:r>
                  </a:p>
                </c:rich>
              </c:tx>
              <c:spPr>
                <a:solidFill>
                  <a:srgbClr val="FFFFFF">
                    <a:alpha val="0"/>
                  </a:srgbClr>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2-33F5-4977-9D82-812B15A3C1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11.774012087110206</c:v>
              </c:pt>
            </c:numLit>
          </c:xVal>
          <c:yVal>
            <c:numLit>
              <c:formatCode>General</c:formatCode>
              <c:ptCount val="1"/>
              <c:pt idx="0">
                <c:v>2.1382432978200118E-2</c:v>
              </c:pt>
            </c:numLit>
          </c:yVal>
          <c:smooth val="0"/>
          <c:extLst>
            <c:ext xmlns:c16="http://schemas.microsoft.com/office/drawing/2014/chart" uri="{C3380CC4-5D6E-409C-BE32-E72D297353CC}">
              <c16:uniqueId val="{00000003-33F5-4977-9D82-812B15A3C11A}"/>
            </c:ext>
          </c:extLst>
        </c:ser>
        <c:ser>
          <c:idx val="3"/>
          <c:order val="3"/>
          <c:tx>
            <c:v>h=-9</c:v>
          </c:tx>
          <c:spPr>
            <a:ln w="3175">
              <a:solidFill>
                <a:srgbClr val="808080"/>
              </a:solidFill>
              <a:prstDash val="solid"/>
            </a:ln>
          </c:spPr>
          <c:marker>
            <c:symbol val="none"/>
          </c:marker>
          <c:xVal>
            <c:numLit>
              <c:formatCode>General</c:formatCode>
              <c:ptCount val="2"/>
              <c:pt idx="0">
                <c:v>-11.760874015442164</c:v>
              </c:pt>
              <c:pt idx="1">
                <c:v>-11.460874015442165</c:v>
              </c:pt>
            </c:numLit>
          </c:xVal>
          <c:yVal>
            <c:numLit>
              <c:formatCode>General</c:formatCode>
              <c:ptCount val="2"/>
              <c:pt idx="0">
                <c:v>1.0915340244929911E-3</c:v>
              </c:pt>
              <c:pt idx="1">
                <c:v>9.7292658151792533E-4</c:v>
              </c:pt>
            </c:numLit>
          </c:yVal>
          <c:smooth val="0"/>
          <c:extLst>
            <c:ext xmlns:c16="http://schemas.microsoft.com/office/drawing/2014/chart" uri="{C3380CC4-5D6E-409C-BE32-E72D297353CC}">
              <c16:uniqueId val="{00000004-33F5-4977-9D82-812B15A3C11A}"/>
            </c:ext>
          </c:extLst>
        </c:ser>
        <c:ser>
          <c:idx val="4"/>
          <c:order val="4"/>
          <c:tx>
            <c:v>h=-8</c:v>
          </c:tx>
          <c:spPr>
            <a:ln w="3175">
              <a:solidFill>
                <a:srgbClr val="808080"/>
              </a:solidFill>
              <a:prstDash val="solid"/>
            </a:ln>
          </c:spPr>
          <c:marker>
            <c:symbol val="none"/>
          </c:marker>
          <c:xVal>
            <c:numLit>
              <c:formatCode>General</c:formatCode>
              <c:ptCount val="2"/>
              <c:pt idx="0">
                <c:v>-11.452465233740831</c:v>
              </c:pt>
              <c:pt idx="1">
                <c:v>-11.152465233740831</c:v>
              </c:pt>
            </c:numLit>
          </c:xVal>
          <c:yVal>
            <c:numLit>
              <c:formatCode>General</c:formatCode>
              <c:ptCount val="2"/>
              <c:pt idx="0">
                <c:v>1.3574325463158354E-3</c:v>
              </c:pt>
              <c:pt idx="1">
                <c:v>1.2394792183822454E-3</c:v>
              </c:pt>
            </c:numLit>
          </c:yVal>
          <c:smooth val="0"/>
          <c:extLst>
            <c:ext xmlns:c16="http://schemas.microsoft.com/office/drawing/2014/chart" uri="{C3380CC4-5D6E-409C-BE32-E72D297353CC}">
              <c16:uniqueId val="{00000005-33F5-4977-9D82-812B15A3C11A}"/>
            </c:ext>
          </c:extLst>
        </c:ser>
        <c:ser>
          <c:idx val="5"/>
          <c:order val="5"/>
          <c:tx>
            <c:v>h=-7</c:v>
          </c:tx>
          <c:spPr>
            <a:ln w="3175">
              <a:solidFill>
                <a:srgbClr val="808080"/>
              </a:solidFill>
              <a:prstDash val="solid"/>
            </a:ln>
          </c:spPr>
          <c:marker>
            <c:symbol val="none"/>
          </c:marker>
          <c:xVal>
            <c:numLit>
              <c:formatCode>General</c:formatCode>
              <c:ptCount val="2"/>
              <c:pt idx="0">
                <c:v>-11.144056452039498</c:v>
              </c:pt>
              <c:pt idx="1">
                <c:v>-10.844056452039498</c:v>
              </c:pt>
            </c:numLit>
          </c:xVal>
          <c:yVal>
            <c:numLit>
              <c:formatCode>General</c:formatCode>
              <c:ptCount val="2"/>
              <c:pt idx="0">
                <c:v>1.6233310681386798E-3</c:v>
              </c:pt>
              <c:pt idx="1">
                <c:v>1.5058135279994939E-3</c:v>
              </c:pt>
            </c:numLit>
          </c:yVal>
          <c:smooth val="0"/>
          <c:extLst>
            <c:ext xmlns:c16="http://schemas.microsoft.com/office/drawing/2014/chart" uri="{C3380CC4-5D6E-409C-BE32-E72D297353CC}">
              <c16:uniqueId val="{00000006-33F5-4977-9D82-812B15A3C11A}"/>
            </c:ext>
          </c:extLst>
        </c:ser>
        <c:ser>
          <c:idx val="6"/>
          <c:order val="6"/>
          <c:tx>
            <c:v>h=-6</c:v>
          </c:tx>
          <c:spPr>
            <a:ln w="3175">
              <a:solidFill>
                <a:srgbClr val="808080"/>
              </a:solidFill>
              <a:prstDash val="solid"/>
            </a:ln>
          </c:spPr>
          <c:marker>
            <c:symbol val="none"/>
          </c:marker>
          <c:xVal>
            <c:numLit>
              <c:formatCode>General</c:formatCode>
              <c:ptCount val="2"/>
              <c:pt idx="0">
                <c:v>-10.835647670338163</c:v>
              </c:pt>
              <c:pt idx="1">
                <c:v>-10.535647670338165</c:v>
              </c:pt>
            </c:numLit>
          </c:xVal>
          <c:yVal>
            <c:numLit>
              <c:formatCode>General</c:formatCode>
              <c:ptCount val="2"/>
              <c:pt idx="0">
                <c:v>1.8892295899615242E-3</c:v>
              </c:pt>
              <c:pt idx="1">
                <c:v>1.7720231854368492E-3</c:v>
              </c:pt>
            </c:numLit>
          </c:yVal>
          <c:smooth val="0"/>
          <c:extLst>
            <c:ext xmlns:c16="http://schemas.microsoft.com/office/drawing/2014/chart" uri="{C3380CC4-5D6E-409C-BE32-E72D297353CC}">
              <c16:uniqueId val="{00000007-33F5-4977-9D82-812B15A3C11A}"/>
            </c:ext>
          </c:extLst>
        </c:ser>
        <c:ser>
          <c:idx val="7"/>
          <c:order val="7"/>
          <c:tx>
            <c:v>h=-5</c:v>
          </c:tx>
          <c:spPr>
            <a:ln w="3175">
              <a:solidFill>
                <a:srgbClr val="808080"/>
              </a:solidFill>
              <a:prstDash val="solid"/>
            </a:ln>
          </c:spPr>
          <c:marker>
            <c:symbol val="none"/>
          </c:marker>
          <c:dLbls>
            <c:dLbl>
              <c:idx val="0"/>
              <c:layout>
                <c:manualLayout>
                  <c:x val="-5.2083333333333296E-3"/>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3F5-4977-9D82-812B15A3C1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-10.52723888863683</c:v>
              </c:pt>
              <c:pt idx="1">
                <c:v>-5</c:v>
              </c:pt>
            </c:numLit>
          </c:xVal>
          <c:yVal>
            <c:numLit>
              <c:formatCode>General</c:formatCode>
              <c:ptCount val="2"/>
              <c:pt idx="0">
                <c:v>2.1551281117843687E-3</c:v>
              </c:pt>
              <c:pt idx="1">
                <c:v>0</c:v>
              </c:pt>
            </c:numLit>
          </c:yVal>
          <c:smooth val="0"/>
          <c:extLst>
            <c:ext xmlns:c16="http://schemas.microsoft.com/office/drawing/2014/chart" uri="{C3380CC4-5D6E-409C-BE32-E72D297353CC}">
              <c16:uniqueId val="{00000009-33F5-4977-9D82-812B15A3C11A}"/>
            </c:ext>
          </c:extLst>
        </c:ser>
        <c:ser>
          <c:idx val="8"/>
          <c:order val="8"/>
          <c:tx>
            <c:v>h=-4</c:v>
          </c:tx>
          <c:spPr>
            <a:ln w="3175">
              <a:solidFill>
                <a:srgbClr val="808080"/>
              </a:solidFill>
              <a:prstDash val="solid"/>
            </a:ln>
          </c:spPr>
          <c:marker>
            <c:symbol val="none"/>
          </c:marker>
          <c:xVal>
            <c:numLit>
              <c:formatCode>General</c:formatCode>
              <c:ptCount val="2"/>
              <c:pt idx="0">
                <c:v>-10.218830106935497</c:v>
              </c:pt>
              <c:pt idx="1">
                <c:v>-9.9188301069354967</c:v>
              </c:pt>
            </c:numLit>
          </c:xVal>
          <c:yVal>
            <c:numLit>
              <c:formatCode>General</c:formatCode>
              <c:ptCount val="2"/>
              <c:pt idx="0">
                <c:v>2.4210266336072133E-3</c:v>
              </c:pt>
              <c:pt idx="1">
                <c:v>2.3042348934257033E-3</c:v>
              </c:pt>
            </c:numLit>
          </c:yVal>
          <c:smooth val="0"/>
          <c:extLst>
            <c:ext xmlns:c16="http://schemas.microsoft.com/office/drawing/2014/chart" uri="{C3380CC4-5D6E-409C-BE32-E72D297353CC}">
              <c16:uniqueId val="{0000000A-33F5-4977-9D82-812B15A3C11A}"/>
            </c:ext>
          </c:extLst>
        </c:ser>
        <c:ser>
          <c:idx val="9"/>
          <c:order val="9"/>
          <c:tx>
            <c:v>h=-3</c:v>
          </c:tx>
          <c:spPr>
            <a:ln w="3175">
              <a:solidFill>
                <a:srgbClr val="808080"/>
              </a:solidFill>
              <a:prstDash val="solid"/>
            </a:ln>
          </c:spPr>
          <c:marker>
            <c:symbol val="none"/>
          </c:marker>
          <c:xVal>
            <c:numLit>
              <c:formatCode>General</c:formatCode>
              <c:ptCount val="2"/>
              <c:pt idx="0">
                <c:v>-9.9104213252341626</c:v>
              </c:pt>
              <c:pt idx="1">
                <c:v>-9.6104213252341637</c:v>
              </c:pt>
            </c:numLit>
          </c:xVal>
          <c:yVal>
            <c:numLit>
              <c:formatCode>General</c:formatCode>
              <c:ptCount val="2"/>
              <c:pt idx="0">
                <c:v>2.6869251554300574E-3</c:v>
              </c:pt>
              <c:pt idx="1">
                <c:v>2.5702784983462792E-3</c:v>
              </c:pt>
            </c:numLit>
          </c:yVal>
          <c:smooth val="0"/>
          <c:extLst>
            <c:ext xmlns:c16="http://schemas.microsoft.com/office/drawing/2014/chart" uri="{C3380CC4-5D6E-409C-BE32-E72D297353CC}">
              <c16:uniqueId val="{0000000B-33F5-4977-9D82-812B15A3C11A}"/>
            </c:ext>
          </c:extLst>
        </c:ser>
        <c:ser>
          <c:idx val="10"/>
          <c:order val="10"/>
          <c:tx>
            <c:v>h=-2</c:v>
          </c:tx>
          <c:spPr>
            <a:ln w="3175">
              <a:solidFill>
                <a:srgbClr val="808080"/>
              </a:solidFill>
              <a:prstDash val="solid"/>
            </a:ln>
          </c:spPr>
          <c:marker>
            <c:symbol val="none"/>
          </c:marker>
          <c:xVal>
            <c:numLit>
              <c:formatCode>General</c:formatCode>
              <c:ptCount val="2"/>
              <c:pt idx="0">
                <c:v>-9.6020125435328296</c:v>
              </c:pt>
              <c:pt idx="1">
                <c:v>-9.3020125435328289</c:v>
              </c:pt>
            </c:numLit>
          </c:xVal>
          <c:yVal>
            <c:numLit>
              <c:formatCode>General</c:formatCode>
              <c:ptCount val="2"/>
              <c:pt idx="0">
                <c:v>2.952823677252902E-3</c:v>
              </c:pt>
              <c:pt idx="1">
                <c:v>2.8362957054687095E-3</c:v>
              </c:pt>
            </c:numLit>
          </c:yVal>
          <c:smooth val="0"/>
          <c:extLst>
            <c:ext xmlns:c16="http://schemas.microsoft.com/office/drawing/2014/chart" uri="{C3380CC4-5D6E-409C-BE32-E72D297353CC}">
              <c16:uniqueId val="{0000000C-33F5-4977-9D82-812B15A3C11A}"/>
            </c:ext>
          </c:extLst>
        </c:ser>
        <c:ser>
          <c:idx val="11"/>
          <c:order val="11"/>
          <c:tx>
            <c:v>h=-1</c:v>
          </c:tx>
          <c:spPr>
            <a:ln w="3175">
              <a:solidFill>
                <a:srgbClr val="808080"/>
              </a:solidFill>
              <a:prstDash val="solid"/>
            </a:ln>
          </c:spPr>
          <c:marker>
            <c:symbol val="none"/>
          </c:marker>
          <c:xVal>
            <c:numLit>
              <c:formatCode>General</c:formatCode>
              <c:ptCount val="2"/>
              <c:pt idx="0">
                <c:v>-9.2936037618314966</c:v>
              </c:pt>
              <c:pt idx="1">
                <c:v>-8.9936037618314959</c:v>
              </c:pt>
            </c:numLit>
          </c:xVal>
          <c:yVal>
            <c:numLit>
              <c:formatCode>General</c:formatCode>
              <c:ptCount val="2"/>
              <c:pt idx="0">
                <c:v>3.2187221990757462E-3</c:v>
              </c:pt>
              <c:pt idx="1">
                <c:v>3.102293118611757E-3</c:v>
              </c:pt>
            </c:numLit>
          </c:yVal>
          <c:smooth val="0"/>
          <c:extLst>
            <c:ext xmlns:c16="http://schemas.microsoft.com/office/drawing/2014/chart" uri="{C3380CC4-5D6E-409C-BE32-E72D297353CC}">
              <c16:uniqueId val="{0000000D-33F5-4977-9D82-812B15A3C11A}"/>
            </c:ext>
          </c:extLst>
        </c:ser>
        <c:ser>
          <c:idx val="12"/>
          <c:order val="12"/>
          <c:tx>
            <c:v>h=0</c:v>
          </c:tx>
          <c:spPr>
            <a:ln w="3175">
              <a:solidFill>
                <a:srgbClr val="808080"/>
              </a:solidFill>
              <a:prstDash val="solid"/>
            </a:ln>
          </c:spPr>
          <c:marker>
            <c:symbol val="none"/>
          </c:marker>
          <c:dLbls>
            <c:dLbl>
              <c:idx val="0"/>
              <c:layout>
                <c:manualLayout>
                  <c:x val="-2.8094242125984253E-2"/>
                  <c:y val="-6.525674675281130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3F5-4977-9D82-812B15A3C1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-8.9851949801301618</c:v>
              </c:pt>
              <c:pt idx="1">
                <c:v>0</c:v>
              </c:pt>
            </c:numLit>
          </c:xVal>
          <c:yVal>
            <c:numLit>
              <c:formatCode>General</c:formatCode>
              <c:ptCount val="2"/>
              <c:pt idx="0">
                <c:v>3.4846207208985907E-3</c:v>
              </c:pt>
              <c:pt idx="1">
                <c:v>0</c:v>
              </c:pt>
            </c:numLit>
          </c:yVal>
          <c:smooth val="0"/>
          <c:extLst>
            <c:ext xmlns:c16="http://schemas.microsoft.com/office/drawing/2014/chart" uri="{C3380CC4-5D6E-409C-BE32-E72D297353CC}">
              <c16:uniqueId val="{0000000F-33F5-4977-9D82-812B15A3C11A}"/>
            </c:ext>
          </c:extLst>
        </c:ser>
        <c:ser>
          <c:idx val="13"/>
          <c:order val="13"/>
          <c:tx>
            <c:v>h=1</c:v>
          </c:tx>
          <c:spPr>
            <a:ln w="3175">
              <a:solidFill>
                <a:srgbClr val="808080"/>
              </a:solidFill>
              <a:prstDash val="solid"/>
            </a:ln>
          </c:spPr>
          <c:marker>
            <c:symbol val="none"/>
          </c:marker>
          <c:xVal>
            <c:numLit>
              <c:formatCode>General</c:formatCode>
              <c:ptCount val="2"/>
              <c:pt idx="0">
                <c:v>-8.6767861984288288</c:v>
              </c:pt>
              <c:pt idx="1">
                <c:v>-8.3767861984288281</c:v>
              </c:pt>
            </c:numLit>
          </c:xVal>
          <c:yVal>
            <c:numLit>
              <c:formatCode>General</c:formatCode>
              <c:ptCount val="2"/>
              <c:pt idx="0">
                <c:v>3.7505192427214353E-3</c:v>
              </c:pt>
              <c:pt idx="1">
                <c:v>3.6342455388548439E-3</c:v>
              </c:pt>
            </c:numLit>
          </c:yVal>
          <c:smooth val="0"/>
          <c:extLst>
            <c:ext xmlns:c16="http://schemas.microsoft.com/office/drawing/2014/chart" uri="{C3380CC4-5D6E-409C-BE32-E72D297353CC}">
              <c16:uniqueId val="{00000010-33F5-4977-9D82-812B15A3C11A}"/>
            </c:ext>
          </c:extLst>
        </c:ser>
        <c:ser>
          <c:idx val="14"/>
          <c:order val="14"/>
          <c:tx>
            <c:v>h=2</c:v>
          </c:tx>
          <c:spPr>
            <a:ln w="3175">
              <a:solidFill>
                <a:srgbClr val="808080"/>
              </a:solidFill>
              <a:prstDash val="solid"/>
            </a:ln>
          </c:spPr>
          <c:marker>
            <c:symbol val="none"/>
          </c:marker>
          <c:xVal>
            <c:numLit>
              <c:formatCode>General</c:formatCode>
              <c:ptCount val="2"/>
              <c:pt idx="0">
                <c:v>-8.3683774167274958</c:v>
              </c:pt>
              <c:pt idx="1">
                <c:v>-8.0683774167274951</c:v>
              </c:pt>
            </c:numLit>
          </c:xVal>
          <c:yVal>
            <c:numLit>
              <c:formatCode>General</c:formatCode>
              <c:ptCount val="2"/>
              <c:pt idx="0">
                <c:v>4.0164177645442799E-3</c:v>
              </c:pt>
              <c:pt idx="1">
                <c:v>3.9002062030882552E-3</c:v>
              </c:pt>
            </c:numLit>
          </c:yVal>
          <c:smooth val="0"/>
          <c:extLst>
            <c:ext xmlns:c16="http://schemas.microsoft.com/office/drawing/2014/chart" uri="{C3380CC4-5D6E-409C-BE32-E72D297353CC}">
              <c16:uniqueId val="{00000011-33F5-4977-9D82-812B15A3C11A}"/>
            </c:ext>
          </c:extLst>
        </c:ser>
        <c:ser>
          <c:idx val="15"/>
          <c:order val="15"/>
          <c:tx>
            <c:v>h=3</c:v>
          </c:tx>
          <c:spPr>
            <a:ln w="3175">
              <a:solidFill>
                <a:srgbClr val="808080"/>
              </a:solidFill>
              <a:prstDash val="solid"/>
            </a:ln>
          </c:spPr>
          <c:marker>
            <c:symbol val="none"/>
          </c:marker>
          <c:xVal>
            <c:numLit>
              <c:formatCode>General</c:formatCode>
              <c:ptCount val="2"/>
              <c:pt idx="0">
                <c:v>-8.059968635026161</c:v>
              </c:pt>
              <c:pt idx="1">
                <c:v>-7.7599686350261612</c:v>
              </c:pt>
            </c:numLit>
          </c:xVal>
          <c:yVal>
            <c:numLit>
              <c:formatCode>General</c:formatCode>
              <c:ptCount val="2"/>
              <c:pt idx="0">
                <c:v>4.282316286367124E-3</c:v>
              </c:pt>
              <c:pt idx="1">
                <c:v>4.1661590956639247E-3</c:v>
              </c:pt>
            </c:numLit>
          </c:yVal>
          <c:smooth val="0"/>
          <c:extLst>
            <c:ext xmlns:c16="http://schemas.microsoft.com/office/drawing/2014/chart" uri="{C3380CC4-5D6E-409C-BE32-E72D297353CC}">
              <c16:uniqueId val="{00000012-33F5-4977-9D82-812B15A3C11A}"/>
            </c:ext>
          </c:extLst>
        </c:ser>
        <c:ser>
          <c:idx val="16"/>
          <c:order val="16"/>
          <c:tx>
            <c:v>h=4</c:v>
          </c:tx>
          <c:spPr>
            <a:ln w="3175">
              <a:solidFill>
                <a:srgbClr val="808080"/>
              </a:solidFill>
              <a:prstDash val="solid"/>
            </a:ln>
          </c:spPr>
          <c:marker>
            <c:symbol val="none"/>
          </c:marker>
          <c:xVal>
            <c:numLit>
              <c:formatCode>General</c:formatCode>
              <c:ptCount val="2"/>
              <c:pt idx="0">
                <c:v>-7.751559853324828</c:v>
              </c:pt>
              <c:pt idx="1">
                <c:v>-7.4515598533248282</c:v>
              </c:pt>
            </c:numLit>
          </c:xVal>
          <c:yVal>
            <c:numLit>
              <c:formatCode>General</c:formatCode>
              <c:ptCount val="2"/>
              <c:pt idx="0">
                <c:v>4.5482148081899682E-3</c:v>
              </c:pt>
              <c:pt idx="1">
                <c:v>4.4321055886916774E-3</c:v>
              </c:pt>
            </c:numLit>
          </c:yVal>
          <c:smooth val="0"/>
          <c:extLst>
            <c:ext xmlns:c16="http://schemas.microsoft.com/office/drawing/2014/chart" uri="{C3380CC4-5D6E-409C-BE32-E72D297353CC}">
              <c16:uniqueId val="{00000013-33F5-4977-9D82-812B15A3C11A}"/>
            </c:ext>
          </c:extLst>
        </c:ser>
        <c:ser>
          <c:idx val="17"/>
          <c:order val="17"/>
          <c:tx>
            <c:v>h=5</c:v>
          </c:tx>
          <c:spPr>
            <a:ln w="3175">
              <a:solidFill>
                <a:srgbClr val="808080"/>
              </a:solidFill>
              <a:prstDash val="solid"/>
            </a:ln>
          </c:spPr>
          <c:marker>
            <c:symbol val="none"/>
          </c:marker>
          <c:dLbls>
            <c:dLbl>
              <c:idx val="0"/>
              <c:layout>
                <c:manualLayout>
                  <c:x val="-2.809424212598426E-2"/>
                  <c:y val="-6.525674675281130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3F5-4977-9D82-812B15A3C1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-7.4431510716234941</c:v>
              </c:pt>
              <c:pt idx="1">
                <c:v>5</c:v>
              </c:pt>
            </c:numLit>
          </c:xVal>
          <c:yVal>
            <c:numLit>
              <c:formatCode>General</c:formatCode>
              <c:ptCount val="2"/>
              <c:pt idx="0">
                <c:v>4.8141133300128132E-3</c:v>
              </c:pt>
              <c:pt idx="1">
                <c:v>0</c:v>
              </c:pt>
            </c:numLit>
          </c:yVal>
          <c:smooth val="0"/>
          <c:extLst>
            <c:ext xmlns:c16="http://schemas.microsoft.com/office/drawing/2014/chart" uri="{C3380CC4-5D6E-409C-BE32-E72D297353CC}">
              <c16:uniqueId val="{00000015-33F5-4977-9D82-812B15A3C11A}"/>
            </c:ext>
          </c:extLst>
        </c:ser>
        <c:ser>
          <c:idx val="18"/>
          <c:order val="18"/>
          <c:tx>
            <c:v>h=6</c:v>
          </c:tx>
          <c:spPr>
            <a:ln w="3175">
              <a:solidFill>
                <a:srgbClr val="808080"/>
              </a:solidFill>
              <a:prstDash val="solid"/>
            </a:ln>
          </c:spPr>
          <c:marker>
            <c:symbol val="none"/>
          </c:marker>
          <c:xVal>
            <c:numLit>
              <c:formatCode>General</c:formatCode>
              <c:ptCount val="2"/>
              <c:pt idx="0">
                <c:v>-7.1347422899221611</c:v>
              </c:pt>
              <c:pt idx="1">
                <c:v>-6.8347422899221613</c:v>
              </c:pt>
            </c:numLit>
          </c:xVal>
          <c:yVal>
            <c:numLit>
              <c:formatCode>General</c:formatCode>
              <c:ptCount val="2"/>
              <c:pt idx="0">
                <c:v>5.0800118518356573E-3</c:v>
              </c:pt>
              <c:pt idx="1">
                <c:v>4.9639834196128175E-3</c:v>
              </c:pt>
            </c:numLit>
          </c:yVal>
          <c:smooth val="0"/>
          <c:extLst>
            <c:ext xmlns:c16="http://schemas.microsoft.com/office/drawing/2014/chart" uri="{C3380CC4-5D6E-409C-BE32-E72D297353CC}">
              <c16:uniqueId val="{00000016-33F5-4977-9D82-812B15A3C11A}"/>
            </c:ext>
          </c:extLst>
        </c:ser>
        <c:ser>
          <c:idx val="19"/>
          <c:order val="19"/>
          <c:tx>
            <c:v>h=7</c:v>
          </c:tx>
          <c:spPr>
            <a:ln w="3175">
              <a:solidFill>
                <a:srgbClr val="808080"/>
              </a:solidFill>
              <a:prstDash val="solid"/>
            </a:ln>
          </c:spPr>
          <c:marker>
            <c:symbol val="none"/>
          </c:marker>
          <c:xVal>
            <c:numLit>
              <c:formatCode>General</c:formatCode>
              <c:ptCount val="2"/>
              <c:pt idx="0">
                <c:v>-6.8263335082208272</c:v>
              </c:pt>
              <c:pt idx="1">
                <c:v>-6.5263335082208274</c:v>
              </c:pt>
            </c:numLit>
          </c:xVal>
          <c:yVal>
            <c:numLit>
              <c:formatCode>General</c:formatCode>
              <c:ptCount val="2"/>
              <c:pt idx="0">
                <c:v>5.3459103736585014E-3</c:v>
              </c:pt>
              <c:pt idx="1">
                <c:v>5.2299162736214972E-3</c:v>
              </c:pt>
            </c:numLit>
          </c:yVal>
          <c:smooth val="0"/>
          <c:extLst>
            <c:ext xmlns:c16="http://schemas.microsoft.com/office/drawing/2014/chart" uri="{C3380CC4-5D6E-409C-BE32-E72D297353CC}">
              <c16:uniqueId val="{00000017-33F5-4977-9D82-812B15A3C11A}"/>
            </c:ext>
          </c:extLst>
        </c:ser>
        <c:ser>
          <c:idx val="20"/>
          <c:order val="20"/>
          <c:tx>
            <c:v>h=8</c:v>
          </c:tx>
          <c:spPr>
            <a:ln w="3175">
              <a:solidFill>
                <a:srgbClr val="808080"/>
              </a:solidFill>
              <a:prstDash val="solid"/>
            </a:ln>
          </c:spPr>
          <c:marker>
            <c:symbol val="none"/>
          </c:marker>
          <c:xVal>
            <c:numLit>
              <c:formatCode>General</c:formatCode>
              <c:ptCount val="2"/>
              <c:pt idx="0">
                <c:v>-6.5179247265194933</c:v>
              </c:pt>
              <c:pt idx="1">
                <c:v>-6.2179247265194935</c:v>
              </c:pt>
            </c:numLit>
          </c:xVal>
          <c:yVal>
            <c:numLit>
              <c:formatCode>General</c:formatCode>
              <c:ptCount val="2"/>
              <c:pt idx="0">
                <c:v>5.6118088954813464E-3</c:v>
              </c:pt>
              <c:pt idx="1">
                <c:v>5.4958458566615404E-3</c:v>
              </c:pt>
            </c:numLit>
          </c:yVal>
          <c:smooth val="0"/>
          <c:extLst>
            <c:ext xmlns:c16="http://schemas.microsoft.com/office/drawing/2014/chart" uri="{C3380CC4-5D6E-409C-BE32-E72D297353CC}">
              <c16:uniqueId val="{00000018-33F5-4977-9D82-812B15A3C11A}"/>
            </c:ext>
          </c:extLst>
        </c:ser>
        <c:ser>
          <c:idx val="21"/>
          <c:order val="21"/>
          <c:tx>
            <c:v>h=9</c:v>
          </c:tx>
          <c:spPr>
            <a:ln w="3175">
              <a:solidFill>
                <a:srgbClr val="808080"/>
              </a:solidFill>
              <a:prstDash val="solid"/>
            </a:ln>
          </c:spPr>
          <c:marker>
            <c:symbol val="none"/>
          </c:marker>
          <c:xVal>
            <c:numLit>
              <c:formatCode>General</c:formatCode>
              <c:ptCount val="2"/>
              <c:pt idx="0">
                <c:v>-6.2095159448181603</c:v>
              </c:pt>
              <c:pt idx="1">
                <c:v>-5.9095159448181604</c:v>
              </c:pt>
            </c:numLit>
          </c:xVal>
          <c:yVal>
            <c:numLit>
              <c:formatCode>General</c:formatCode>
              <c:ptCount val="2"/>
              <c:pt idx="0">
                <c:v>5.8777074173041906E-3</c:v>
              </c:pt>
              <c:pt idx="1">
                <c:v>5.7617726149351506E-3</c:v>
              </c:pt>
            </c:numLit>
          </c:yVal>
          <c:smooth val="0"/>
          <c:extLst>
            <c:ext xmlns:c16="http://schemas.microsoft.com/office/drawing/2014/chart" uri="{C3380CC4-5D6E-409C-BE32-E72D297353CC}">
              <c16:uniqueId val="{00000019-33F5-4977-9D82-812B15A3C11A}"/>
            </c:ext>
          </c:extLst>
        </c:ser>
        <c:ser>
          <c:idx val="22"/>
          <c:order val="22"/>
          <c:tx>
            <c:v>h=10</c:v>
          </c:tx>
          <c:spPr>
            <a:ln w="3175">
              <a:solidFill>
                <a:srgbClr val="808080"/>
              </a:solidFill>
              <a:prstDash val="solid"/>
            </a:ln>
          </c:spPr>
          <c:marker>
            <c:symbol val="none"/>
          </c:marker>
          <c:dLbls>
            <c:dLbl>
              <c:idx val="0"/>
              <c:layout>
                <c:manualLayout>
                  <c:x val="-3.0087489063867018E-2"/>
                  <c:y val="-9.347701729591650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3F5-4977-9D82-812B15A3C1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-5.9011071631168264</c:v>
              </c:pt>
              <c:pt idx="1">
                <c:v>10</c:v>
              </c:pt>
            </c:numLit>
          </c:xVal>
          <c:yVal>
            <c:numLit>
              <c:formatCode>General</c:formatCode>
              <c:ptCount val="2"/>
              <c:pt idx="0">
                <c:v>6.1436059391270347E-3</c:v>
              </c:pt>
              <c:pt idx="1">
                <c:v>0</c:v>
              </c:pt>
            </c:numLit>
          </c:yVal>
          <c:smooth val="0"/>
          <c:extLst>
            <c:ext xmlns:c16="http://schemas.microsoft.com/office/drawing/2014/chart" uri="{C3380CC4-5D6E-409C-BE32-E72D297353CC}">
              <c16:uniqueId val="{0000001B-33F5-4977-9D82-812B15A3C11A}"/>
            </c:ext>
          </c:extLst>
        </c:ser>
        <c:ser>
          <c:idx val="23"/>
          <c:order val="23"/>
          <c:tx>
            <c:v>h=11</c:v>
          </c:tx>
          <c:spPr>
            <a:ln w="3175">
              <a:solidFill>
                <a:srgbClr val="808080"/>
              </a:solidFill>
              <a:prstDash val="solid"/>
            </a:ln>
          </c:spPr>
          <c:marker>
            <c:symbol val="none"/>
          </c:marker>
          <c:xVal>
            <c:numLit>
              <c:formatCode>General</c:formatCode>
              <c:ptCount val="2"/>
              <c:pt idx="0">
                <c:v>-5.5926983814154925</c:v>
              </c:pt>
              <c:pt idx="1">
                <c:v>-5.2926983814154926</c:v>
              </c:pt>
            </c:numLit>
          </c:xVal>
          <c:yVal>
            <c:numLit>
              <c:formatCode>General</c:formatCode>
              <c:ptCount val="2"/>
              <c:pt idx="0">
                <c:v>6.4095044609498797E-3</c:v>
              </c:pt>
              <c:pt idx="1">
                <c:v>6.2936190700336779E-3</c:v>
              </c:pt>
            </c:numLit>
          </c:yVal>
          <c:smooth val="0"/>
          <c:extLst>
            <c:ext xmlns:c16="http://schemas.microsoft.com/office/drawing/2014/chart" uri="{C3380CC4-5D6E-409C-BE32-E72D297353CC}">
              <c16:uniqueId val="{0000001C-33F5-4977-9D82-812B15A3C11A}"/>
            </c:ext>
          </c:extLst>
        </c:ser>
        <c:ser>
          <c:idx val="24"/>
          <c:order val="24"/>
          <c:tx>
            <c:v>h=12</c:v>
          </c:tx>
          <c:spPr>
            <a:ln w="3175">
              <a:solidFill>
                <a:srgbClr val="808080"/>
              </a:solidFill>
              <a:prstDash val="solid"/>
            </a:ln>
          </c:spPr>
          <c:marker>
            <c:symbol val="none"/>
          </c:marker>
          <c:xVal>
            <c:numLit>
              <c:formatCode>General</c:formatCode>
              <c:ptCount val="2"/>
              <c:pt idx="0">
                <c:v>-5.2842895997141595</c:v>
              </c:pt>
              <c:pt idx="1">
                <c:v>-4.9842895997141596</c:v>
              </c:pt>
            </c:numLit>
          </c:xVal>
          <c:yVal>
            <c:numLit>
              <c:formatCode>General</c:formatCode>
              <c:ptCount val="2"/>
              <c:pt idx="0">
                <c:v>6.6754029827727239E-3</c:v>
              </c:pt>
              <c:pt idx="1">
                <c:v>6.5595393319539518E-3</c:v>
              </c:pt>
            </c:numLit>
          </c:yVal>
          <c:smooth val="0"/>
          <c:extLst>
            <c:ext xmlns:c16="http://schemas.microsoft.com/office/drawing/2014/chart" uri="{C3380CC4-5D6E-409C-BE32-E72D297353CC}">
              <c16:uniqueId val="{0000001D-33F5-4977-9D82-812B15A3C11A}"/>
            </c:ext>
          </c:extLst>
        </c:ser>
        <c:ser>
          <c:idx val="25"/>
          <c:order val="25"/>
          <c:tx>
            <c:v>h=13</c:v>
          </c:tx>
          <c:spPr>
            <a:ln w="3175">
              <a:solidFill>
                <a:srgbClr val="808080"/>
              </a:solidFill>
              <a:prstDash val="solid"/>
            </a:ln>
          </c:spPr>
          <c:marker>
            <c:symbol val="none"/>
          </c:marker>
          <c:xVal>
            <c:numLit>
              <c:formatCode>General</c:formatCode>
              <c:ptCount val="2"/>
              <c:pt idx="0">
                <c:v>-4.9758808180128256</c:v>
              </c:pt>
              <c:pt idx="1">
                <c:v>-4.6758808180128257</c:v>
              </c:pt>
            </c:numLit>
          </c:xVal>
          <c:yVal>
            <c:numLit>
              <c:formatCode>General</c:formatCode>
              <c:ptCount val="2"/>
              <c:pt idx="0">
                <c:v>6.941301504595568E-3</c:v>
              </c:pt>
              <c:pt idx="1">
                <c:v>6.8254579210482186E-3</c:v>
              </c:pt>
            </c:numLit>
          </c:yVal>
          <c:smooth val="0"/>
          <c:extLst>
            <c:ext xmlns:c16="http://schemas.microsoft.com/office/drawing/2014/chart" uri="{C3380CC4-5D6E-409C-BE32-E72D297353CC}">
              <c16:uniqueId val="{0000001E-33F5-4977-9D82-812B15A3C11A}"/>
            </c:ext>
          </c:extLst>
        </c:ser>
        <c:ser>
          <c:idx val="26"/>
          <c:order val="26"/>
          <c:tx>
            <c:v>h=14</c:v>
          </c:tx>
          <c:spPr>
            <a:ln w="3175">
              <a:solidFill>
                <a:srgbClr val="808080"/>
              </a:solidFill>
              <a:prstDash val="solid"/>
            </a:ln>
          </c:spPr>
          <c:marker>
            <c:symbol val="none"/>
          </c:marker>
          <c:xVal>
            <c:numLit>
              <c:formatCode>General</c:formatCode>
              <c:ptCount val="2"/>
              <c:pt idx="0">
                <c:v>-4.6674720363114925</c:v>
              </c:pt>
              <c:pt idx="1">
                <c:v>-4.3674720363114918</c:v>
              </c:pt>
            </c:numLit>
          </c:xVal>
          <c:yVal>
            <c:numLit>
              <c:formatCode>General</c:formatCode>
              <c:ptCount val="2"/>
              <c:pt idx="0">
                <c:v>7.207200026418413E-3</c:v>
              </c:pt>
              <c:pt idx="1">
                <c:v>7.0913750232407067E-3</c:v>
              </c:pt>
            </c:numLit>
          </c:yVal>
          <c:smooth val="0"/>
          <c:extLst>
            <c:ext xmlns:c16="http://schemas.microsoft.com/office/drawing/2014/chart" uri="{C3380CC4-5D6E-409C-BE32-E72D297353CC}">
              <c16:uniqueId val="{0000001F-33F5-4977-9D82-812B15A3C11A}"/>
            </c:ext>
          </c:extLst>
        </c:ser>
        <c:ser>
          <c:idx val="27"/>
          <c:order val="27"/>
          <c:tx>
            <c:v>h=15</c:v>
          </c:tx>
          <c:spPr>
            <a:ln w="3175">
              <a:solidFill>
                <a:srgbClr val="808080"/>
              </a:solidFill>
              <a:prstDash val="solid"/>
            </a:ln>
          </c:spPr>
          <c:marker>
            <c:symbol val="none"/>
          </c:marker>
          <c:dLbls>
            <c:dLbl>
              <c:idx val="0"/>
              <c:layout>
                <c:manualLayout>
                  <c:x val="-3.0087489063867032E-2"/>
                  <c:y val="-9.347701729591571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3F5-4977-9D82-812B15A3C1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-4.3590632546101586</c:v>
              </c:pt>
              <c:pt idx="1">
                <c:v>15</c:v>
              </c:pt>
            </c:numLit>
          </c:xVal>
          <c:yVal>
            <c:numLit>
              <c:formatCode>General</c:formatCode>
              <c:ptCount val="2"/>
              <c:pt idx="0">
                <c:v>7.4730985482412571E-3</c:v>
              </c:pt>
              <c:pt idx="1">
                <c:v>0</c:v>
              </c:pt>
            </c:numLit>
          </c:yVal>
          <c:smooth val="0"/>
          <c:extLst>
            <c:ext xmlns:c16="http://schemas.microsoft.com/office/drawing/2014/chart" uri="{C3380CC4-5D6E-409C-BE32-E72D297353CC}">
              <c16:uniqueId val="{00000021-33F5-4977-9D82-812B15A3C11A}"/>
            </c:ext>
          </c:extLst>
        </c:ser>
        <c:ser>
          <c:idx val="28"/>
          <c:order val="28"/>
          <c:tx>
            <c:v>h=16</c:v>
          </c:tx>
          <c:spPr>
            <a:ln w="3175">
              <a:solidFill>
                <a:srgbClr val="808080"/>
              </a:solidFill>
              <a:prstDash val="solid"/>
            </a:ln>
          </c:spPr>
          <c:marker>
            <c:symbol val="none"/>
          </c:marker>
          <c:xVal>
            <c:numLit>
              <c:formatCode>General</c:formatCode>
              <c:ptCount val="2"/>
              <c:pt idx="0">
                <c:v>-4.0506544729088247</c:v>
              </c:pt>
              <c:pt idx="1">
                <c:v>-3.7506544729088249</c:v>
              </c:pt>
            </c:numLit>
          </c:xVal>
          <c:yVal>
            <c:numLit>
              <c:formatCode>General</c:formatCode>
              <c:ptCount val="2"/>
              <c:pt idx="0">
                <c:v>7.7389970700641013E-3</c:v>
              </c:pt>
              <c:pt idx="1">
                <c:v>7.6232053823585373E-3</c:v>
              </c:pt>
            </c:numLit>
          </c:yVal>
          <c:smooth val="0"/>
          <c:extLst>
            <c:ext xmlns:c16="http://schemas.microsoft.com/office/drawing/2014/chart" uri="{C3380CC4-5D6E-409C-BE32-E72D297353CC}">
              <c16:uniqueId val="{00000022-33F5-4977-9D82-812B15A3C11A}"/>
            </c:ext>
          </c:extLst>
        </c:ser>
        <c:ser>
          <c:idx val="29"/>
          <c:order val="29"/>
          <c:tx>
            <c:v>h=17</c:v>
          </c:tx>
          <c:spPr>
            <a:ln w="3175">
              <a:solidFill>
                <a:srgbClr val="808080"/>
              </a:solidFill>
              <a:prstDash val="solid"/>
            </a:ln>
          </c:spPr>
          <c:marker>
            <c:symbol val="none"/>
          </c:marker>
          <c:xVal>
            <c:numLit>
              <c:formatCode>General</c:formatCode>
              <c:ptCount val="2"/>
              <c:pt idx="0">
                <c:v>-3.7422456912074913</c:v>
              </c:pt>
              <c:pt idx="1">
                <c:v>-3.4422456912074915</c:v>
              </c:pt>
            </c:numLit>
          </c:xVal>
          <c:yVal>
            <c:numLit>
              <c:formatCode>General</c:formatCode>
              <c:ptCount val="2"/>
              <c:pt idx="0">
                <c:v>8.0048955918869454E-3</c:v>
              </c:pt>
              <c:pt idx="1">
                <c:v>7.8891188957028839E-3</c:v>
              </c:pt>
            </c:numLit>
          </c:yVal>
          <c:smooth val="0"/>
          <c:extLst>
            <c:ext xmlns:c16="http://schemas.microsoft.com/office/drawing/2014/chart" uri="{C3380CC4-5D6E-409C-BE32-E72D297353CC}">
              <c16:uniqueId val="{00000023-33F5-4977-9D82-812B15A3C11A}"/>
            </c:ext>
          </c:extLst>
        </c:ser>
        <c:ser>
          <c:idx val="30"/>
          <c:order val="30"/>
          <c:tx>
            <c:v>h=18</c:v>
          </c:tx>
          <c:spPr>
            <a:ln w="3175">
              <a:solidFill>
                <a:srgbClr val="808080"/>
              </a:solidFill>
              <a:prstDash val="solid"/>
            </a:ln>
          </c:spPr>
          <c:marker>
            <c:symbol val="none"/>
          </c:marker>
          <c:xVal>
            <c:numLit>
              <c:formatCode>General</c:formatCode>
              <c:ptCount val="2"/>
              <c:pt idx="0">
                <c:v>-3.4338369095061578</c:v>
              </c:pt>
              <c:pt idx="1">
                <c:v>-3.1338369095061576</c:v>
              </c:pt>
            </c:numLit>
          </c:xVal>
          <c:yVal>
            <c:numLit>
              <c:formatCode>General</c:formatCode>
              <c:ptCount val="2"/>
              <c:pt idx="0">
                <c:v>8.2707941137097896E-3</c:v>
              </c:pt>
              <c:pt idx="1">
                <c:v>8.1550314416045221E-3</c:v>
              </c:pt>
            </c:numLit>
          </c:yVal>
          <c:smooth val="0"/>
          <c:extLst>
            <c:ext xmlns:c16="http://schemas.microsoft.com/office/drawing/2014/chart" uri="{C3380CC4-5D6E-409C-BE32-E72D297353CC}">
              <c16:uniqueId val="{00000024-33F5-4977-9D82-812B15A3C11A}"/>
            </c:ext>
          </c:extLst>
        </c:ser>
        <c:ser>
          <c:idx val="31"/>
          <c:order val="31"/>
          <c:tx>
            <c:v>h=19</c:v>
          </c:tx>
          <c:spPr>
            <a:ln w="3175">
              <a:solidFill>
                <a:srgbClr val="808080"/>
              </a:solidFill>
              <a:prstDash val="solid"/>
            </a:ln>
          </c:spPr>
          <c:marker>
            <c:symbol val="none"/>
          </c:marker>
          <c:xVal>
            <c:numLit>
              <c:formatCode>General</c:formatCode>
              <c:ptCount val="2"/>
              <c:pt idx="0">
                <c:v>-3.1254281278048244</c:v>
              </c:pt>
              <c:pt idx="1">
                <c:v>-2.8254281278048241</c:v>
              </c:pt>
            </c:numLit>
          </c:xVal>
          <c:yVal>
            <c:numLit>
              <c:formatCode>General</c:formatCode>
              <c:ptCount val="2"/>
              <c:pt idx="0">
                <c:v>8.5366926355326354E-3</c:v>
              </c:pt>
              <c:pt idx="1">
                <c:v>8.4209431107837157E-3</c:v>
              </c:pt>
            </c:numLit>
          </c:yVal>
          <c:smooth val="0"/>
          <c:extLst>
            <c:ext xmlns:c16="http://schemas.microsoft.com/office/drawing/2014/chart" uri="{C3380CC4-5D6E-409C-BE32-E72D297353CC}">
              <c16:uniqueId val="{00000025-33F5-4977-9D82-812B15A3C11A}"/>
            </c:ext>
          </c:extLst>
        </c:ser>
        <c:ser>
          <c:idx val="32"/>
          <c:order val="32"/>
          <c:tx>
            <c:v>h=20</c:v>
          </c:tx>
          <c:spPr>
            <a:ln w="3175">
              <a:solidFill>
                <a:srgbClr val="808080"/>
              </a:solidFill>
              <a:prstDash val="solid"/>
            </a:ln>
          </c:spPr>
          <c:marker>
            <c:symbol val="none"/>
          </c:marker>
          <c:dLbls>
            <c:dLbl>
              <c:idx val="0"/>
              <c:layout>
                <c:manualLayout>
                  <c:x val="-3.0087489063867018E-2"/>
                  <c:y val="-9.347701729591650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20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6-33F5-4977-9D82-812B15A3C1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-2.8170193461034905</c:v>
              </c:pt>
              <c:pt idx="1">
                <c:v>20</c:v>
              </c:pt>
            </c:numLit>
          </c:xVal>
          <c:yVal>
            <c:numLit>
              <c:formatCode>General</c:formatCode>
              <c:ptCount val="2"/>
              <c:pt idx="0">
                <c:v>8.8025911573554796E-3</c:v>
              </c:pt>
              <c:pt idx="1">
                <c:v>0</c:v>
              </c:pt>
            </c:numLit>
          </c:yVal>
          <c:smooth val="0"/>
          <c:extLst>
            <c:ext xmlns:c16="http://schemas.microsoft.com/office/drawing/2014/chart" uri="{C3380CC4-5D6E-409C-BE32-E72D297353CC}">
              <c16:uniqueId val="{00000027-33F5-4977-9D82-812B15A3C11A}"/>
            </c:ext>
          </c:extLst>
        </c:ser>
        <c:ser>
          <c:idx val="33"/>
          <c:order val="33"/>
          <c:tx>
            <c:v>h=21</c:v>
          </c:tx>
          <c:spPr>
            <a:ln w="3175">
              <a:solidFill>
                <a:srgbClr val="808080"/>
              </a:solidFill>
              <a:prstDash val="solid"/>
            </a:ln>
          </c:spPr>
          <c:marker>
            <c:symbol val="none"/>
          </c:marker>
          <c:xVal>
            <c:numLit>
              <c:formatCode>General</c:formatCode>
              <c:ptCount val="2"/>
              <c:pt idx="0">
                <c:v>-2.508610564402157</c:v>
              </c:pt>
              <c:pt idx="1">
                <c:v>-2.2086105644021572</c:v>
              </c:pt>
            </c:numLit>
          </c:xVal>
          <c:yVal>
            <c:numLit>
              <c:formatCode>General</c:formatCode>
              <c:ptCount val="2"/>
              <c:pt idx="0">
                <c:v>9.0684896791783237E-3</c:v>
              </c:pt>
              <c:pt idx="1">
                <c:v>8.952764128478485E-3</c:v>
              </c:pt>
            </c:numLit>
          </c:yVal>
          <c:smooth val="0"/>
          <c:extLst>
            <c:ext xmlns:c16="http://schemas.microsoft.com/office/drawing/2014/chart" uri="{C3380CC4-5D6E-409C-BE32-E72D297353CC}">
              <c16:uniqueId val="{00000028-33F5-4977-9D82-812B15A3C11A}"/>
            </c:ext>
          </c:extLst>
        </c:ser>
        <c:ser>
          <c:idx val="34"/>
          <c:order val="34"/>
          <c:tx>
            <c:v>h=22</c:v>
          </c:tx>
          <c:spPr>
            <a:ln w="3175">
              <a:solidFill>
                <a:srgbClr val="808080"/>
              </a:solidFill>
              <a:prstDash val="solid"/>
            </a:ln>
          </c:spPr>
          <c:marker>
            <c:symbol val="none"/>
          </c:marker>
          <c:xVal>
            <c:numLit>
              <c:formatCode>General</c:formatCode>
              <c:ptCount val="2"/>
              <c:pt idx="0">
                <c:v>-2.2002017827008236</c:v>
              </c:pt>
              <c:pt idx="1">
                <c:v>-1.9002017827008235</c:v>
              </c:pt>
            </c:numLit>
          </c:xVal>
          <c:yVal>
            <c:numLit>
              <c:formatCode>General</c:formatCode>
              <c:ptCount val="2"/>
              <c:pt idx="0">
                <c:v>9.3343882010011679E-3</c:v>
              </c:pt>
              <c:pt idx="1">
                <c:v>9.2186736096335001E-3</c:v>
              </c:pt>
            </c:numLit>
          </c:yVal>
          <c:smooth val="0"/>
          <c:extLst>
            <c:ext xmlns:c16="http://schemas.microsoft.com/office/drawing/2014/chart" uri="{C3380CC4-5D6E-409C-BE32-E72D297353CC}">
              <c16:uniqueId val="{00000029-33F5-4977-9D82-812B15A3C11A}"/>
            </c:ext>
          </c:extLst>
        </c:ser>
        <c:ser>
          <c:idx val="35"/>
          <c:order val="35"/>
          <c:tx>
            <c:v>h=23</c:v>
          </c:tx>
          <c:spPr>
            <a:ln w="3175">
              <a:solidFill>
                <a:srgbClr val="808080"/>
              </a:solidFill>
              <a:prstDash val="solid"/>
            </a:ln>
          </c:spPr>
          <c:marker>
            <c:symbol val="none"/>
          </c:marker>
          <c:xVal>
            <c:numLit>
              <c:formatCode>General</c:formatCode>
              <c:ptCount val="2"/>
              <c:pt idx="0">
                <c:v>-1.8917930009994899</c:v>
              </c:pt>
              <c:pt idx="1">
                <c:v>-1.5917930009994898</c:v>
              </c:pt>
            </c:numLit>
          </c:xVal>
          <c:yVal>
            <c:numLit>
              <c:formatCode>General</c:formatCode>
              <c:ptCount val="2"/>
              <c:pt idx="0">
                <c:v>9.600286722824012E-3</c:v>
              </c:pt>
              <c:pt idx="1">
                <c:v>9.484582481802421E-3</c:v>
              </c:pt>
            </c:numLit>
          </c:yVal>
          <c:smooth val="0"/>
          <c:extLst>
            <c:ext xmlns:c16="http://schemas.microsoft.com/office/drawing/2014/chart" uri="{C3380CC4-5D6E-409C-BE32-E72D297353CC}">
              <c16:uniqueId val="{0000002A-33F5-4977-9D82-812B15A3C11A}"/>
            </c:ext>
          </c:extLst>
        </c:ser>
        <c:ser>
          <c:idx val="36"/>
          <c:order val="36"/>
          <c:tx>
            <c:v>h=24</c:v>
          </c:tx>
          <c:spPr>
            <a:ln w="3175">
              <a:solidFill>
                <a:srgbClr val="808080"/>
              </a:solidFill>
              <a:prstDash val="solid"/>
            </a:ln>
          </c:spPr>
          <c:marker>
            <c:symbol val="none"/>
          </c:marker>
          <c:xVal>
            <c:numLit>
              <c:formatCode>General</c:formatCode>
              <c:ptCount val="2"/>
              <c:pt idx="0">
                <c:v>-1.5833842192981562</c:v>
              </c:pt>
              <c:pt idx="1">
                <c:v>-1.2833842192981562</c:v>
              </c:pt>
            </c:numLit>
          </c:xVal>
          <c:yVal>
            <c:numLit>
              <c:formatCode>General</c:formatCode>
              <c:ptCount val="2"/>
              <c:pt idx="0">
                <c:v>9.8661852446468561E-3</c:v>
              </c:pt>
              <c:pt idx="1">
                <c:v>9.7504907943730974E-3</c:v>
              </c:pt>
            </c:numLit>
          </c:yVal>
          <c:smooth val="0"/>
          <c:extLst>
            <c:ext xmlns:c16="http://schemas.microsoft.com/office/drawing/2014/chart" uri="{C3380CC4-5D6E-409C-BE32-E72D297353CC}">
              <c16:uniqueId val="{0000002B-33F5-4977-9D82-812B15A3C11A}"/>
            </c:ext>
          </c:extLst>
        </c:ser>
        <c:ser>
          <c:idx val="37"/>
          <c:order val="37"/>
          <c:tx>
            <c:v>h=25</c:v>
          </c:tx>
          <c:spPr>
            <a:ln w="3175">
              <a:solidFill>
                <a:srgbClr val="808080"/>
              </a:solidFill>
              <a:prstDash val="solid"/>
            </a:ln>
          </c:spPr>
          <c:marker>
            <c:symbol val="none"/>
          </c:marker>
          <c:dLbls>
            <c:dLbl>
              <c:idx val="0"/>
              <c:layout>
                <c:manualLayout>
                  <c:x val="-3.0087489063867018E-2"/>
                  <c:y val="-9.347701729591571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25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C-33F5-4977-9D82-812B15A3C1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-1.2749754375968227</c:v>
              </c:pt>
              <c:pt idx="1">
                <c:v>25</c:v>
              </c:pt>
            </c:numLit>
          </c:xVal>
          <c:yVal>
            <c:numLit>
              <c:formatCode>General</c:formatCode>
              <c:ptCount val="2"/>
              <c:pt idx="0">
                <c:v>1.0132083766469702E-2</c:v>
              </c:pt>
              <c:pt idx="1">
                <c:v>0</c:v>
              </c:pt>
            </c:numLit>
          </c:yVal>
          <c:smooth val="0"/>
          <c:extLst>
            <c:ext xmlns:c16="http://schemas.microsoft.com/office/drawing/2014/chart" uri="{C3380CC4-5D6E-409C-BE32-E72D297353CC}">
              <c16:uniqueId val="{0000002D-33F5-4977-9D82-812B15A3C11A}"/>
            </c:ext>
          </c:extLst>
        </c:ser>
        <c:ser>
          <c:idx val="38"/>
          <c:order val="38"/>
          <c:tx>
            <c:v>h=26</c:v>
          </c:tx>
          <c:spPr>
            <a:ln w="3175">
              <a:solidFill>
                <a:srgbClr val="808080"/>
              </a:solidFill>
              <a:prstDash val="solid"/>
            </a:ln>
          </c:spPr>
          <c:marker>
            <c:symbol val="none"/>
          </c:marker>
          <c:xVal>
            <c:numLit>
              <c:formatCode>General</c:formatCode>
              <c:ptCount val="2"/>
              <c:pt idx="0">
                <c:v>-0.96656665589548907</c:v>
              </c:pt>
              <c:pt idx="1">
                <c:v>-0.66656665589548902</c:v>
              </c:pt>
            </c:numLit>
          </c:xVal>
          <c:yVal>
            <c:numLit>
              <c:formatCode>General</c:formatCode>
              <c:ptCount val="2"/>
              <c:pt idx="0">
                <c:v>1.0397982288292546E-2</c:v>
              </c:pt>
              <c:pt idx="1">
                <c:v>1.0282305912938853E-2</c:v>
              </c:pt>
            </c:numLit>
          </c:yVal>
          <c:smooth val="0"/>
          <c:extLst>
            <c:ext xmlns:c16="http://schemas.microsoft.com/office/drawing/2014/chart" uri="{C3380CC4-5D6E-409C-BE32-E72D297353CC}">
              <c16:uniqueId val="{0000002E-33F5-4977-9D82-812B15A3C11A}"/>
            </c:ext>
          </c:extLst>
        </c:ser>
        <c:ser>
          <c:idx val="39"/>
          <c:order val="39"/>
          <c:tx>
            <c:v>h=27</c:v>
          </c:tx>
          <c:spPr>
            <a:ln w="3175">
              <a:solidFill>
                <a:srgbClr val="808080"/>
              </a:solidFill>
              <a:prstDash val="solid"/>
            </a:ln>
          </c:spPr>
          <c:marker>
            <c:symbol val="none"/>
          </c:marker>
          <c:xVal>
            <c:numLit>
              <c:formatCode>General</c:formatCode>
              <c:ptCount val="2"/>
              <c:pt idx="0">
                <c:v>-0.6581578741941555</c:v>
              </c:pt>
              <c:pt idx="1">
                <c:v>-0.35815787419415551</c:v>
              </c:pt>
            </c:numLit>
          </c:xVal>
          <c:yVal>
            <c:numLit>
              <c:formatCode>General</c:formatCode>
              <c:ptCount val="2"/>
              <c:pt idx="0">
                <c:v>1.066388081011539E-2</c:v>
              </c:pt>
              <c:pt idx="1">
                <c:v>1.0548212794277664E-2</c:v>
              </c:pt>
            </c:numLit>
          </c:yVal>
          <c:smooth val="0"/>
          <c:extLst>
            <c:ext xmlns:c16="http://schemas.microsoft.com/office/drawing/2014/chart" uri="{C3380CC4-5D6E-409C-BE32-E72D297353CC}">
              <c16:uniqueId val="{0000002F-33F5-4977-9D82-812B15A3C11A}"/>
            </c:ext>
          </c:extLst>
        </c:ser>
        <c:ser>
          <c:idx val="40"/>
          <c:order val="40"/>
          <c:tx>
            <c:v>h=28</c:v>
          </c:tx>
          <c:spPr>
            <a:ln w="3175">
              <a:solidFill>
                <a:srgbClr val="808080"/>
              </a:solidFill>
              <a:prstDash val="solid"/>
            </a:ln>
          </c:spPr>
          <c:marker>
            <c:symbol val="none"/>
          </c:marker>
          <c:xVal>
            <c:numLit>
              <c:formatCode>General</c:formatCode>
              <c:ptCount val="2"/>
              <c:pt idx="0">
                <c:v>-0.34974909249282188</c:v>
              </c:pt>
              <c:pt idx="1">
                <c:v>-4.9749092492821903E-2</c:v>
              </c:pt>
            </c:numLit>
          </c:xVal>
          <c:yVal>
            <c:numLit>
              <c:formatCode>General</c:formatCode>
              <c:ptCount val="2"/>
              <c:pt idx="0">
                <c:v>1.0929779331938234E-2</c:v>
              </c:pt>
              <c:pt idx="1">
                <c:v>1.0814119267756229E-2</c:v>
              </c:pt>
            </c:numLit>
          </c:yVal>
          <c:smooth val="0"/>
          <c:extLst>
            <c:ext xmlns:c16="http://schemas.microsoft.com/office/drawing/2014/chart" uri="{C3380CC4-5D6E-409C-BE32-E72D297353CC}">
              <c16:uniqueId val="{00000030-33F5-4977-9D82-812B15A3C11A}"/>
            </c:ext>
          </c:extLst>
        </c:ser>
        <c:ser>
          <c:idx val="41"/>
          <c:order val="41"/>
          <c:tx>
            <c:v>h=29</c:v>
          </c:tx>
          <c:spPr>
            <a:ln w="3175">
              <a:solidFill>
                <a:srgbClr val="808080"/>
              </a:solidFill>
              <a:prstDash val="solid"/>
            </a:ln>
          </c:spPr>
          <c:marker>
            <c:symbol val="none"/>
          </c:marker>
          <c:xVal>
            <c:numLit>
              <c:formatCode>General</c:formatCode>
              <c:ptCount val="2"/>
              <c:pt idx="0">
                <c:v>-4.1340310791488304E-2</c:v>
              </c:pt>
              <c:pt idx="1">
                <c:v>0.25865968920851168</c:v>
              </c:pt>
            </c:numLit>
          </c:xVal>
          <c:yVal>
            <c:numLit>
              <c:formatCode>General</c:formatCode>
              <c:ptCount val="2"/>
              <c:pt idx="0">
                <c:v>1.1195677853761079E-2</c:v>
              </c:pt>
              <c:pt idx="1">
                <c:v>1.108002536251293E-2</c:v>
              </c:pt>
            </c:numLit>
          </c:yVal>
          <c:smooth val="0"/>
          <c:extLst>
            <c:ext xmlns:c16="http://schemas.microsoft.com/office/drawing/2014/chart" uri="{C3380CC4-5D6E-409C-BE32-E72D297353CC}">
              <c16:uniqueId val="{00000031-33F5-4977-9D82-812B15A3C11A}"/>
            </c:ext>
          </c:extLst>
        </c:ser>
        <c:ser>
          <c:idx val="42"/>
          <c:order val="42"/>
          <c:tx>
            <c:v>h=30</c:v>
          </c:tx>
          <c:spPr>
            <a:ln w="3175">
              <a:solidFill>
                <a:srgbClr val="808080"/>
              </a:solidFill>
              <a:prstDash val="solid"/>
            </a:ln>
          </c:spPr>
          <c:marker>
            <c:symbol val="none"/>
          </c:marker>
          <c:dLbls>
            <c:dLbl>
              <c:idx val="0"/>
              <c:layout>
                <c:manualLayout>
                  <c:x val="-3.0087489063867018E-2"/>
                  <c:y val="-9.347701729591571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30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2-33F5-4977-9D82-812B15A3C1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0.26706847090984531</c:v>
              </c:pt>
              <c:pt idx="1">
                <c:v>30</c:v>
              </c:pt>
            </c:numLit>
          </c:xVal>
          <c:yVal>
            <c:numLit>
              <c:formatCode>General</c:formatCode>
              <c:ptCount val="2"/>
              <c:pt idx="0">
                <c:v>1.1461576375583923E-2</c:v>
              </c:pt>
              <c:pt idx="1">
                <c:v>0</c:v>
              </c:pt>
            </c:numLit>
          </c:yVal>
          <c:smooth val="0"/>
          <c:extLst>
            <c:ext xmlns:c16="http://schemas.microsoft.com/office/drawing/2014/chart" uri="{C3380CC4-5D6E-409C-BE32-E72D297353CC}">
              <c16:uniqueId val="{00000033-33F5-4977-9D82-812B15A3C11A}"/>
            </c:ext>
          </c:extLst>
        </c:ser>
        <c:ser>
          <c:idx val="43"/>
          <c:order val="43"/>
          <c:tx>
            <c:v>h=31</c:v>
          </c:tx>
          <c:spPr>
            <a:ln w="3175">
              <a:solidFill>
                <a:srgbClr val="808080"/>
              </a:solidFill>
              <a:prstDash val="solid"/>
            </a:ln>
          </c:spPr>
          <c:marker>
            <c:symbol val="none"/>
          </c:marker>
          <c:xVal>
            <c:numLit>
              <c:formatCode>General</c:formatCode>
              <c:ptCount val="2"/>
              <c:pt idx="0">
                <c:v>0.57547725261117888</c:v>
              </c:pt>
              <c:pt idx="1">
                <c:v>0.87547725261117881</c:v>
              </c:pt>
            </c:numLit>
          </c:xVal>
          <c:yVal>
            <c:numLit>
              <c:formatCode>General</c:formatCode>
              <c:ptCount val="2"/>
              <c:pt idx="0">
                <c:v>1.1727474897406769E-2</c:v>
              </c:pt>
              <c:pt idx="1">
                <c:v>1.1611836519167163E-2</c:v>
              </c:pt>
            </c:numLit>
          </c:yVal>
          <c:smooth val="0"/>
          <c:extLst>
            <c:ext xmlns:c16="http://schemas.microsoft.com/office/drawing/2014/chart" uri="{C3380CC4-5D6E-409C-BE32-E72D297353CC}">
              <c16:uniqueId val="{00000034-33F5-4977-9D82-812B15A3C11A}"/>
            </c:ext>
          </c:extLst>
        </c:ser>
        <c:ser>
          <c:idx val="44"/>
          <c:order val="44"/>
          <c:tx>
            <c:v>h=32</c:v>
          </c:tx>
          <c:spPr>
            <a:ln w="3175">
              <a:solidFill>
                <a:srgbClr val="808080"/>
              </a:solidFill>
              <a:prstDash val="solid"/>
            </a:ln>
          </c:spPr>
          <c:marker>
            <c:symbol val="none"/>
          </c:marker>
          <c:xVal>
            <c:numLit>
              <c:formatCode>General</c:formatCode>
              <c:ptCount val="2"/>
              <c:pt idx="0">
                <c:v>0.88388603431251245</c:v>
              </c:pt>
              <c:pt idx="1">
                <c:v>1.1838860343125124</c:v>
              </c:pt>
            </c:numLit>
          </c:xVal>
          <c:yVal>
            <c:numLit>
              <c:formatCode>General</c:formatCode>
              <c:ptCount val="2"/>
              <c:pt idx="0">
                <c:v>1.1993373419229613E-2</c:v>
              </c:pt>
              <c:pt idx="1">
                <c:v>1.1877741626977646E-2</c:v>
              </c:pt>
            </c:numLit>
          </c:yVal>
          <c:smooth val="0"/>
          <c:extLst>
            <c:ext xmlns:c16="http://schemas.microsoft.com/office/drawing/2014/chart" uri="{C3380CC4-5D6E-409C-BE32-E72D297353CC}">
              <c16:uniqueId val="{00000035-33F5-4977-9D82-812B15A3C11A}"/>
            </c:ext>
          </c:extLst>
        </c:ser>
        <c:ser>
          <c:idx val="45"/>
          <c:order val="45"/>
          <c:tx>
            <c:v>h=33</c:v>
          </c:tx>
          <c:spPr>
            <a:ln w="3175">
              <a:solidFill>
                <a:srgbClr val="808080"/>
              </a:solidFill>
              <a:prstDash val="solid"/>
            </a:ln>
          </c:spPr>
          <c:marker>
            <c:symbol val="none"/>
          </c:marker>
          <c:xVal>
            <c:numLit>
              <c:formatCode>General</c:formatCode>
              <c:ptCount val="2"/>
              <c:pt idx="0">
                <c:v>1.192294816013846</c:v>
              </c:pt>
              <c:pt idx="1">
                <c:v>1.4922948160138461</c:v>
              </c:pt>
            </c:numLit>
          </c:xVal>
          <c:yVal>
            <c:numLit>
              <c:formatCode>General</c:formatCode>
              <c:ptCount val="2"/>
              <c:pt idx="0">
                <c:v>1.2259271941052457E-2</c:v>
              </c:pt>
              <c:pt idx="1">
                <c:v>1.214364644839141E-2</c:v>
              </c:pt>
            </c:numLit>
          </c:yVal>
          <c:smooth val="0"/>
          <c:extLst>
            <c:ext xmlns:c16="http://schemas.microsoft.com/office/drawing/2014/chart" uri="{C3380CC4-5D6E-409C-BE32-E72D297353CC}">
              <c16:uniqueId val="{00000036-33F5-4977-9D82-812B15A3C11A}"/>
            </c:ext>
          </c:extLst>
        </c:ser>
        <c:ser>
          <c:idx val="46"/>
          <c:order val="46"/>
          <c:tx>
            <c:v>h=34</c:v>
          </c:tx>
          <c:spPr>
            <a:ln w="3175">
              <a:solidFill>
                <a:srgbClr val="808080"/>
              </a:solidFill>
              <a:prstDash val="solid"/>
            </a:ln>
          </c:spPr>
          <c:marker>
            <c:symbol val="none"/>
          </c:marker>
          <c:xVal>
            <c:numLit>
              <c:formatCode>General</c:formatCode>
              <c:ptCount val="2"/>
              <c:pt idx="0">
                <c:v>1.5007035977151797</c:v>
              </c:pt>
              <c:pt idx="1">
                <c:v>1.8007035977151795</c:v>
              </c:pt>
            </c:numLit>
          </c:xVal>
          <c:yVal>
            <c:numLit>
              <c:formatCode>General</c:formatCode>
              <c:ptCount val="2"/>
              <c:pt idx="0">
                <c:v>1.2525170462875301E-2</c:v>
              </c:pt>
              <c:pt idx="1">
                <c:v>1.2409551001692184E-2</c:v>
              </c:pt>
            </c:numLit>
          </c:yVal>
          <c:smooth val="0"/>
          <c:extLst>
            <c:ext xmlns:c16="http://schemas.microsoft.com/office/drawing/2014/chart" uri="{C3380CC4-5D6E-409C-BE32-E72D297353CC}">
              <c16:uniqueId val="{00000037-33F5-4977-9D82-812B15A3C11A}"/>
            </c:ext>
          </c:extLst>
        </c:ser>
        <c:ser>
          <c:idx val="47"/>
          <c:order val="47"/>
          <c:tx>
            <c:v>h=35</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35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8-33F5-4977-9D82-812B15A3C1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1.8091123794165131</c:v>
              </c:pt>
              <c:pt idx="1">
                <c:v>35</c:v>
              </c:pt>
            </c:numLit>
          </c:xVal>
          <c:yVal>
            <c:numLit>
              <c:formatCode>General</c:formatCode>
              <c:ptCount val="2"/>
              <c:pt idx="0">
                <c:v>1.2791068984698145E-2</c:v>
              </c:pt>
              <c:pt idx="1">
                <c:v>0</c:v>
              </c:pt>
            </c:numLit>
          </c:yVal>
          <c:smooth val="0"/>
          <c:extLst>
            <c:ext xmlns:c16="http://schemas.microsoft.com/office/drawing/2014/chart" uri="{C3380CC4-5D6E-409C-BE32-E72D297353CC}">
              <c16:uniqueId val="{00000039-33F5-4977-9D82-812B15A3C11A}"/>
            </c:ext>
          </c:extLst>
        </c:ser>
        <c:ser>
          <c:idx val="48"/>
          <c:order val="48"/>
          <c:tx>
            <c:v>h=36</c:v>
          </c:tx>
          <c:spPr>
            <a:ln w="3175">
              <a:solidFill>
                <a:srgbClr val="808080"/>
              </a:solidFill>
              <a:prstDash val="solid"/>
            </a:ln>
          </c:spPr>
          <c:marker>
            <c:symbol val="none"/>
          </c:marker>
          <c:xVal>
            <c:numLit>
              <c:formatCode>General</c:formatCode>
              <c:ptCount val="2"/>
              <c:pt idx="0">
                <c:v>2.1175211611178466</c:v>
              </c:pt>
              <c:pt idx="1">
                <c:v>2.4175211611178469</c:v>
              </c:pt>
            </c:numLit>
          </c:xVal>
          <c:yVal>
            <c:numLit>
              <c:formatCode>General</c:formatCode>
              <c:ptCount val="2"/>
              <c:pt idx="0">
                <c:v>1.3056967506520989E-2</c:v>
              </c:pt>
              <c:pt idx="1">
                <c:v>1.2941359369625727E-2</c:v>
              </c:pt>
            </c:numLit>
          </c:yVal>
          <c:smooth val="0"/>
          <c:extLst>
            <c:ext xmlns:c16="http://schemas.microsoft.com/office/drawing/2014/chart" uri="{C3380CC4-5D6E-409C-BE32-E72D297353CC}">
              <c16:uniqueId val="{0000003A-33F5-4977-9D82-812B15A3C11A}"/>
            </c:ext>
          </c:extLst>
        </c:ser>
        <c:ser>
          <c:idx val="49"/>
          <c:order val="49"/>
          <c:tx>
            <c:v>h=37</c:v>
          </c:tx>
          <c:spPr>
            <a:ln w="3175">
              <a:solidFill>
                <a:srgbClr val="808080"/>
              </a:solidFill>
              <a:prstDash val="solid"/>
            </a:ln>
          </c:spPr>
          <c:marker>
            <c:symbol val="none"/>
          </c:marker>
          <c:xVal>
            <c:numLit>
              <c:formatCode>General</c:formatCode>
              <c:ptCount val="2"/>
              <c:pt idx="0">
                <c:v>2.4259299428191805</c:v>
              </c:pt>
              <c:pt idx="1">
                <c:v>2.7259299428191803</c:v>
              </c:pt>
            </c:numLit>
          </c:xVal>
          <c:yVal>
            <c:numLit>
              <c:formatCode>General</c:formatCode>
              <c:ptCount val="2"/>
              <c:pt idx="0">
                <c:v>1.3322866028343833E-2</c:v>
              </c:pt>
              <c:pt idx="1">
                <c:v>1.3207263213809909E-2</c:v>
              </c:pt>
            </c:numLit>
          </c:yVal>
          <c:smooth val="0"/>
          <c:extLst>
            <c:ext xmlns:c16="http://schemas.microsoft.com/office/drawing/2014/chart" uri="{C3380CC4-5D6E-409C-BE32-E72D297353CC}">
              <c16:uniqueId val="{0000003B-33F5-4977-9D82-812B15A3C11A}"/>
            </c:ext>
          </c:extLst>
        </c:ser>
        <c:ser>
          <c:idx val="50"/>
          <c:order val="50"/>
          <c:tx>
            <c:v>h=38</c:v>
          </c:tx>
          <c:spPr>
            <a:ln w="3175">
              <a:solidFill>
                <a:srgbClr val="808080"/>
              </a:solidFill>
              <a:prstDash val="solid"/>
            </a:ln>
          </c:spPr>
          <c:marker>
            <c:symbol val="none"/>
          </c:marker>
          <c:xVal>
            <c:numLit>
              <c:formatCode>General</c:formatCode>
              <c:ptCount val="2"/>
              <c:pt idx="0">
                <c:v>2.734338724520514</c:v>
              </c:pt>
              <c:pt idx="1">
                <c:v>3.0343387245205138</c:v>
              </c:pt>
            </c:numLit>
          </c:xVal>
          <c:yVal>
            <c:numLit>
              <c:formatCode>General</c:formatCode>
              <c:ptCount val="2"/>
              <c:pt idx="0">
                <c:v>1.3588764550166679E-2</c:v>
              </c:pt>
              <c:pt idx="1">
                <c:v>1.3473166849241543E-2</c:v>
              </c:pt>
            </c:numLit>
          </c:yVal>
          <c:smooth val="0"/>
          <c:extLst>
            <c:ext xmlns:c16="http://schemas.microsoft.com/office/drawing/2014/chart" uri="{C3380CC4-5D6E-409C-BE32-E72D297353CC}">
              <c16:uniqueId val="{0000003C-33F5-4977-9D82-812B15A3C11A}"/>
            </c:ext>
          </c:extLst>
        </c:ser>
        <c:ser>
          <c:idx val="51"/>
          <c:order val="51"/>
          <c:tx>
            <c:v>h=39</c:v>
          </c:tx>
          <c:spPr>
            <a:ln w="3175">
              <a:solidFill>
                <a:srgbClr val="808080"/>
              </a:solidFill>
              <a:prstDash val="solid"/>
            </a:ln>
          </c:spPr>
          <c:marker>
            <c:symbol val="none"/>
          </c:marker>
          <c:xVal>
            <c:numLit>
              <c:formatCode>General</c:formatCode>
              <c:ptCount val="2"/>
              <c:pt idx="0">
                <c:v>3.0427475062218474</c:v>
              </c:pt>
              <c:pt idx="1">
                <c:v>3.3427475062218477</c:v>
              </c:pt>
            </c:numLit>
          </c:xVal>
          <c:yVal>
            <c:numLit>
              <c:formatCode>General</c:formatCode>
              <c:ptCount val="2"/>
              <c:pt idx="0">
                <c:v>1.3854663071989523E-2</c:v>
              </c:pt>
              <c:pt idx="1">
                <c:v>1.3739070287965881E-2</c:v>
              </c:pt>
            </c:numLit>
          </c:yVal>
          <c:smooth val="0"/>
          <c:extLst>
            <c:ext xmlns:c16="http://schemas.microsoft.com/office/drawing/2014/chart" uri="{C3380CC4-5D6E-409C-BE32-E72D297353CC}">
              <c16:uniqueId val="{0000003D-33F5-4977-9D82-812B15A3C11A}"/>
            </c:ext>
          </c:extLst>
        </c:ser>
        <c:ser>
          <c:idx val="52"/>
          <c:order val="52"/>
          <c:tx>
            <c:v>h=40</c:v>
          </c:tx>
          <c:spPr>
            <a:ln w="3175">
              <a:solidFill>
                <a:srgbClr val="808080"/>
              </a:solidFill>
              <a:prstDash val="solid"/>
            </a:ln>
          </c:spPr>
          <c:marker>
            <c:symbol val="none"/>
          </c:marker>
          <c:dLbls>
            <c:dLbl>
              <c:idx val="0"/>
              <c:layout>
                <c:manualLayout>
                  <c:x val="-3.0087489063867049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40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E-33F5-4977-9D82-812B15A3C1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3.3511562879231813</c:v>
              </c:pt>
              <c:pt idx="1">
                <c:v>40</c:v>
              </c:pt>
            </c:numLit>
          </c:xVal>
          <c:yVal>
            <c:numLit>
              <c:formatCode>General</c:formatCode>
              <c:ptCount val="2"/>
              <c:pt idx="0">
                <c:v>1.4120561593812368E-2</c:v>
              </c:pt>
              <c:pt idx="1">
                <c:v>0</c:v>
              </c:pt>
            </c:numLit>
          </c:yVal>
          <c:smooth val="0"/>
          <c:extLst>
            <c:ext xmlns:c16="http://schemas.microsoft.com/office/drawing/2014/chart" uri="{C3380CC4-5D6E-409C-BE32-E72D297353CC}">
              <c16:uniqueId val="{0000003F-33F5-4977-9D82-812B15A3C11A}"/>
            </c:ext>
          </c:extLst>
        </c:ser>
        <c:ser>
          <c:idx val="53"/>
          <c:order val="53"/>
          <c:tx>
            <c:v>h=41</c:v>
          </c:tx>
          <c:spPr>
            <a:ln w="3175">
              <a:solidFill>
                <a:srgbClr val="808080"/>
              </a:solidFill>
              <a:prstDash val="solid"/>
            </a:ln>
          </c:spPr>
          <c:marker>
            <c:symbol val="none"/>
          </c:marker>
          <c:xVal>
            <c:numLit>
              <c:formatCode>General</c:formatCode>
              <c:ptCount val="2"/>
              <c:pt idx="0">
                <c:v>3.6595650696245148</c:v>
              </c:pt>
              <c:pt idx="1">
                <c:v>3.9595650696245146</c:v>
              </c:pt>
            </c:numLit>
          </c:xVal>
          <c:yVal>
            <c:numLit>
              <c:formatCode>General</c:formatCode>
              <c:ptCount val="2"/>
              <c:pt idx="0">
                <c:v>1.4386460115635212E-2</c:v>
              </c:pt>
              <c:pt idx="1">
                <c:v>1.4270876619011833E-2</c:v>
              </c:pt>
            </c:numLit>
          </c:yVal>
          <c:smooth val="0"/>
          <c:extLst>
            <c:ext xmlns:c16="http://schemas.microsoft.com/office/drawing/2014/chart" uri="{C3380CC4-5D6E-409C-BE32-E72D297353CC}">
              <c16:uniqueId val="{00000040-33F5-4977-9D82-812B15A3C11A}"/>
            </c:ext>
          </c:extLst>
        </c:ser>
        <c:ser>
          <c:idx val="54"/>
          <c:order val="54"/>
          <c:tx>
            <c:v>h=42</c:v>
          </c:tx>
          <c:spPr>
            <a:ln w="3175">
              <a:solidFill>
                <a:srgbClr val="808080"/>
              </a:solidFill>
              <a:prstDash val="solid"/>
            </a:ln>
          </c:spPr>
          <c:marker>
            <c:symbol val="none"/>
          </c:marker>
          <c:xVal>
            <c:numLit>
              <c:formatCode>General</c:formatCode>
              <c:ptCount val="2"/>
              <c:pt idx="0">
                <c:v>3.9679738513258482</c:v>
              </c:pt>
              <c:pt idx="1">
                <c:v>4.2679738513258485</c:v>
              </c:pt>
            </c:numLit>
          </c:xVal>
          <c:yVal>
            <c:numLit>
              <c:formatCode>General</c:formatCode>
              <c:ptCount val="2"/>
              <c:pt idx="0">
                <c:v>1.4652358637458056E-2</c:v>
              </c:pt>
              <c:pt idx="1">
                <c:v>1.4536779531205505E-2</c:v>
              </c:pt>
            </c:numLit>
          </c:yVal>
          <c:smooth val="0"/>
          <c:extLst>
            <c:ext xmlns:c16="http://schemas.microsoft.com/office/drawing/2014/chart" uri="{C3380CC4-5D6E-409C-BE32-E72D297353CC}">
              <c16:uniqueId val="{00000041-33F5-4977-9D82-812B15A3C11A}"/>
            </c:ext>
          </c:extLst>
        </c:ser>
        <c:ser>
          <c:idx val="55"/>
          <c:order val="55"/>
          <c:tx>
            <c:v>h=43</c:v>
          </c:tx>
          <c:spPr>
            <a:ln w="3175">
              <a:solidFill>
                <a:srgbClr val="808080"/>
              </a:solidFill>
              <a:prstDash val="solid"/>
            </a:ln>
          </c:spPr>
          <c:marker>
            <c:symbol val="none"/>
          </c:marker>
          <c:xVal>
            <c:numLit>
              <c:formatCode>General</c:formatCode>
              <c:ptCount val="2"/>
              <c:pt idx="0">
                <c:v>4.2763826330271817</c:v>
              </c:pt>
              <c:pt idx="1">
                <c:v>4.5763826330271815</c:v>
              </c:pt>
            </c:numLit>
          </c:xVal>
          <c:yVal>
            <c:numLit>
              <c:formatCode>General</c:formatCode>
              <c:ptCount val="2"/>
              <c:pt idx="0">
                <c:v>1.49182571592809E-2</c:v>
              </c:pt>
              <c:pt idx="1">
                <c:v>1.4802682286577985E-2</c:v>
              </c:pt>
            </c:numLit>
          </c:yVal>
          <c:smooth val="0"/>
          <c:extLst>
            <c:ext xmlns:c16="http://schemas.microsoft.com/office/drawing/2014/chart" uri="{C3380CC4-5D6E-409C-BE32-E72D297353CC}">
              <c16:uniqueId val="{00000042-33F5-4977-9D82-812B15A3C11A}"/>
            </c:ext>
          </c:extLst>
        </c:ser>
        <c:ser>
          <c:idx val="56"/>
          <c:order val="56"/>
          <c:tx>
            <c:v>h=44</c:v>
          </c:tx>
          <c:spPr>
            <a:ln w="3175">
              <a:solidFill>
                <a:srgbClr val="808080"/>
              </a:solidFill>
              <a:prstDash val="solid"/>
            </a:ln>
          </c:spPr>
          <c:marker>
            <c:symbol val="none"/>
          </c:marker>
          <c:xVal>
            <c:numLit>
              <c:formatCode>General</c:formatCode>
              <c:ptCount val="2"/>
              <c:pt idx="0">
                <c:v>4.5847914147285156</c:v>
              </c:pt>
              <c:pt idx="1">
                <c:v>4.8847914147285154</c:v>
              </c:pt>
            </c:numLit>
          </c:xVal>
          <c:yVal>
            <c:numLit>
              <c:formatCode>General</c:formatCode>
              <c:ptCount val="2"/>
              <c:pt idx="0">
                <c:v>1.5184155681103746E-2</c:v>
              </c:pt>
              <c:pt idx="1">
                <c:v>1.5068584893384172E-2</c:v>
              </c:pt>
            </c:numLit>
          </c:yVal>
          <c:smooth val="0"/>
          <c:extLst>
            <c:ext xmlns:c16="http://schemas.microsoft.com/office/drawing/2014/chart" uri="{C3380CC4-5D6E-409C-BE32-E72D297353CC}">
              <c16:uniqueId val="{00000043-33F5-4977-9D82-812B15A3C11A}"/>
            </c:ext>
          </c:extLst>
        </c:ser>
        <c:ser>
          <c:idx val="57"/>
          <c:order val="57"/>
          <c:tx>
            <c:v>h=45</c:v>
          </c:tx>
          <c:spPr>
            <a:ln w="3175">
              <a:solidFill>
                <a:srgbClr val="808080"/>
              </a:solidFill>
              <a:prstDash val="solid"/>
            </a:ln>
          </c:spPr>
          <c:marker>
            <c:symbol val="none"/>
          </c:marker>
          <c:dLbls>
            <c:dLbl>
              <c:idx val="0"/>
              <c:layout>
                <c:manualLayout>
                  <c:x val="-3.0087489063867049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45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4-33F5-4977-9D82-812B15A3C1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4.8932001964298495</c:v>
              </c:pt>
              <c:pt idx="1">
                <c:v>45</c:v>
              </c:pt>
            </c:numLit>
          </c:xVal>
          <c:yVal>
            <c:numLit>
              <c:formatCode>General</c:formatCode>
              <c:ptCount val="2"/>
              <c:pt idx="0">
                <c:v>1.545005420292659E-2</c:v>
              </c:pt>
              <c:pt idx="1">
                <c:v>0</c:v>
              </c:pt>
            </c:numLit>
          </c:yVal>
          <c:smooth val="0"/>
          <c:extLst>
            <c:ext xmlns:c16="http://schemas.microsoft.com/office/drawing/2014/chart" uri="{C3380CC4-5D6E-409C-BE32-E72D297353CC}">
              <c16:uniqueId val="{00000045-33F5-4977-9D82-812B15A3C11A}"/>
            </c:ext>
          </c:extLst>
        </c:ser>
        <c:ser>
          <c:idx val="58"/>
          <c:order val="58"/>
          <c:tx>
            <c:v>h=46</c:v>
          </c:tx>
          <c:spPr>
            <a:ln w="3175">
              <a:solidFill>
                <a:srgbClr val="808080"/>
              </a:solidFill>
              <a:prstDash val="solid"/>
            </a:ln>
          </c:spPr>
          <c:marker>
            <c:symbol val="none"/>
          </c:marker>
          <c:xVal>
            <c:numLit>
              <c:formatCode>General</c:formatCode>
              <c:ptCount val="2"/>
              <c:pt idx="0">
                <c:v>5.2016089781311825</c:v>
              </c:pt>
              <c:pt idx="1">
                <c:v>5.5016089781311823</c:v>
              </c:pt>
            </c:numLit>
          </c:xVal>
          <c:yVal>
            <c:numLit>
              <c:formatCode>General</c:formatCode>
              <c:ptCount val="2"/>
              <c:pt idx="0">
                <c:v>1.5715952724749432E-2</c:v>
              </c:pt>
              <c:pt idx="1">
                <c:v>1.5600389691518597E-2</c:v>
              </c:pt>
            </c:numLit>
          </c:yVal>
          <c:smooth val="0"/>
          <c:extLst>
            <c:ext xmlns:c16="http://schemas.microsoft.com/office/drawing/2014/chart" uri="{C3380CC4-5D6E-409C-BE32-E72D297353CC}">
              <c16:uniqueId val="{00000046-33F5-4977-9D82-812B15A3C11A}"/>
            </c:ext>
          </c:extLst>
        </c:ser>
        <c:ser>
          <c:idx val="59"/>
          <c:order val="59"/>
          <c:tx>
            <c:v>h=47</c:v>
          </c:tx>
          <c:spPr>
            <a:ln w="3175">
              <a:solidFill>
                <a:srgbClr val="808080"/>
              </a:solidFill>
              <a:prstDash val="solid"/>
            </a:ln>
          </c:spPr>
          <c:marker>
            <c:symbol val="none"/>
          </c:marker>
          <c:xVal>
            <c:numLit>
              <c:formatCode>General</c:formatCode>
              <c:ptCount val="2"/>
              <c:pt idx="0">
                <c:v>5.5100177598325164</c:v>
              </c:pt>
              <c:pt idx="1">
                <c:v>5.8100177598325162</c:v>
              </c:pt>
            </c:numLit>
          </c:xVal>
          <c:yVal>
            <c:numLit>
              <c:formatCode>General</c:formatCode>
              <c:ptCount val="2"/>
              <c:pt idx="0">
                <c:v>1.5981851246572278E-2</c:v>
              </c:pt>
              <c:pt idx="1">
                <c:v>1.5866291896697939E-2</c:v>
              </c:pt>
            </c:numLit>
          </c:yVal>
          <c:smooth val="0"/>
          <c:extLst>
            <c:ext xmlns:c16="http://schemas.microsoft.com/office/drawing/2014/chart" uri="{C3380CC4-5D6E-409C-BE32-E72D297353CC}">
              <c16:uniqueId val="{00000047-33F5-4977-9D82-812B15A3C11A}"/>
            </c:ext>
          </c:extLst>
        </c:ser>
        <c:ser>
          <c:idx val="60"/>
          <c:order val="60"/>
          <c:tx>
            <c:v>h=48</c:v>
          </c:tx>
          <c:spPr>
            <a:ln w="3175">
              <a:solidFill>
                <a:srgbClr val="808080"/>
              </a:solidFill>
              <a:prstDash val="solid"/>
            </a:ln>
          </c:spPr>
          <c:marker>
            <c:symbol val="none"/>
          </c:marker>
          <c:xVal>
            <c:numLit>
              <c:formatCode>General</c:formatCode>
              <c:ptCount val="2"/>
              <c:pt idx="0">
                <c:v>5.8184265415338503</c:v>
              </c:pt>
              <c:pt idx="1">
                <c:v>6.1184265415338501</c:v>
              </c:pt>
            </c:numLit>
          </c:xVal>
          <c:yVal>
            <c:numLit>
              <c:formatCode>General</c:formatCode>
              <c:ptCount val="2"/>
              <c:pt idx="0">
                <c:v>1.6247749768395124E-2</c:v>
              </c:pt>
              <c:pt idx="1">
                <c:v>1.613219398109577E-2</c:v>
              </c:pt>
            </c:numLit>
          </c:yVal>
          <c:smooth val="0"/>
          <c:extLst>
            <c:ext xmlns:c16="http://schemas.microsoft.com/office/drawing/2014/chart" uri="{C3380CC4-5D6E-409C-BE32-E72D297353CC}">
              <c16:uniqueId val="{00000048-33F5-4977-9D82-812B15A3C11A}"/>
            </c:ext>
          </c:extLst>
        </c:ser>
        <c:ser>
          <c:idx val="61"/>
          <c:order val="61"/>
          <c:tx>
            <c:v>h=49</c:v>
          </c:tx>
          <c:spPr>
            <a:ln w="3175">
              <a:solidFill>
                <a:srgbClr val="808080"/>
              </a:solidFill>
              <a:prstDash val="solid"/>
            </a:ln>
          </c:spPr>
          <c:marker>
            <c:symbol val="none"/>
          </c:marker>
          <c:xVal>
            <c:numLit>
              <c:formatCode>General</c:formatCode>
              <c:ptCount val="2"/>
              <c:pt idx="0">
                <c:v>6.1268353232351833</c:v>
              </c:pt>
              <c:pt idx="1">
                <c:v>6.4268353232351831</c:v>
              </c:pt>
            </c:numLit>
          </c:xVal>
          <c:yVal>
            <c:numLit>
              <c:formatCode>General</c:formatCode>
              <c:ptCount val="2"/>
              <c:pt idx="0">
                <c:v>1.6513648290217967E-2</c:v>
              </c:pt>
              <c:pt idx="1">
                <c:v>1.639809595055711E-2</c:v>
              </c:pt>
            </c:numLit>
          </c:yVal>
          <c:smooth val="0"/>
          <c:extLst>
            <c:ext xmlns:c16="http://schemas.microsoft.com/office/drawing/2014/chart" uri="{C3380CC4-5D6E-409C-BE32-E72D297353CC}">
              <c16:uniqueId val="{00000049-33F5-4977-9D82-812B15A3C11A}"/>
            </c:ext>
          </c:extLst>
        </c:ser>
        <c:ser>
          <c:idx val="62"/>
          <c:order val="62"/>
          <c:tx>
            <c:v>h=50</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50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A-33F5-4977-9D82-812B15A3C1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6.4352441049365172</c:v>
              </c:pt>
              <c:pt idx="1">
                <c:v>50</c:v>
              </c:pt>
            </c:numLit>
          </c:xVal>
          <c:yVal>
            <c:numLit>
              <c:formatCode>General</c:formatCode>
              <c:ptCount val="2"/>
              <c:pt idx="0">
                <c:v>1.6779546812040812E-2</c:v>
              </c:pt>
              <c:pt idx="1">
                <c:v>0</c:v>
              </c:pt>
            </c:numLit>
          </c:yVal>
          <c:smooth val="0"/>
          <c:extLst>
            <c:ext xmlns:c16="http://schemas.microsoft.com/office/drawing/2014/chart" uri="{C3380CC4-5D6E-409C-BE32-E72D297353CC}">
              <c16:uniqueId val="{0000004B-33F5-4977-9D82-812B15A3C11A}"/>
            </c:ext>
          </c:extLst>
        </c:ser>
        <c:ser>
          <c:idx val="63"/>
          <c:order val="63"/>
          <c:tx>
            <c:v>h=51</c:v>
          </c:tx>
          <c:spPr>
            <a:ln w="3175">
              <a:solidFill>
                <a:srgbClr val="808080"/>
              </a:solidFill>
              <a:prstDash val="solid"/>
            </a:ln>
          </c:spPr>
          <c:marker>
            <c:symbol val="none"/>
          </c:marker>
          <c:xVal>
            <c:numLit>
              <c:formatCode>General</c:formatCode>
              <c:ptCount val="2"/>
              <c:pt idx="0">
                <c:v>6.7436528866378502</c:v>
              </c:pt>
              <c:pt idx="1">
                <c:v>7.0436528866378509</c:v>
              </c:pt>
            </c:numLit>
          </c:xVal>
          <c:yVal>
            <c:numLit>
              <c:formatCode>General</c:formatCode>
              <c:ptCount val="2"/>
              <c:pt idx="0">
                <c:v>1.7045445333863655E-2</c:v>
              </c:pt>
              <c:pt idx="1">
                <c:v>1.692989956622358E-2</c:v>
              </c:pt>
            </c:numLit>
          </c:yVal>
          <c:smooth val="0"/>
          <c:extLst>
            <c:ext xmlns:c16="http://schemas.microsoft.com/office/drawing/2014/chart" uri="{C3380CC4-5D6E-409C-BE32-E72D297353CC}">
              <c16:uniqueId val="{0000004C-33F5-4977-9D82-812B15A3C11A}"/>
            </c:ext>
          </c:extLst>
        </c:ser>
        <c:ser>
          <c:idx val="64"/>
          <c:order val="64"/>
          <c:tx>
            <c:v>h=52</c:v>
          </c:tx>
          <c:spPr>
            <a:ln w="3175">
              <a:solidFill>
                <a:srgbClr val="808080"/>
              </a:solidFill>
              <a:prstDash val="solid"/>
            </a:ln>
          </c:spPr>
          <c:marker>
            <c:symbol val="none"/>
          </c:marker>
          <c:xVal>
            <c:numLit>
              <c:formatCode>General</c:formatCode>
              <c:ptCount val="2"/>
              <c:pt idx="0">
                <c:v>7.0520616683391841</c:v>
              </c:pt>
              <c:pt idx="1">
                <c:v>7.352061668339184</c:v>
              </c:pt>
            </c:numLit>
          </c:xVal>
          <c:yVal>
            <c:numLit>
              <c:formatCode>General</c:formatCode>
              <c:ptCount val="2"/>
              <c:pt idx="0">
                <c:v>1.7311343855686501E-2</c:v>
              </c:pt>
              <c:pt idx="1">
                <c:v>1.719580122237627E-2</c:v>
              </c:pt>
            </c:numLit>
          </c:yVal>
          <c:smooth val="0"/>
          <c:extLst>
            <c:ext xmlns:c16="http://schemas.microsoft.com/office/drawing/2014/chart" uri="{C3380CC4-5D6E-409C-BE32-E72D297353CC}">
              <c16:uniqueId val="{0000004D-33F5-4977-9D82-812B15A3C11A}"/>
            </c:ext>
          </c:extLst>
        </c:ser>
        <c:ser>
          <c:idx val="65"/>
          <c:order val="65"/>
          <c:tx>
            <c:v>h=53</c:v>
          </c:tx>
          <c:spPr>
            <a:ln w="3175">
              <a:solidFill>
                <a:srgbClr val="808080"/>
              </a:solidFill>
              <a:prstDash val="solid"/>
            </a:ln>
          </c:spPr>
          <c:marker>
            <c:symbol val="none"/>
          </c:marker>
          <c:xVal>
            <c:numLit>
              <c:formatCode>General</c:formatCode>
              <c:ptCount val="2"/>
              <c:pt idx="0">
                <c:v>7.360470450040518</c:v>
              </c:pt>
              <c:pt idx="1">
                <c:v>7.6604704500405179</c:v>
              </c:pt>
            </c:numLit>
          </c:xVal>
          <c:yVal>
            <c:numLit>
              <c:formatCode>General</c:formatCode>
              <c:ptCount val="2"/>
              <c:pt idx="0">
                <c:v>1.7577242377509347E-2</c:v>
              </c:pt>
              <c:pt idx="1">
                <c:v>1.7461702783537841E-2</c:v>
              </c:pt>
            </c:numLit>
          </c:yVal>
          <c:smooth val="0"/>
          <c:extLst>
            <c:ext xmlns:c16="http://schemas.microsoft.com/office/drawing/2014/chart" uri="{C3380CC4-5D6E-409C-BE32-E72D297353CC}">
              <c16:uniqueId val="{0000004E-33F5-4977-9D82-812B15A3C11A}"/>
            </c:ext>
          </c:extLst>
        </c:ser>
        <c:ser>
          <c:idx val="66"/>
          <c:order val="66"/>
          <c:tx>
            <c:v>h=54</c:v>
          </c:tx>
          <c:spPr>
            <a:ln w="3175">
              <a:solidFill>
                <a:srgbClr val="808080"/>
              </a:solidFill>
              <a:prstDash val="solid"/>
            </a:ln>
          </c:spPr>
          <c:marker>
            <c:symbol val="none"/>
          </c:marker>
          <c:xVal>
            <c:numLit>
              <c:formatCode>General</c:formatCode>
              <c:ptCount val="2"/>
              <c:pt idx="0">
                <c:v>7.668879231741851</c:v>
              </c:pt>
              <c:pt idx="1">
                <c:v>7.9688792317418518</c:v>
              </c:pt>
            </c:numLit>
          </c:xVal>
          <c:yVal>
            <c:numLit>
              <c:formatCode>General</c:formatCode>
              <c:ptCount val="2"/>
              <c:pt idx="0">
                <c:v>1.7843140899332189E-2</c:v>
              </c:pt>
              <c:pt idx="1">
                <c:v>1.772760425396213E-2</c:v>
              </c:pt>
            </c:numLit>
          </c:yVal>
          <c:smooth val="0"/>
          <c:extLst>
            <c:ext xmlns:c16="http://schemas.microsoft.com/office/drawing/2014/chart" uri="{C3380CC4-5D6E-409C-BE32-E72D297353CC}">
              <c16:uniqueId val="{0000004F-33F5-4977-9D82-812B15A3C11A}"/>
            </c:ext>
          </c:extLst>
        </c:ser>
        <c:ser>
          <c:idx val="67"/>
          <c:order val="67"/>
          <c:tx>
            <c:v>h=55</c:v>
          </c:tx>
          <c:spPr>
            <a:ln w="3175">
              <a:solidFill>
                <a:srgbClr val="808080"/>
              </a:solidFill>
              <a:prstDash val="solid"/>
            </a:ln>
          </c:spPr>
          <c:marker>
            <c:symbol val="none"/>
          </c:marker>
          <c:dLbls>
            <c:dLbl>
              <c:idx val="0"/>
              <c:layout>
                <c:manualLayout>
                  <c:x val="-3.0087489063867049E-2"/>
                  <c:y val="-9.347701729591571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55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0-33F5-4977-9D82-812B15A3C1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7.9772880134431849</c:v>
              </c:pt>
              <c:pt idx="1">
                <c:v>50</c:v>
              </c:pt>
            </c:numLit>
          </c:xVal>
          <c:yVal>
            <c:numLit>
              <c:formatCode>General</c:formatCode>
              <c:ptCount val="2"/>
              <c:pt idx="0">
                <c:v>1.8109039421155035E-2</c:v>
              </c:pt>
              <c:pt idx="1">
                <c:v>1.8118735543562064E-3</c:v>
              </c:pt>
            </c:numLit>
          </c:yVal>
          <c:smooth val="0"/>
          <c:extLst>
            <c:ext xmlns:c16="http://schemas.microsoft.com/office/drawing/2014/chart" uri="{C3380CC4-5D6E-409C-BE32-E72D297353CC}">
              <c16:uniqueId val="{00000051-33F5-4977-9D82-812B15A3C11A}"/>
            </c:ext>
          </c:extLst>
        </c:ser>
        <c:ser>
          <c:idx val="68"/>
          <c:order val="68"/>
          <c:tx>
            <c:v>h=56</c:v>
          </c:tx>
          <c:spPr>
            <a:ln w="3175">
              <a:solidFill>
                <a:srgbClr val="808080"/>
              </a:solidFill>
              <a:prstDash val="solid"/>
            </a:ln>
          </c:spPr>
          <c:marker>
            <c:symbol val="none"/>
          </c:marker>
          <c:xVal>
            <c:numLit>
              <c:formatCode>General</c:formatCode>
              <c:ptCount val="2"/>
              <c:pt idx="0">
                <c:v>8.2856967951445188</c:v>
              </c:pt>
              <c:pt idx="1">
                <c:v>8.5856967951445178</c:v>
              </c:pt>
            </c:numLit>
          </c:xVal>
          <c:yVal>
            <c:numLit>
              <c:formatCode>General</c:formatCode>
              <c:ptCount val="2"/>
              <c:pt idx="0">
                <c:v>1.8374937942977877E-2</c:v>
              </c:pt>
              <c:pt idx="1">
                <c:v>1.8259406938381077E-2</c:v>
              </c:pt>
            </c:numLit>
          </c:yVal>
          <c:smooth val="0"/>
          <c:extLst>
            <c:ext xmlns:c16="http://schemas.microsoft.com/office/drawing/2014/chart" uri="{C3380CC4-5D6E-409C-BE32-E72D297353CC}">
              <c16:uniqueId val="{00000052-33F5-4977-9D82-812B15A3C11A}"/>
            </c:ext>
          </c:extLst>
        </c:ser>
        <c:ser>
          <c:idx val="69"/>
          <c:order val="69"/>
          <c:tx>
            <c:v>h=57</c:v>
          </c:tx>
          <c:spPr>
            <a:ln w="3175">
              <a:solidFill>
                <a:srgbClr val="808080"/>
              </a:solidFill>
              <a:prstDash val="solid"/>
            </a:ln>
          </c:spPr>
          <c:marker>
            <c:symbol val="none"/>
          </c:marker>
          <c:xVal>
            <c:numLit>
              <c:formatCode>General</c:formatCode>
              <c:ptCount val="2"/>
              <c:pt idx="0">
                <c:v>8.5941055768458519</c:v>
              </c:pt>
              <c:pt idx="1">
                <c:v>8.8941055768458526</c:v>
              </c:pt>
            </c:numLit>
          </c:xVal>
          <c:yVal>
            <c:numLit>
              <c:formatCode>General</c:formatCode>
              <c:ptCount val="2"/>
              <c:pt idx="0">
                <c:v>1.8640836464800723E-2</c:v>
              </c:pt>
              <c:pt idx="1">
                <c:v>1.8525308159703126E-2</c:v>
              </c:pt>
            </c:numLit>
          </c:yVal>
          <c:smooth val="0"/>
          <c:extLst>
            <c:ext xmlns:c16="http://schemas.microsoft.com/office/drawing/2014/chart" uri="{C3380CC4-5D6E-409C-BE32-E72D297353CC}">
              <c16:uniqueId val="{00000053-33F5-4977-9D82-812B15A3C11A}"/>
            </c:ext>
          </c:extLst>
        </c:ser>
        <c:ser>
          <c:idx val="70"/>
          <c:order val="70"/>
          <c:tx>
            <c:v>h=58</c:v>
          </c:tx>
          <c:spPr>
            <a:ln w="3175">
              <a:solidFill>
                <a:srgbClr val="808080"/>
              </a:solidFill>
              <a:prstDash val="solid"/>
            </a:ln>
          </c:spPr>
          <c:marker>
            <c:symbol val="none"/>
          </c:marker>
          <c:xVal>
            <c:numLit>
              <c:formatCode>General</c:formatCode>
              <c:ptCount val="2"/>
              <c:pt idx="0">
                <c:v>8.9025143585471849</c:v>
              </c:pt>
              <c:pt idx="1">
                <c:v>9.2025143585471856</c:v>
              </c:pt>
            </c:numLit>
          </c:xVal>
          <c:yVal>
            <c:numLit>
              <c:formatCode>General</c:formatCode>
              <c:ptCount val="2"/>
              <c:pt idx="0">
                <c:v>1.8906734986623566E-2</c:v>
              </c:pt>
              <c:pt idx="1">
                <c:v>1.8791209304974438E-2</c:v>
              </c:pt>
            </c:numLit>
          </c:yVal>
          <c:smooth val="0"/>
          <c:extLst>
            <c:ext xmlns:c16="http://schemas.microsoft.com/office/drawing/2014/chart" uri="{C3380CC4-5D6E-409C-BE32-E72D297353CC}">
              <c16:uniqueId val="{00000054-33F5-4977-9D82-812B15A3C11A}"/>
            </c:ext>
          </c:extLst>
        </c:ser>
        <c:ser>
          <c:idx val="71"/>
          <c:order val="71"/>
          <c:tx>
            <c:v>h=59</c:v>
          </c:tx>
          <c:spPr>
            <a:ln w="3175">
              <a:solidFill>
                <a:srgbClr val="808080"/>
              </a:solidFill>
              <a:prstDash val="solid"/>
            </a:ln>
          </c:spPr>
          <c:marker>
            <c:symbol val="none"/>
          </c:marker>
          <c:xVal>
            <c:numLit>
              <c:formatCode>General</c:formatCode>
              <c:ptCount val="2"/>
              <c:pt idx="0">
                <c:v>9.2109231402485197</c:v>
              </c:pt>
              <c:pt idx="1">
                <c:v>9.5109231402485186</c:v>
              </c:pt>
            </c:numLit>
          </c:xVal>
          <c:yVal>
            <c:numLit>
              <c:formatCode>General</c:formatCode>
              <c:ptCount val="2"/>
              <c:pt idx="0">
                <c:v>1.9172633508446411E-2</c:v>
              </c:pt>
              <c:pt idx="1">
                <c:v>1.9057110377364149E-2</c:v>
              </c:pt>
            </c:numLit>
          </c:yVal>
          <c:smooth val="0"/>
          <c:extLst>
            <c:ext xmlns:c16="http://schemas.microsoft.com/office/drawing/2014/chart" uri="{C3380CC4-5D6E-409C-BE32-E72D297353CC}">
              <c16:uniqueId val="{00000055-33F5-4977-9D82-812B15A3C11A}"/>
            </c:ext>
          </c:extLst>
        </c:ser>
        <c:ser>
          <c:idx val="72"/>
          <c:order val="72"/>
          <c:tx>
            <c:v>h=60</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60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6-33F5-4977-9D82-812B15A3C1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9.5193319219498527</c:v>
              </c:pt>
              <c:pt idx="1">
                <c:v>50</c:v>
              </c:pt>
            </c:numLit>
          </c:xVal>
          <c:yVal>
            <c:numLit>
              <c:formatCode>General</c:formatCode>
              <c:ptCount val="2"/>
              <c:pt idx="0">
                <c:v>1.9438532030269257E-2</c:v>
              </c:pt>
              <c:pt idx="1">
                <c:v>3.7393986121819585E-3</c:v>
              </c:pt>
            </c:numLit>
          </c:yVal>
          <c:smooth val="0"/>
          <c:extLst>
            <c:ext xmlns:c16="http://schemas.microsoft.com/office/drawing/2014/chart" uri="{C3380CC4-5D6E-409C-BE32-E72D297353CC}">
              <c16:uniqueId val="{00000057-33F5-4977-9D82-812B15A3C11A}"/>
            </c:ext>
          </c:extLst>
        </c:ser>
        <c:ser>
          <c:idx val="73"/>
          <c:order val="73"/>
          <c:tx>
            <c:v>h=61</c:v>
          </c:tx>
          <c:spPr>
            <a:ln w="3175">
              <a:solidFill>
                <a:srgbClr val="808080"/>
              </a:solidFill>
              <a:prstDash val="solid"/>
            </a:ln>
          </c:spPr>
          <c:marker>
            <c:symbol val="none"/>
          </c:marker>
          <c:xVal>
            <c:numLit>
              <c:formatCode>General</c:formatCode>
              <c:ptCount val="2"/>
              <c:pt idx="0">
                <c:v>9.8277407036511857</c:v>
              </c:pt>
              <c:pt idx="1">
                <c:v>10.127740703651186</c:v>
              </c:pt>
            </c:numLit>
          </c:xVal>
          <c:yVal>
            <c:numLit>
              <c:formatCode>General</c:formatCode>
              <c:ptCount val="2"/>
              <c:pt idx="0">
                <c:v>1.97044305520921E-2</c:v>
              </c:pt>
              <c:pt idx="1">
                <c:v>1.9588912315318657E-2</c:v>
              </c:pt>
            </c:numLit>
          </c:yVal>
          <c:smooth val="0"/>
          <c:extLst>
            <c:ext xmlns:c16="http://schemas.microsoft.com/office/drawing/2014/chart" uri="{C3380CC4-5D6E-409C-BE32-E72D297353CC}">
              <c16:uniqueId val="{00000058-33F5-4977-9D82-812B15A3C11A}"/>
            </c:ext>
          </c:extLst>
        </c:ser>
        <c:ser>
          <c:idx val="74"/>
          <c:order val="74"/>
          <c:tx>
            <c:v>h=62</c:v>
          </c:tx>
          <c:spPr>
            <a:ln w="3175">
              <a:solidFill>
                <a:srgbClr val="808080"/>
              </a:solidFill>
              <a:prstDash val="solid"/>
            </a:ln>
          </c:spPr>
          <c:marker>
            <c:symbol val="none"/>
          </c:marker>
          <c:xVal>
            <c:numLit>
              <c:formatCode>General</c:formatCode>
              <c:ptCount val="2"/>
              <c:pt idx="0">
                <c:v>10.13614948535252</c:v>
              </c:pt>
              <c:pt idx="1">
                <c:v>10.436149485352519</c:v>
              </c:pt>
            </c:numLit>
          </c:xVal>
          <c:yVal>
            <c:numLit>
              <c:formatCode>General</c:formatCode>
              <c:ptCount val="2"/>
              <c:pt idx="0">
                <c:v>1.9970329073914946E-2</c:v>
              </c:pt>
              <c:pt idx="1">
                <c:v>1.9854813186399374E-2</c:v>
              </c:pt>
            </c:numLit>
          </c:yVal>
          <c:smooth val="0"/>
          <c:extLst>
            <c:ext xmlns:c16="http://schemas.microsoft.com/office/drawing/2014/chart" uri="{C3380CC4-5D6E-409C-BE32-E72D297353CC}">
              <c16:uniqueId val="{00000059-33F5-4977-9D82-812B15A3C11A}"/>
            </c:ext>
          </c:extLst>
        </c:ser>
        <c:ser>
          <c:idx val="75"/>
          <c:order val="75"/>
          <c:tx>
            <c:v>h=63</c:v>
          </c:tx>
          <c:spPr>
            <a:ln w="3175">
              <a:solidFill>
                <a:srgbClr val="808080"/>
              </a:solidFill>
              <a:prstDash val="solid"/>
            </a:ln>
          </c:spPr>
          <c:marker>
            <c:symbol val="none"/>
          </c:marker>
          <c:xVal>
            <c:numLit>
              <c:formatCode>General</c:formatCode>
              <c:ptCount val="2"/>
              <c:pt idx="0">
                <c:v>10.444558267053853</c:v>
              </c:pt>
              <c:pt idx="1">
                <c:v>10.744558267053854</c:v>
              </c:pt>
            </c:numLit>
          </c:xVal>
          <c:yVal>
            <c:numLit>
              <c:formatCode>General</c:formatCode>
              <c:ptCount val="2"/>
              <c:pt idx="0">
                <c:v>2.0236227595737788E-2</c:v>
              </c:pt>
              <c:pt idx="1">
                <c:v>2.012071399565105E-2</c:v>
              </c:pt>
            </c:numLit>
          </c:yVal>
          <c:smooth val="0"/>
          <c:extLst>
            <c:ext xmlns:c16="http://schemas.microsoft.com/office/drawing/2014/chart" uri="{C3380CC4-5D6E-409C-BE32-E72D297353CC}">
              <c16:uniqueId val="{0000005A-33F5-4977-9D82-812B15A3C11A}"/>
            </c:ext>
          </c:extLst>
        </c:ser>
        <c:ser>
          <c:idx val="76"/>
          <c:order val="76"/>
          <c:tx>
            <c:v>h=64</c:v>
          </c:tx>
          <c:spPr>
            <a:ln w="3175">
              <a:solidFill>
                <a:srgbClr val="808080"/>
              </a:solidFill>
              <a:prstDash val="solid"/>
            </a:ln>
          </c:spPr>
          <c:marker>
            <c:symbol val="none"/>
          </c:marker>
          <c:xVal>
            <c:numLit>
              <c:formatCode>General</c:formatCode>
              <c:ptCount val="2"/>
              <c:pt idx="0">
                <c:v>10.752967048755186</c:v>
              </c:pt>
              <c:pt idx="1">
                <c:v>11.052967048755187</c:v>
              </c:pt>
            </c:numLit>
          </c:xVal>
          <c:yVal>
            <c:numLit>
              <c:formatCode>General</c:formatCode>
              <c:ptCount val="2"/>
              <c:pt idx="0">
                <c:v>2.0502126117560634E-2</c:v>
              </c:pt>
              <c:pt idx="1">
                <c:v>2.0386614745482871E-2</c:v>
              </c:pt>
            </c:numLit>
          </c:yVal>
          <c:smooth val="0"/>
          <c:extLst>
            <c:ext xmlns:c16="http://schemas.microsoft.com/office/drawing/2014/chart" uri="{C3380CC4-5D6E-409C-BE32-E72D297353CC}">
              <c16:uniqueId val="{0000005B-33F5-4977-9D82-812B15A3C11A}"/>
            </c:ext>
          </c:extLst>
        </c:ser>
        <c:ser>
          <c:idx val="77"/>
          <c:order val="77"/>
          <c:tx>
            <c:v>h=65</c:v>
          </c:tx>
          <c:spPr>
            <a:ln w="3175">
              <a:solidFill>
                <a:srgbClr val="808080"/>
              </a:solidFill>
              <a:prstDash val="solid"/>
            </a:ln>
          </c:spPr>
          <c:marker>
            <c:symbol val="none"/>
          </c:marker>
          <c:dLbls>
            <c:dLbl>
              <c:idx val="0"/>
              <c:layout>
                <c:manualLayout>
                  <c:x val="-3.008748906386708E-2"/>
                  <c:y val="-9.347701729591532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65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C-33F5-4977-9D82-812B15A3C1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11.061375830456521</c:v>
              </c:pt>
              <c:pt idx="1">
                <c:v>50</c:v>
              </c:pt>
            </c:numLit>
          </c:xVal>
          <c:yVal>
            <c:numLit>
              <c:formatCode>General</c:formatCode>
              <c:ptCount val="2"/>
              <c:pt idx="0">
                <c:v>2.0768024639383476E-2</c:v>
              </c:pt>
              <c:pt idx="1">
                <c:v>5.6669236700077098E-3</c:v>
              </c:pt>
            </c:numLit>
          </c:yVal>
          <c:smooth val="0"/>
          <c:extLst>
            <c:ext xmlns:c16="http://schemas.microsoft.com/office/drawing/2014/chart" uri="{C3380CC4-5D6E-409C-BE32-E72D297353CC}">
              <c16:uniqueId val="{0000005D-33F5-4977-9D82-812B15A3C11A}"/>
            </c:ext>
          </c:extLst>
        </c:ser>
        <c:ser>
          <c:idx val="78"/>
          <c:order val="78"/>
          <c:tx>
            <c:v>h=66</c:v>
          </c:tx>
          <c:spPr>
            <a:ln w="3175">
              <a:solidFill>
                <a:srgbClr val="808080"/>
              </a:solidFill>
              <a:prstDash val="solid"/>
            </a:ln>
          </c:spPr>
          <c:marker>
            <c:symbol val="none"/>
          </c:marker>
          <c:xVal>
            <c:numLit>
              <c:formatCode>General</c:formatCode>
              <c:ptCount val="2"/>
              <c:pt idx="0">
                <c:v>11.369784612157854</c:v>
              </c:pt>
              <c:pt idx="1">
                <c:v>11.669784612157855</c:v>
              </c:pt>
            </c:numLit>
          </c:xVal>
          <c:yVal>
            <c:numLit>
              <c:formatCode>General</c:formatCode>
              <c:ptCount val="2"/>
              <c:pt idx="0">
                <c:v>2.1033923161206322E-2</c:v>
              </c:pt>
              <c:pt idx="1">
                <c:v>2.0918416075913625E-2</c:v>
              </c:pt>
            </c:numLit>
          </c:yVal>
          <c:smooth val="0"/>
          <c:extLst>
            <c:ext xmlns:c16="http://schemas.microsoft.com/office/drawing/2014/chart" uri="{C3380CC4-5D6E-409C-BE32-E72D297353CC}">
              <c16:uniqueId val="{0000005E-33F5-4977-9D82-812B15A3C11A}"/>
            </c:ext>
          </c:extLst>
        </c:ser>
        <c:ser>
          <c:idx val="79"/>
          <c:order val="79"/>
          <c:tx>
            <c:v>h=67</c:v>
          </c:tx>
          <c:spPr>
            <a:ln w="3175">
              <a:solidFill>
                <a:srgbClr val="808080"/>
              </a:solidFill>
              <a:prstDash val="solid"/>
            </a:ln>
          </c:spPr>
          <c:marker>
            <c:symbol val="none"/>
          </c:marker>
          <c:xVal>
            <c:numLit>
              <c:formatCode>General</c:formatCode>
              <c:ptCount val="2"/>
              <c:pt idx="0">
                <c:v>11.678193393859187</c:v>
              </c:pt>
              <c:pt idx="1">
                <c:v>11.978193393859188</c:v>
              </c:pt>
            </c:numLit>
          </c:xVal>
          <c:yVal>
            <c:numLit>
              <c:formatCode>General</c:formatCode>
              <c:ptCount val="2"/>
              <c:pt idx="0">
                <c:v>2.1299821683029168E-2</c:v>
              </c:pt>
              <c:pt idx="1">
                <c:v>2.1184316660743805E-2</c:v>
              </c:pt>
            </c:numLit>
          </c:yVal>
          <c:smooth val="0"/>
          <c:extLst>
            <c:ext xmlns:c16="http://schemas.microsoft.com/office/drawing/2014/chart" uri="{C3380CC4-5D6E-409C-BE32-E72D297353CC}">
              <c16:uniqueId val="{0000005F-33F5-4977-9D82-812B15A3C11A}"/>
            </c:ext>
          </c:extLst>
        </c:ser>
        <c:ser>
          <c:idx val="80"/>
          <c:order val="80"/>
          <c:tx>
            <c:v>h=68</c:v>
          </c:tx>
          <c:spPr>
            <a:ln w="3175">
              <a:solidFill>
                <a:srgbClr val="808080"/>
              </a:solidFill>
              <a:prstDash val="solid"/>
            </a:ln>
          </c:spPr>
          <c:marker>
            <c:symbol val="none"/>
          </c:marker>
          <c:xVal>
            <c:numLit>
              <c:formatCode>General</c:formatCode>
              <c:ptCount val="2"/>
              <c:pt idx="0">
                <c:v>11.986602175560522</c:v>
              </c:pt>
              <c:pt idx="1">
                <c:v>12.286602175560521</c:v>
              </c:pt>
            </c:numLit>
          </c:xVal>
          <c:yVal>
            <c:numLit>
              <c:formatCode>General</c:formatCode>
              <c:ptCount val="2"/>
              <c:pt idx="0">
                <c:v>2.156572020485201E-2</c:v>
              </c:pt>
              <c:pt idx="1">
                <c:v>2.1450217194630538E-2</c:v>
              </c:pt>
            </c:numLit>
          </c:yVal>
          <c:smooth val="0"/>
          <c:extLst>
            <c:ext xmlns:c16="http://schemas.microsoft.com/office/drawing/2014/chart" uri="{C3380CC4-5D6E-409C-BE32-E72D297353CC}">
              <c16:uniqueId val="{00000060-33F5-4977-9D82-812B15A3C11A}"/>
            </c:ext>
          </c:extLst>
        </c:ser>
        <c:ser>
          <c:idx val="81"/>
          <c:order val="81"/>
          <c:tx>
            <c:v>h=69</c:v>
          </c:tx>
          <c:spPr>
            <a:ln w="3175">
              <a:solidFill>
                <a:srgbClr val="808080"/>
              </a:solidFill>
              <a:prstDash val="solid"/>
            </a:ln>
          </c:spPr>
          <c:marker>
            <c:symbol val="none"/>
          </c:marker>
          <c:xVal>
            <c:numLit>
              <c:formatCode>General</c:formatCode>
              <c:ptCount val="2"/>
              <c:pt idx="0">
                <c:v>12.295010957261855</c:v>
              </c:pt>
              <c:pt idx="1">
                <c:v>12.595010957261856</c:v>
              </c:pt>
            </c:numLit>
          </c:xVal>
          <c:yVal>
            <c:numLit>
              <c:formatCode>General</c:formatCode>
              <c:ptCount val="2"/>
              <c:pt idx="0">
                <c:v>2.1831618726674856E-2</c:v>
              </c:pt>
              <c:pt idx="1">
                <c:v>2.1716117679437794E-2</c:v>
              </c:pt>
            </c:numLit>
          </c:yVal>
          <c:smooth val="0"/>
          <c:extLst>
            <c:ext xmlns:c16="http://schemas.microsoft.com/office/drawing/2014/chart" uri="{C3380CC4-5D6E-409C-BE32-E72D297353CC}">
              <c16:uniqueId val="{00000061-33F5-4977-9D82-812B15A3C11A}"/>
            </c:ext>
          </c:extLst>
        </c:ser>
        <c:ser>
          <c:idx val="82"/>
          <c:order val="82"/>
          <c:tx>
            <c:v>h=70</c:v>
          </c:tx>
          <c:spPr>
            <a:ln w="3175">
              <a:solidFill>
                <a:srgbClr val="808080"/>
              </a:solidFill>
              <a:prstDash val="solid"/>
            </a:ln>
          </c:spPr>
          <c:marker>
            <c:symbol val="none"/>
          </c:marker>
          <c:dLbls>
            <c:dLbl>
              <c:idx val="0"/>
              <c:layout>
                <c:manualLayout>
                  <c:x val="-3.00874890638670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70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2-33F5-4977-9D82-812B15A3C1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12.603419738963188</c:v>
              </c:pt>
              <c:pt idx="1">
                <c:v>50</c:v>
              </c:pt>
            </c:numLit>
          </c:xVal>
          <c:yVal>
            <c:numLit>
              <c:formatCode>General</c:formatCode>
              <c:ptCount val="2"/>
              <c:pt idx="0">
                <c:v>2.2097517248497699E-2</c:v>
              </c:pt>
              <c:pt idx="1">
                <c:v>7.5944487278334621E-3</c:v>
              </c:pt>
            </c:numLit>
          </c:yVal>
          <c:smooth val="0"/>
          <c:extLst>
            <c:ext xmlns:c16="http://schemas.microsoft.com/office/drawing/2014/chart" uri="{C3380CC4-5D6E-409C-BE32-E72D297353CC}">
              <c16:uniqueId val="{00000063-33F5-4977-9D82-812B15A3C11A}"/>
            </c:ext>
          </c:extLst>
        </c:ser>
        <c:ser>
          <c:idx val="83"/>
          <c:order val="83"/>
          <c:tx>
            <c:v>h=71</c:v>
          </c:tx>
          <c:spPr>
            <a:ln w="3175">
              <a:solidFill>
                <a:srgbClr val="808080"/>
              </a:solidFill>
              <a:prstDash val="solid"/>
            </a:ln>
          </c:spPr>
          <c:marker>
            <c:symbol val="none"/>
          </c:marker>
          <c:xVal>
            <c:numLit>
              <c:formatCode>General</c:formatCode>
              <c:ptCount val="2"/>
              <c:pt idx="0">
                <c:v>12.911828520664523</c:v>
              </c:pt>
              <c:pt idx="1">
                <c:v>13.211828520664522</c:v>
              </c:pt>
            </c:numLit>
          </c:xVal>
          <c:yVal>
            <c:numLit>
              <c:formatCode>General</c:formatCode>
              <c:ptCount val="2"/>
              <c:pt idx="0">
                <c:v>2.2363415770320545E-2</c:v>
              </c:pt>
              <c:pt idx="1">
                <c:v>2.2247918508825872E-2</c:v>
              </c:pt>
            </c:numLit>
          </c:yVal>
          <c:smooth val="0"/>
          <c:extLst>
            <c:ext xmlns:c16="http://schemas.microsoft.com/office/drawing/2014/chart" uri="{C3380CC4-5D6E-409C-BE32-E72D297353CC}">
              <c16:uniqueId val="{00000064-33F5-4977-9D82-812B15A3C11A}"/>
            </c:ext>
          </c:extLst>
        </c:ser>
        <c:ser>
          <c:idx val="84"/>
          <c:order val="84"/>
          <c:tx>
            <c:v>h=72</c:v>
          </c:tx>
          <c:spPr>
            <a:ln w="3175">
              <a:solidFill>
                <a:srgbClr val="808080"/>
              </a:solidFill>
              <a:prstDash val="solid"/>
            </a:ln>
          </c:spPr>
          <c:marker>
            <c:symbol val="none"/>
          </c:marker>
          <c:xVal>
            <c:numLit>
              <c:formatCode>General</c:formatCode>
              <c:ptCount val="2"/>
              <c:pt idx="0">
                <c:v>13.220237302365856</c:v>
              </c:pt>
              <c:pt idx="1">
                <c:v>13.520237302365857</c:v>
              </c:pt>
            </c:numLit>
          </c:xVal>
          <c:yVal>
            <c:numLit>
              <c:formatCode>General</c:formatCode>
              <c:ptCount val="2"/>
              <c:pt idx="0">
                <c:v>2.262931429214339E-2</c:v>
              </c:pt>
              <c:pt idx="1">
                <c:v>2.2513818856706454E-2</c:v>
              </c:pt>
            </c:numLit>
          </c:yVal>
          <c:smooth val="0"/>
          <c:extLst>
            <c:ext xmlns:c16="http://schemas.microsoft.com/office/drawing/2014/chart" uri="{C3380CC4-5D6E-409C-BE32-E72D297353CC}">
              <c16:uniqueId val="{00000065-33F5-4977-9D82-812B15A3C11A}"/>
            </c:ext>
          </c:extLst>
        </c:ser>
        <c:ser>
          <c:idx val="85"/>
          <c:order val="85"/>
          <c:tx>
            <c:v>h=73</c:v>
          </c:tx>
          <c:spPr>
            <a:ln w="3175">
              <a:solidFill>
                <a:srgbClr val="808080"/>
              </a:solidFill>
              <a:prstDash val="solid"/>
            </a:ln>
          </c:spPr>
          <c:marker>
            <c:symbol val="none"/>
          </c:marker>
          <c:xVal>
            <c:numLit>
              <c:formatCode>General</c:formatCode>
              <c:ptCount val="2"/>
              <c:pt idx="0">
                <c:v>13.528646084067189</c:v>
              </c:pt>
              <c:pt idx="1">
                <c:v>13.82864608406719</c:v>
              </c:pt>
            </c:numLit>
          </c:xVal>
          <c:yVal>
            <c:numLit>
              <c:formatCode>General</c:formatCode>
              <c:ptCount val="2"/>
              <c:pt idx="0">
                <c:v>2.2895212813966233E-2</c:v>
              </c:pt>
              <c:pt idx="1">
                <c:v>2.2779719162116654E-2</c:v>
              </c:pt>
            </c:numLit>
          </c:yVal>
          <c:smooth val="0"/>
          <c:extLst>
            <c:ext xmlns:c16="http://schemas.microsoft.com/office/drawing/2014/chart" uri="{C3380CC4-5D6E-409C-BE32-E72D297353CC}">
              <c16:uniqueId val="{00000066-33F5-4977-9D82-812B15A3C11A}"/>
            </c:ext>
          </c:extLst>
        </c:ser>
        <c:ser>
          <c:idx val="86"/>
          <c:order val="86"/>
          <c:tx>
            <c:v>h=74</c:v>
          </c:tx>
          <c:spPr>
            <a:ln w="3175">
              <a:solidFill>
                <a:srgbClr val="808080"/>
              </a:solidFill>
              <a:prstDash val="solid"/>
            </a:ln>
          </c:spPr>
          <c:marker>
            <c:symbol val="none"/>
          </c:marker>
          <c:xVal>
            <c:numLit>
              <c:formatCode>General</c:formatCode>
              <c:ptCount val="2"/>
              <c:pt idx="0">
                <c:v>13.837054865768524</c:v>
              </c:pt>
              <c:pt idx="1">
                <c:v>14.137054865768523</c:v>
              </c:pt>
            </c:numLit>
          </c:xVal>
          <c:yVal>
            <c:numLit>
              <c:formatCode>General</c:formatCode>
              <c:ptCount val="2"/>
              <c:pt idx="0">
                <c:v>2.3161111335789079E-2</c:v>
              </c:pt>
              <c:pt idx="1">
                <c:v>2.3045619426521106E-2</c:v>
              </c:pt>
            </c:numLit>
          </c:yVal>
          <c:smooth val="0"/>
          <c:extLst>
            <c:ext xmlns:c16="http://schemas.microsoft.com/office/drawing/2014/chart" uri="{C3380CC4-5D6E-409C-BE32-E72D297353CC}">
              <c16:uniqueId val="{00000067-33F5-4977-9D82-812B15A3C11A}"/>
            </c:ext>
          </c:extLst>
        </c:ser>
        <c:ser>
          <c:idx val="87"/>
          <c:order val="87"/>
          <c:tx>
            <c:v>h=75</c:v>
          </c:tx>
          <c:spPr>
            <a:ln w="3175">
              <a:solidFill>
                <a:srgbClr val="808080"/>
              </a:solidFill>
              <a:prstDash val="solid"/>
            </a:ln>
          </c:spPr>
          <c:marker>
            <c:symbol val="none"/>
          </c:marker>
          <c:dLbls>
            <c:dLbl>
              <c:idx val="0"/>
              <c:layout>
                <c:manualLayout>
                  <c:x val="-3.0087489063867018E-2"/>
                  <c:y val="-9.347701729591532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75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8-33F5-4977-9D82-812B15A3C1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14.145463647469857</c:v>
              </c:pt>
              <c:pt idx="1">
                <c:v>50</c:v>
              </c:pt>
            </c:numLit>
          </c:xVal>
          <c:yVal>
            <c:numLit>
              <c:formatCode>General</c:formatCode>
              <c:ptCount val="2"/>
              <c:pt idx="0">
                <c:v>2.3427009857611921E-2</c:v>
              </c:pt>
              <c:pt idx="1">
                <c:v>9.5219737856592126E-3</c:v>
              </c:pt>
            </c:numLit>
          </c:yVal>
          <c:smooth val="0"/>
          <c:extLst>
            <c:ext xmlns:c16="http://schemas.microsoft.com/office/drawing/2014/chart" uri="{C3380CC4-5D6E-409C-BE32-E72D297353CC}">
              <c16:uniqueId val="{00000069-33F5-4977-9D82-812B15A3C11A}"/>
            </c:ext>
          </c:extLst>
        </c:ser>
        <c:ser>
          <c:idx val="88"/>
          <c:order val="88"/>
          <c:tx>
            <c:v>h=76</c:v>
          </c:tx>
          <c:spPr>
            <a:ln w="3175">
              <a:solidFill>
                <a:srgbClr val="808080"/>
              </a:solidFill>
              <a:prstDash val="solid"/>
            </a:ln>
          </c:spPr>
          <c:marker>
            <c:symbol val="none"/>
          </c:marker>
          <c:xVal>
            <c:numLit>
              <c:formatCode>General</c:formatCode>
              <c:ptCount val="2"/>
              <c:pt idx="0">
                <c:v>14.45387242917119</c:v>
              </c:pt>
              <c:pt idx="1">
                <c:v>14.75387242917119</c:v>
              </c:pt>
            </c:numLit>
          </c:xVal>
          <c:yVal>
            <c:numLit>
              <c:formatCode>General</c:formatCode>
              <c:ptCount val="2"/>
              <c:pt idx="0">
                <c:v>2.3692908379434767E-2</c:v>
              </c:pt>
              <c:pt idx="1">
                <c:v>2.3577419837842114E-2</c:v>
              </c:pt>
            </c:numLit>
          </c:yVal>
          <c:smooth val="0"/>
          <c:extLst>
            <c:ext xmlns:c16="http://schemas.microsoft.com/office/drawing/2014/chart" uri="{C3380CC4-5D6E-409C-BE32-E72D297353CC}">
              <c16:uniqueId val="{0000006A-33F5-4977-9D82-812B15A3C11A}"/>
            </c:ext>
          </c:extLst>
        </c:ser>
        <c:ser>
          <c:idx val="89"/>
          <c:order val="89"/>
          <c:tx>
            <c:v>h=77</c:v>
          </c:tx>
          <c:spPr>
            <a:ln w="3175">
              <a:solidFill>
                <a:srgbClr val="808080"/>
              </a:solidFill>
              <a:prstDash val="solid"/>
            </a:ln>
          </c:spPr>
          <c:marker>
            <c:symbol val="none"/>
          </c:marker>
          <c:xVal>
            <c:numLit>
              <c:formatCode>General</c:formatCode>
              <c:ptCount val="2"/>
              <c:pt idx="0">
                <c:v>14.762281210872525</c:v>
              </c:pt>
              <c:pt idx="1">
                <c:v>15.062281210872523</c:v>
              </c:pt>
            </c:numLit>
          </c:xVal>
          <c:yVal>
            <c:numLit>
              <c:formatCode>General</c:formatCode>
              <c:ptCount val="2"/>
              <c:pt idx="0">
                <c:v>2.3958806901257609E-2</c:v>
              </c:pt>
              <c:pt idx="1">
                <c:v>2.3843319987369743E-2</c:v>
              </c:pt>
            </c:numLit>
          </c:yVal>
          <c:smooth val="0"/>
          <c:extLst>
            <c:ext xmlns:c16="http://schemas.microsoft.com/office/drawing/2014/chart" uri="{C3380CC4-5D6E-409C-BE32-E72D297353CC}">
              <c16:uniqueId val="{0000006B-33F5-4977-9D82-812B15A3C11A}"/>
            </c:ext>
          </c:extLst>
        </c:ser>
        <c:ser>
          <c:idx val="90"/>
          <c:order val="90"/>
          <c:tx>
            <c:v>h=78</c:v>
          </c:tx>
          <c:spPr>
            <a:ln w="3175">
              <a:solidFill>
                <a:srgbClr val="808080"/>
              </a:solidFill>
              <a:prstDash val="solid"/>
            </a:ln>
          </c:spPr>
          <c:marker>
            <c:symbol val="none"/>
          </c:marker>
          <c:xVal>
            <c:numLit>
              <c:formatCode>General</c:formatCode>
              <c:ptCount val="2"/>
              <c:pt idx="0">
                <c:v>15.070689992573858</c:v>
              </c:pt>
              <c:pt idx="1">
                <c:v>15.370689992573858</c:v>
              </c:pt>
            </c:numLit>
          </c:xVal>
          <c:yVal>
            <c:numLit>
              <c:formatCode>General</c:formatCode>
              <c:ptCount val="2"/>
              <c:pt idx="0">
                <c:v>2.4224705423080455E-2</c:v>
              </c:pt>
              <c:pt idx="1">
                <c:v>2.4109220101120522E-2</c:v>
              </c:pt>
            </c:numLit>
          </c:yVal>
          <c:smooth val="0"/>
          <c:extLst>
            <c:ext xmlns:c16="http://schemas.microsoft.com/office/drawing/2014/chart" uri="{C3380CC4-5D6E-409C-BE32-E72D297353CC}">
              <c16:uniqueId val="{0000006C-33F5-4977-9D82-812B15A3C11A}"/>
            </c:ext>
          </c:extLst>
        </c:ser>
        <c:ser>
          <c:idx val="91"/>
          <c:order val="91"/>
          <c:tx>
            <c:v>h=79</c:v>
          </c:tx>
          <c:spPr>
            <a:ln w="3175">
              <a:solidFill>
                <a:srgbClr val="808080"/>
              </a:solidFill>
              <a:prstDash val="solid"/>
            </a:ln>
          </c:spPr>
          <c:marker>
            <c:symbol val="none"/>
          </c:marker>
          <c:xVal>
            <c:numLit>
              <c:formatCode>General</c:formatCode>
              <c:ptCount val="2"/>
              <c:pt idx="0">
                <c:v>15.379098774275191</c:v>
              </c:pt>
              <c:pt idx="1">
                <c:v>15.679098774275191</c:v>
              </c:pt>
            </c:numLit>
          </c:xVal>
          <c:yVal>
            <c:numLit>
              <c:formatCode>General</c:formatCode>
              <c:ptCount val="2"/>
              <c:pt idx="0">
                <c:v>2.4490603944903301E-2</c:v>
              </c:pt>
              <c:pt idx="1">
                <c:v>2.4375120180261185E-2</c:v>
              </c:pt>
            </c:numLit>
          </c:yVal>
          <c:smooth val="0"/>
          <c:extLst>
            <c:ext xmlns:c16="http://schemas.microsoft.com/office/drawing/2014/chart" uri="{C3380CC4-5D6E-409C-BE32-E72D297353CC}">
              <c16:uniqueId val="{0000006D-33F5-4977-9D82-812B15A3C11A}"/>
            </c:ext>
          </c:extLst>
        </c:ser>
        <c:ser>
          <c:idx val="92"/>
          <c:order val="92"/>
          <c:tx>
            <c:v>h=80</c:v>
          </c:tx>
          <c:spPr>
            <a:ln w="3175">
              <a:solidFill>
                <a:srgbClr val="808080"/>
              </a:solidFill>
              <a:prstDash val="solid"/>
            </a:ln>
          </c:spPr>
          <c:marker>
            <c:symbol val="none"/>
          </c:marker>
          <c:dLbls>
            <c:dLbl>
              <c:idx val="0"/>
              <c:layout>
                <c:manualLayout>
                  <c:x val="-3.00874890638670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80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E-33F5-4977-9D82-812B15A3C1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15.687507555976525</c:v>
              </c:pt>
              <c:pt idx="1">
                <c:v>50</c:v>
              </c:pt>
            </c:numLit>
          </c:xVal>
          <c:yVal>
            <c:numLit>
              <c:formatCode>General</c:formatCode>
              <c:ptCount val="2"/>
              <c:pt idx="0">
                <c:v>2.4756502466726144E-2</c:v>
              </c:pt>
              <c:pt idx="1">
                <c:v>1.1449498843484965E-2</c:v>
              </c:pt>
            </c:numLit>
          </c:yVal>
          <c:smooth val="0"/>
          <c:extLst>
            <c:ext xmlns:c16="http://schemas.microsoft.com/office/drawing/2014/chart" uri="{C3380CC4-5D6E-409C-BE32-E72D297353CC}">
              <c16:uniqueId val="{0000006F-33F5-4977-9D82-812B15A3C11A}"/>
            </c:ext>
          </c:extLst>
        </c:ser>
        <c:ser>
          <c:idx val="93"/>
          <c:order val="93"/>
          <c:tx>
            <c:v>h=81</c:v>
          </c:tx>
          <c:spPr>
            <a:ln w="3175">
              <a:solidFill>
                <a:srgbClr val="808080"/>
              </a:solidFill>
              <a:prstDash val="solid"/>
            </a:ln>
          </c:spPr>
          <c:marker>
            <c:symbol val="none"/>
          </c:marker>
          <c:xVal>
            <c:numLit>
              <c:formatCode>General</c:formatCode>
              <c:ptCount val="2"/>
              <c:pt idx="0">
                <c:v>15.995916337677858</c:v>
              </c:pt>
              <c:pt idx="1">
                <c:v>16.295916337677859</c:v>
              </c:pt>
            </c:numLit>
          </c:xVal>
          <c:yVal>
            <c:numLit>
              <c:formatCode>General</c:formatCode>
              <c:ptCount val="2"/>
              <c:pt idx="0">
                <c:v>2.5022400988548989E-2</c:v>
              </c:pt>
              <c:pt idx="1">
                <c:v>2.4906920239130846E-2</c:v>
              </c:pt>
            </c:numLit>
          </c:yVal>
          <c:smooth val="0"/>
          <c:extLst>
            <c:ext xmlns:c16="http://schemas.microsoft.com/office/drawing/2014/chart" uri="{C3380CC4-5D6E-409C-BE32-E72D297353CC}">
              <c16:uniqueId val="{00000070-33F5-4977-9D82-812B15A3C11A}"/>
            </c:ext>
          </c:extLst>
        </c:ser>
        <c:ser>
          <c:idx val="94"/>
          <c:order val="94"/>
          <c:tx>
            <c:v>h=82</c:v>
          </c:tx>
          <c:spPr>
            <a:ln w="3175">
              <a:solidFill>
                <a:srgbClr val="808080"/>
              </a:solidFill>
              <a:prstDash val="solid"/>
            </a:ln>
          </c:spPr>
          <c:marker>
            <c:symbol val="none"/>
          </c:marker>
          <c:xVal>
            <c:numLit>
              <c:formatCode>General</c:formatCode>
              <c:ptCount val="2"/>
              <c:pt idx="0">
                <c:v>16.304325119379193</c:v>
              </c:pt>
              <c:pt idx="1">
                <c:v>16.60432511937919</c:v>
              </c:pt>
            </c:numLit>
          </c:xVal>
          <c:yVal>
            <c:numLit>
              <c:formatCode>General</c:formatCode>
              <c:ptCount val="2"/>
              <c:pt idx="0">
                <c:v>2.5288299510371832E-2</c:v>
              </c:pt>
              <c:pt idx="1">
                <c:v>2.5172820220952897E-2</c:v>
              </c:pt>
            </c:numLit>
          </c:yVal>
          <c:smooth val="0"/>
          <c:extLst>
            <c:ext xmlns:c16="http://schemas.microsoft.com/office/drawing/2014/chart" uri="{C3380CC4-5D6E-409C-BE32-E72D297353CC}">
              <c16:uniqueId val="{00000071-33F5-4977-9D82-812B15A3C11A}"/>
            </c:ext>
          </c:extLst>
        </c:ser>
        <c:ser>
          <c:idx val="95"/>
          <c:order val="95"/>
          <c:tx>
            <c:v>h=83</c:v>
          </c:tx>
          <c:spPr>
            <a:ln w="3175">
              <a:solidFill>
                <a:srgbClr val="808080"/>
              </a:solidFill>
              <a:prstDash val="solid"/>
            </a:ln>
          </c:spPr>
          <c:marker>
            <c:symbol val="none"/>
          </c:marker>
          <c:xVal>
            <c:numLit>
              <c:formatCode>General</c:formatCode>
              <c:ptCount val="2"/>
              <c:pt idx="0">
                <c:v>16.612733901080524</c:v>
              </c:pt>
              <c:pt idx="1">
                <c:v>16.912733901080525</c:v>
              </c:pt>
            </c:numLit>
          </c:xVal>
          <c:yVal>
            <c:numLit>
              <c:formatCode>General</c:formatCode>
              <c:ptCount val="2"/>
              <c:pt idx="0">
                <c:v>2.5554198032194678E-2</c:v>
              </c:pt>
              <c:pt idx="1">
                <c:v>2.5438720172355784E-2</c:v>
              </c:pt>
            </c:numLit>
          </c:yVal>
          <c:smooth val="0"/>
          <c:extLst>
            <c:ext xmlns:c16="http://schemas.microsoft.com/office/drawing/2014/chart" uri="{C3380CC4-5D6E-409C-BE32-E72D297353CC}">
              <c16:uniqueId val="{00000072-33F5-4977-9D82-812B15A3C11A}"/>
            </c:ext>
          </c:extLst>
        </c:ser>
        <c:ser>
          <c:idx val="96"/>
          <c:order val="96"/>
          <c:tx>
            <c:v>h=84</c:v>
          </c:tx>
          <c:spPr>
            <a:ln w="3175">
              <a:solidFill>
                <a:srgbClr val="808080"/>
              </a:solidFill>
              <a:prstDash val="solid"/>
            </a:ln>
          </c:spPr>
          <c:marker>
            <c:symbol val="none"/>
          </c:marker>
          <c:xVal>
            <c:numLit>
              <c:formatCode>General</c:formatCode>
              <c:ptCount val="2"/>
              <c:pt idx="0">
                <c:v>16.921142682781859</c:v>
              </c:pt>
              <c:pt idx="1">
                <c:v>17.22114268278186</c:v>
              </c:pt>
            </c:numLit>
          </c:xVal>
          <c:yVal>
            <c:numLit>
              <c:formatCode>General</c:formatCode>
              <c:ptCount val="2"/>
              <c:pt idx="0">
                <c:v>2.5820096554017524E-2</c:v>
              </c:pt>
              <c:pt idx="1">
                <c:v>2.570462009428038E-2</c:v>
              </c:pt>
            </c:numLit>
          </c:yVal>
          <c:smooth val="0"/>
          <c:extLst>
            <c:ext xmlns:c16="http://schemas.microsoft.com/office/drawing/2014/chart" uri="{C3380CC4-5D6E-409C-BE32-E72D297353CC}">
              <c16:uniqueId val="{00000073-33F5-4977-9D82-812B15A3C11A}"/>
            </c:ext>
          </c:extLst>
        </c:ser>
        <c:ser>
          <c:idx val="97"/>
          <c:order val="97"/>
          <c:tx>
            <c:v>h=85</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85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4-33F5-4977-9D82-812B15A3C1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17.229551464483194</c:v>
              </c:pt>
              <c:pt idx="1">
                <c:v>50</c:v>
              </c:pt>
            </c:numLit>
          </c:xVal>
          <c:yVal>
            <c:numLit>
              <c:formatCode>General</c:formatCode>
              <c:ptCount val="2"/>
              <c:pt idx="0">
                <c:v>2.6085995075840366E-2</c:v>
              </c:pt>
              <c:pt idx="1">
                <c:v>1.3377023901310717E-2</c:v>
              </c:pt>
            </c:numLit>
          </c:yVal>
          <c:smooth val="0"/>
          <c:extLst>
            <c:ext xmlns:c16="http://schemas.microsoft.com/office/drawing/2014/chart" uri="{C3380CC4-5D6E-409C-BE32-E72D297353CC}">
              <c16:uniqueId val="{00000075-33F5-4977-9D82-812B15A3C11A}"/>
            </c:ext>
          </c:extLst>
        </c:ser>
        <c:ser>
          <c:idx val="98"/>
          <c:order val="98"/>
          <c:tx>
            <c:v>h=86</c:v>
          </c:tx>
          <c:spPr>
            <a:ln w="3175">
              <a:solidFill>
                <a:srgbClr val="808080"/>
              </a:solidFill>
              <a:prstDash val="solid"/>
            </a:ln>
          </c:spPr>
          <c:marker>
            <c:symbol val="none"/>
          </c:marker>
          <c:xVal>
            <c:numLit>
              <c:formatCode>General</c:formatCode>
              <c:ptCount val="2"/>
              <c:pt idx="0">
                <c:v>17.537960246184525</c:v>
              </c:pt>
              <c:pt idx="1">
                <c:v>17.837960246184526</c:v>
              </c:pt>
            </c:numLit>
          </c:xVal>
          <c:yVal>
            <c:numLit>
              <c:formatCode>General</c:formatCode>
              <c:ptCount val="2"/>
              <c:pt idx="0">
                <c:v>2.6351893597663212E-2</c:v>
              </c:pt>
              <c:pt idx="1">
                <c:v>2.6236419853268116E-2</c:v>
              </c:pt>
            </c:numLit>
          </c:yVal>
          <c:smooth val="0"/>
          <c:extLst>
            <c:ext xmlns:c16="http://schemas.microsoft.com/office/drawing/2014/chart" uri="{C3380CC4-5D6E-409C-BE32-E72D297353CC}">
              <c16:uniqueId val="{00000076-33F5-4977-9D82-812B15A3C11A}"/>
            </c:ext>
          </c:extLst>
        </c:ser>
        <c:ser>
          <c:idx val="99"/>
          <c:order val="99"/>
          <c:tx>
            <c:v>h=87</c:v>
          </c:tx>
          <c:spPr>
            <a:ln w="3175">
              <a:solidFill>
                <a:srgbClr val="808080"/>
              </a:solidFill>
              <a:prstDash val="solid"/>
            </a:ln>
          </c:spPr>
          <c:marker>
            <c:symbol val="none"/>
          </c:marker>
          <c:xVal>
            <c:numLit>
              <c:formatCode>General</c:formatCode>
              <c:ptCount val="2"/>
              <c:pt idx="0">
                <c:v>17.84636902788586</c:v>
              </c:pt>
              <c:pt idx="1">
                <c:v>18.146369027885861</c:v>
              </c:pt>
            </c:numLit>
          </c:xVal>
          <c:yVal>
            <c:numLit>
              <c:formatCode>General</c:formatCode>
              <c:ptCount val="2"/>
              <c:pt idx="0">
                <c:v>2.6617792119486054E-2</c:v>
              </c:pt>
              <c:pt idx="1">
                <c:v>2.6502319692028618E-2</c:v>
              </c:pt>
            </c:numLit>
          </c:yVal>
          <c:smooth val="0"/>
          <c:extLst>
            <c:ext xmlns:c16="http://schemas.microsoft.com/office/drawing/2014/chart" uri="{C3380CC4-5D6E-409C-BE32-E72D297353CC}">
              <c16:uniqueId val="{00000077-33F5-4977-9D82-812B15A3C11A}"/>
            </c:ext>
          </c:extLst>
        </c:ser>
        <c:ser>
          <c:idx val="100"/>
          <c:order val="100"/>
          <c:tx>
            <c:v>h=88</c:v>
          </c:tx>
          <c:spPr>
            <a:ln w="3175">
              <a:solidFill>
                <a:srgbClr val="808080"/>
              </a:solidFill>
              <a:prstDash val="solid"/>
            </a:ln>
          </c:spPr>
          <c:marker>
            <c:symbol val="none"/>
          </c:marker>
          <c:xVal>
            <c:numLit>
              <c:formatCode>General</c:formatCode>
              <c:ptCount val="2"/>
              <c:pt idx="0">
                <c:v>18.154777809587195</c:v>
              </c:pt>
              <c:pt idx="1">
                <c:v>18.454777809587192</c:v>
              </c:pt>
            </c:numLit>
          </c:xVal>
          <c:yVal>
            <c:numLit>
              <c:formatCode>General</c:formatCode>
              <c:ptCount val="2"/>
              <c:pt idx="0">
                <c:v>2.68836906413089E-2</c:v>
              </c:pt>
              <c:pt idx="1">
                <c:v>2.6768219504709097E-2</c:v>
              </c:pt>
            </c:numLit>
          </c:yVal>
          <c:smooth val="0"/>
          <c:extLst>
            <c:ext xmlns:c16="http://schemas.microsoft.com/office/drawing/2014/chart" uri="{C3380CC4-5D6E-409C-BE32-E72D297353CC}">
              <c16:uniqueId val="{00000078-33F5-4977-9D82-812B15A3C11A}"/>
            </c:ext>
          </c:extLst>
        </c:ser>
        <c:ser>
          <c:idx val="101"/>
          <c:order val="101"/>
          <c:tx>
            <c:v>h=89</c:v>
          </c:tx>
          <c:spPr>
            <a:ln w="3175">
              <a:solidFill>
                <a:srgbClr val="808080"/>
              </a:solidFill>
              <a:prstDash val="solid"/>
            </a:ln>
          </c:spPr>
          <c:marker>
            <c:symbol val="none"/>
          </c:marker>
          <c:xVal>
            <c:numLit>
              <c:formatCode>General</c:formatCode>
              <c:ptCount val="2"/>
              <c:pt idx="0">
                <c:v>18.463186591288526</c:v>
              </c:pt>
              <c:pt idx="1">
                <c:v>18.763186591288527</c:v>
              </c:pt>
            </c:numLit>
          </c:xVal>
          <c:yVal>
            <c:numLit>
              <c:formatCode>General</c:formatCode>
              <c:ptCount val="2"/>
              <c:pt idx="0">
                <c:v>2.7149589163131743E-2</c:v>
              </c:pt>
              <c:pt idx="1">
                <c:v>2.7034119292076671E-2</c:v>
              </c:pt>
            </c:numLit>
          </c:yVal>
          <c:smooth val="0"/>
          <c:extLst>
            <c:ext xmlns:c16="http://schemas.microsoft.com/office/drawing/2014/chart" uri="{C3380CC4-5D6E-409C-BE32-E72D297353CC}">
              <c16:uniqueId val="{00000079-33F5-4977-9D82-812B15A3C11A}"/>
            </c:ext>
          </c:extLst>
        </c:ser>
        <c:ser>
          <c:idx val="102"/>
          <c:order val="102"/>
          <c:tx>
            <c:v>h=90</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90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A-33F5-4977-9D82-812B15A3C1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18.771595372989861</c:v>
              </c:pt>
              <c:pt idx="1">
                <c:v>50</c:v>
              </c:pt>
            </c:numLit>
          </c:xVal>
          <c:yVal>
            <c:numLit>
              <c:formatCode>General</c:formatCode>
              <c:ptCount val="2"/>
              <c:pt idx="0">
                <c:v>2.7415487684954588E-2</c:v>
              </c:pt>
              <c:pt idx="1">
                <c:v>1.5304548959136469E-2</c:v>
              </c:pt>
            </c:numLit>
          </c:yVal>
          <c:smooth val="0"/>
          <c:extLst>
            <c:ext xmlns:c16="http://schemas.microsoft.com/office/drawing/2014/chart" uri="{C3380CC4-5D6E-409C-BE32-E72D297353CC}">
              <c16:uniqueId val="{0000007B-33F5-4977-9D82-812B15A3C11A}"/>
            </c:ext>
          </c:extLst>
        </c:ser>
        <c:ser>
          <c:idx val="103"/>
          <c:order val="103"/>
          <c:tx>
            <c:v>h=91</c:v>
          </c:tx>
          <c:spPr>
            <a:ln w="3175">
              <a:solidFill>
                <a:srgbClr val="808080"/>
              </a:solidFill>
              <a:prstDash val="solid"/>
            </a:ln>
          </c:spPr>
          <c:marker>
            <c:symbol val="none"/>
          </c:marker>
          <c:xVal>
            <c:numLit>
              <c:formatCode>General</c:formatCode>
              <c:ptCount val="2"/>
              <c:pt idx="0">
                <c:v>19.080004154691196</c:v>
              </c:pt>
              <c:pt idx="1">
                <c:v>19.380004154691193</c:v>
              </c:pt>
            </c:numLit>
          </c:xVal>
          <c:yVal>
            <c:numLit>
              <c:formatCode>General</c:formatCode>
              <c:ptCount val="2"/>
              <c:pt idx="0">
                <c:v>2.7681386206777434E-2</c:v>
              </c:pt>
              <c:pt idx="1">
                <c:v>2.7565918793794053E-2</c:v>
              </c:pt>
            </c:numLit>
          </c:yVal>
          <c:smooth val="0"/>
          <c:extLst>
            <c:ext xmlns:c16="http://schemas.microsoft.com/office/drawing/2014/chart" uri="{C3380CC4-5D6E-409C-BE32-E72D297353CC}">
              <c16:uniqueId val="{0000007C-33F5-4977-9D82-812B15A3C11A}"/>
            </c:ext>
          </c:extLst>
        </c:ser>
        <c:ser>
          <c:idx val="104"/>
          <c:order val="104"/>
          <c:tx>
            <c:v>h=92</c:v>
          </c:tx>
          <c:spPr>
            <a:ln w="3175">
              <a:solidFill>
                <a:srgbClr val="808080"/>
              </a:solidFill>
              <a:prstDash val="solid"/>
            </a:ln>
          </c:spPr>
          <c:marker>
            <c:symbol val="none"/>
          </c:marker>
          <c:xVal>
            <c:numLit>
              <c:formatCode>General</c:formatCode>
              <c:ptCount val="2"/>
              <c:pt idx="0">
                <c:v>19.388412936392527</c:v>
              </c:pt>
              <c:pt idx="1">
                <c:v>19.688412936392528</c:v>
              </c:pt>
            </c:numLit>
          </c:xVal>
          <c:yVal>
            <c:numLit>
              <c:formatCode>General</c:formatCode>
              <c:ptCount val="2"/>
              <c:pt idx="0">
                <c:v>2.7947284728600277E-2</c:v>
              </c:pt>
              <c:pt idx="1">
                <c:v>2.7831818509534777E-2</c:v>
              </c:pt>
            </c:numLit>
          </c:yVal>
          <c:smooth val="0"/>
          <c:extLst>
            <c:ext xmlns:c16="http://schemas.microsoft.com/office/drawing/2014/chart" uri="{C3380CC4-5D6E-409C-BE32-E72D297353CC}">
              <c16:uniqueId val="{0000007D-33F5-4977-9D82-812B15A3C11A}"/>
            </c:ext>
          </c:extLst>
        </c:ser>
        <c:ser>
          <c:idx val="105"/>
          <c:order val="105"/>
          <c:tx>
            <c:v>h=93</c:v>
          </c:tx>
          <c:spPr>
            <a:ln w="3175">
              <a:solidFill>
                <a:srgbClr val="808080"/>
              </a:solidFill>
              <a:prstDash val="solid"/>
            </a:ln>
          </c:spPr>
          <c:marker>
            <c:symbol val="none"/>
          </c:marker>
          <c:xVal>
            <c:numLit>
              <c:formatCode>General</c:formatCode>
              <c:ptCount val="2"/>
              <c:pt idx="0">
                <c:v>19.696821718093862</c:v>
              </c:pt>
              <c:pt idx="1">
                <c:v>19.996821718093862</c:v>
              </c:pt>
            </c:numLit>
          </c:xVal>
          <c:yVal>
            <c:numLit>
              <c:formatCode>General</c:formatCode>
              <c:ptCount val="2"/>
              <c:pt idx="0">
                <c:v>2.8213183250423123E-2</c:v>
              </c:pt>
              <c:pt idx="1">
                <c:v>2.8097718202747063E-2</c:v>
              </c:pt>
            </c:numLit>
          </c:yVal>
          <c:smooth val="0"/>
          <c:extLst>
            <c:ext xmlns:c16="http://schemas.microsoft.com/office/drawing/2014/chart" uri="{C3380CC4-5D6E-409C-BE32-E72D297353CC}">
              <c16:uniqueId val="{0000007E-33F5-4977-9D82-812B15A3C11A}"/>
            </c:ext>
          </c:extLst>
        </c:ser>
        <c:ser>
          <c:idx val="106"/>
          <c:order val="106"/>
          <c:tx>
            <c:v>h=94</c:v>
          </c:tx>
          <c:spPr>
            <a:ln w="3175">
              <a:solidFill>
                <a:srgbClr val="808080"/>
              </a:solidFill>
              <a:prstDash val="solid"/>
            </a:ln>
          </c:spPr>
          <c:marker>
            <c:symbol val="none"/>
          </c:marker>
          <c:xVal>
            <c:numLit>
              <c:formatCode>General</c:formatCode>
              <c:ptCount val="2"/>
              <c:pt idx="0">
                <c:v>20.005230499795196</c:v>
              </c:pt>
              <c:pt idx="1">
                <c:v>20.305230499795194</c:v>
              </c:pt>
            </c:numLit>
          </c:xVal>
          <c:yVal>
            <c:numLit>
              <c:formatCode>General</c:formatCode>
              <c:ptCount val="2"/>
              <c:pt idx="0">
                <c:v>2.8479081772245965E-2</c:v>
              </c:pt>
              <c:pt idx="1">
                <c:v>2.8363617874062594E-2</c:v>
              </c:pt>
            </c:numLit>
          </c:yVal>
          <c:smooth val="0"/>
          <c:extLst>
            <c:ext xmlns:c16="http://schemas.microsoft.com/office/drawing/2014/chart" uri="{C3380CC4-5D6E-409C-BE32-E72D297353CC}">
              <c16:uniqueId val="{0000007F-33F5-4977-9D82-812B15A3C11A}"/>
            </c:ext>
          </c:extLst>
        </c:ser>
        <c:ser>
          <c:idx val="107"/>
          <c:order val="107"/>
          <c:tx>
            <c:v>h=95</c:v>
          </c:tx>
          <c:spPr>
            <a:ln w="3175">
              <a:solidFill>
                <a:srgbClr val="808080"/>
              </a:solidFill>
              <a:prstDash val="solid"/>
            </a:ln>
          </c:spPr>
          <c:marker>
            <c:symbol val="none"/>
          </c:marker>
          <c:dLbls>
            <c:dLbl>
              <c:idx val="0"/>
              <c:layout>
                <c:manualLayout>
                  <c:x val="-3.0087489063867018E-2"/>
                  <c:y val="-9.347701729591512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95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0-33F5-4977-9D82-812B15A3C1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20.313639281496528</c:v>
              </c:pt>
              <c:pt idx="1">
                <c:v>50</c:v>
              </c:pt>
            </c:numLit>
          </c:xVal>
          <c:yVal>
            <c:numLit>
              <c:formatCode>General</c:formatCode>
              <c:ptCount val="2"/>
              <c:pt idx="0">
                <c:v>2.8744980294068811E-2</c:v>
              </c:pt>
              <c:pt idx="1">
                <c:v>1.723207401696222E-2</c:v>
              </c:pt>
            </c:numLit>
          </c:yVal>
          <c:smooth val="0"/>
          <c:extLst>
            <c:ext xmlns:c16="http://schemas.microsoft.com/office/drawing/2014/chart" uri="{C3380CC4-5D6E-409C-BE32-E72D297353CC}">
              <c16:uniqueId val="{00000081-33F5-4977-9D82-812B15A3C11A}"/>
            </c:ext>
          </c:extLst>
        </c:ser>
        <c:ser>
          <c:idx val="108"/>
          <c:order val="108"/>
          <c:tx>
            <c:v>h=96</c:v>
          </c:tx>
          <c:spPr>
            <a:ln w="3175">
              <a:solidFill>
                <a:srgbClr val="808080"/>
              </a:solidFill>
              <a:prstDash val="solid"/>
            </a:ln>
          </c:spPr>
          <c:marker>
            <c:symbol val="none"/>
          </c:marker>
          <c:xVal>
            <c:numLit>
              <c:formatCode>General</c:formatCode>
              <c:ptCount val="2"/>
              <c:pt idx="0">
                <c:v>20.622048063197862</c:v>
              </c:pt>
              <c:pt idx="1">
                <c:v>20.922048063197863</c:v>
              </c:pt>
            </c:numLit>
          </c:xVal>
          <c:yVal>
            <c:numLit>
              <c:formatCode>General</c:formatCode>
              <c:ptCount val="2"/>
              <c:pt idx="0">
                <c:v>2.9010878815891653E-2</c:v>
              </c:pt>
              <c:pt idx="1">
                <c:v>2.8895417153414215E-2</c:v>
              </c:pt>
            </c:numLit>
          </c:yVal>
          <c:smooth val="0"/>
          <c:extLst>
            <c:ext xmlns:c16="http://schemas.microsoft.com/office/drawing/2014/chart" uri="{C3380CC4-5D6E-409C-BE32-E72D297353CC}">
              <c16:uniqueId val="{00000082-33F5-4977-9D82-812B15A3C11A}"/>
            </c:ext>
          </c:extLst>
        </c:ser>
        <c:ser>
          <c:idx val="109"/>
          <c:order val="109"/>
          <c:tx>
            <c:v>h=97</c:v>
          </c:tx>
          <c:spPr>
            <a:ln w="3175">
              <a:solidFill>
                <a:srgbClr val="808080"/>
              </a:solidFill>
              <a:prstDash val="solid"/>
            </a:ln>
          </c:spPr>
          <c:marker>
            <c:symbol val="none"/>
          </c:marker>
          <c:xVal>
            <c:numLit>
              <c:formatCode>General</c:formatCode>
              <c:ptCount val="2"/>
              <c:pt idx="0">
                <c:v>20.930456844899197</c:v>
              </c:pt>
              <c:pt idx="1">
                <c:v>21.230456844899194</c:v>
              </c:pt>
            </c:numLit>
          </c:xVal>
          <c:yVal>
            <c:numLit>
              <c:formatCode>General</c:formatCode>
              <c:ptCount val="2"/>
              <c:pt idx="0">
                <c:v>2.9276777337714499E-2</c:v>
              </c:pt>
              <c:pt idx="1">
                <c:v>2.916131676260093E-2</c:v>
              </c:pt>
            </c:numLit>
          </c:yVal>
          <c:smooth val="0"/>
          <c:extLst>
            <c:ext xmlns:c16="http://schemas.microsoft.com/office/drawing/2014/chart" uri="{C3380CC4-5D6E-409C-BE32-E72D297353CC}">
              <c16:uniqueId val="{00000083-33F5-4977-9D82-812B15A3C11A}"/>
            </c:ext>
          </c:extLst>
        </c:ser>
        <c:ser>
          <c:idx val="110"/>
          <c:order val="110"/>
          <c:tx>
            <c:v>h=98</c:v>
          </c:tx>
          <c:spPr>
            <a:ln w="3175">
              <a:solidFill>
                <a:srgbClr val="808080"/>
              </a:solidFill>
              <a:prstDash val="solid"/>
            </a:ln>
          </c:spPr>
          <c:marker>
            <c:symbol val="none"/>
          </c:marker>
          <c:xVal>
            <c:numLit>
              <c:formatCode>General</c:formatCode>
              <c:ptCount val="2"/>
              <c:pt idx="0">
                <c:v>21.238865626600528</c:v>
              </c:pt>
              <c:pt idx="1">
                <c:v>21.538865626600529</c:v>
              </c:pt>
            </c:numLit>
          </c:xVal>
          <c:yVal>
            <c:numLit>
              <c:formatCode>General</c:formatCode>
              <c:ptCount val="2"/>
              <c:pt idx="0">
                <c:v>2.9542675859537345E-2</c:v>
              </c:pt>
              <c:pt idx="1">
                <c:v>2.9427216352194103E-2</c:v>
              </c:pt>
            </c:numLit>
          </c:yVal>
          <c:smooth val="0"/>
          <c:extLst>
            <c:ext xmlns:c16="http://schemas.microsoft.com/office/drawing/2014/chart" uri="{C3380CC4-5D6E-409C-BE32-E72D297353CC}">
              <c16:uniqueId val="{00000084-33F5-4977-9D82-812B15A3C11A}"/>
            </c:ext>
          </c:extLst>
        </c:ser>
        <c:ser>
          <c:idx val="111"/>
          <c:order val="111"/>
          <c:tx>
            <c:v>h=99</c:v>
          </c:tx>
          <c:spPr>
            <a:ln w="3175">
              <a:solidFill>
                <a:srgbClr val="808080"/>
              </a:solidFill>
              <a:prstDash val="solid"/>
            </a:ln>
          </c:spPr>
          <c:marker>
            <c:symbol val="none"/>
          </c:marker>
          <c:xVal>
            <c:numLit>
              <c:formatCode>General</c:formatCode>
              <c:ptCount val="2"/>
              <c:pt idx="0">
                <c:v>21.547274408301863</c:v>
              </c:pt>
              <c:pt idx="1">
                <c:v>21.847274408301864</c:v>
              </c:pt>
            </c:numLit>
          </c:xVal>
          <c:yVal>
            <c:numLit>
              <c:formatCode>General</c:formatCode>
              <c:ptCount val="2"/>
              <c:pt idx="0">
                <c:v>2.9808574381360187E-2</c:v>
              </c:pt>
              <c:pt idx="1">
                <c:v>2.9693115922718592E-2</c:v>
              </c:pt>
            </c:numLit>
          </c:yVal>
          <c:smooth val="0"/>
          <c:extLst>
            <c:ext xmlns:c16="http://schemas.microsoft.com/office/drawing/2014/chart" uri="{C3380CC4-5D6E-409C-BE32-E72D297353CC}">
              <c16:uniqueId val="{00000085-33F5-4977-9D82-812B15A3C11A}"/>
            </c:ext>
          </c:extLst>
        </c:ser>
        <c:ser>
          <c:idx val="112"/>
          <c:order val="112"/>
          <c:tx>
            <c:v>h=100</c:v>
          </c:tx>
          <c:spPr>
            <a:ln w="3175">
              <a:solidFill>
                <a:srgbClr val="808080"/>
              </a:solidFill>
              <a:prstDash val="solid"/>
            </a:ln>
          </c:spPr>
          <c:marker>
            <c:symbol val="none"/>
          </c:marker>
          <c:dLbls>
            <c:dLbl>
              <c:idx val="0"/>
              <c:layout>
                <c:manualLayout>
                  <c:x val="-3.2080736001749779E-2"/>
                  <c:y val="-1.2169728783902031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100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6-33F5-4977-9D82-812B15A3C1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21.855683190003198</c:v>
              </c:pt>
              <c:pt idx="1">
                <c:v>49.999999999999993</c:v>
              </c:pt>
            </c:numLit>
          </c:xVal>
          <c:yVal>
            <c:numLit>
              <c:formatCode>General</c:formatCode>
              <c:ptCount val="2"/>
              <c:pt idx="0">
                <c:v>3.0074472903183033E-2</c:v>
              </c:pt>
              <c:pt idx="1">
                <c:v>1.9159599074787974E-2</c:v>
              </c:pt>
            </c:numLit>
          </c:yVal>
          <c:smooth val="0"/>
          <c:extLst>
            <c:ext xmlns:c16="http://schemas.microsoft.com/office/drawing/2014/chart" uri="{C3380CC4-5D6E-409C-BE32-E72D297353CC}">
              <c16:uniqueId val="{00000087-33F5-4977-9D82-812B15A3C11A}"/>
            </c:ext>
          </c:extLst>
        </c:ser>
        <c:ser>
          <c:idx val="113"/>
          <c:order val="113"/>
          <c:tx>
            <c:v>h=101</c:v>
          </c:tx>
          <c:spPr>
            <a:ln w="3175">
              <a:solidFill>
                <a:srgbClr val="808080"/>
              </a:solidFill>
              <a:prstDash val="solid"/>
            </a:ln>
          </c:spPr>
          <c:marker>
            <c:symbol val="none"/>
          </c:marker>
          <c:xVal>
            <c:numLit>
              <c:formatCode>General</c:formatCode>
              <c:ptCount val="2"/>
              <c:pt idx="0">
                <c:v>22.164091971704529</c:v>
              </c:pt>
              <c:pt idx="1">
                <c:v>22.46409197170453</c:v>
              </c:pt>
            </c:numLit>
          </c:xVal>
          <c:yVal>
            <c:numLit>
              <c:formatCode>General</c:formatCode>
              <c:ptCount val="2"/>
              <c:pt idx="0">
                <c:v>3.0340371425005876E-2</c:v>
              </c:pt>
              <c:pt idx="1">
                <c:v>3.0224915008568904E-2</c:v>
              </c:pt>
            </c:numLit>
          </c:yVal>
          <c:smooth val="0"/>
          <c:extLst>
            <c:ext xmlns:c16="http://schemas.microsoft.com/office/drawing/2014/chart" uri="{C3380CC4-5D6E-409C-BE32-E72D297353CC}">
              <c16:uniqueId val="{00000088-33F5-4977-9D82-812B15A3C11A}"/>
            </c:ext>
          </c:extLst>
        </c:ser>
        <c:ser>
          <c:idx val="114"/>
          <c:order val="114"/>
          <c:tx>
            <c:v>h=102</c:v>
          </c:tx>
          <c:spPr>
            <a:ln w="3175">
              <a:solidFill>
                <a:srgbClr val="808080"/>
              </a:solidFill>
              <a:prstDash val="solid"/>
            </a:ln>
          </c:spPr>
          <c:marker>
            <c:symbol val="none"/>
          </c:marker>
          <c:xVal>
            <c:numLit>
              <c:formatCode>General</c:formatCode>
              <c:ptCount val="2"/>
              <c:pt idx="0">
                <c:v>22.472500753405864</c:v>
              </c:pt>
              <c:pt idx="1">
                <c:v>22.772500753405865</c:v>
              </c:pt>
            </c:numLit>
          </c:xVal>
          <c:yVal>
            <c:numLit>
              <c:formatCode>General</c:formatCode>
              <c:ptCount val="2"/>
              <c:pt idx="0">
                <c:v>3.0606269946828722E-2</c:v>
              </c:pt>
              <c:pt idx="1">
                <c:v>3.0490814524854769E-2</c:v>
              </c:pt>
            </c:numLit>
          </c:yVal>
          <c:smooth val="0"/>
          <c:extLst>
            <c:ext xmlns:c16="http://schemas.microsoft.com/office/drawing/2014/chart" uri="{C3380CC4-5D6E-409C-BE32-E72D297353CC}">
              <c16:uniqueId val="{00000089-33F5-4977-9D82-812B15A3C11A}"/>
            </c:ext>
          </c:extLst>
        </c:ser>
        <c:ser>
          <c:idx val="115"/>
          <c:order val="115"/>
          <c:tx>
            <c:v>h=103</c:v>
          </c:tx>
          <c:spPr>
            <a:ln w="3175">
              <a:solidFill>
                <a:srgbClr val="808080"/>
              </a:solidFill>
              <a:prstDash val="solid"/>
            </a:ln>
          </c:spPr>
          <c:marker>
            <c:symbol val="none"/>
          </c:marker>
          <c:xVal>
            <c:numLit>
              <c:formatCode>General</c:formatCode>
              <c:ptCount val="2"/>
              <c:pt idx="0">
                <c:v>22.780909535107199</c:v>
              </c:pt>
              <c:pt idx="1">
                <c:v>23.080909535107196</c:v>
              </c:pt>
            </c:numLit>
          </c:xVal>
          <c:yVal>
            <c:numLit>
              <c:formatCode>General</c:formatCode>
              <c:ptCount val="2"/>
              <c:pt idx="0">
                <c:v>3.0872168468651567E-2</c:v>
              </c:pt>
              <c:pt idx="1">
                <c:v>3.0756714023993551E-2</c:v>
              </c:pt>
            </c:numLit>
          </c:yVal>
          <c:smooth val="0"/>
          <c:extLst>
            <c:ext xmlns:c16="http://schemas.microsoft.com/office/drawing/2014/chart" uri="{C3380CC4-5D6E-409C-BE32-E72D297353CC}">
              <c16:uniqueId val="{0000008A-33F5-4977-9D82-812B15A3C11A}"/>
            </c:ext>
          </c:extLst>
        </c:ser>
        <c:ser>
          <c:idx val="116"/>
          <c:order val="116"/>
          <c:tx>
            <c:v>h=104</c:v>
          </c:tx>
          <c:spPr>
            <a:ln w="3175">
              <a:solidFill>
                <a:srgbClr val="808080"/>
              </a:solidFill>
              <a:prstDash val="solid"/>
            </a:ln>
          </c:spPr>
          <c:marker>
            <c:symbol val="none"/>
          </c:marker>
          <c:xVal>
            <c:numLit>
              <c:formatCode>General</c:formatCode>
              <c:ptCount val="2"/>
              <c:pt idx="0">
                <c:v>23.08931831680853</c:v>
              </c:pt>
              <c:pt idx="1">
                <c:v>23.389318316808531</c:v>
              </c:pt>
            </c:numLit>
          </c:xVal>
          <c:yVal>
            <c:numLit>
              <c:formatCode>General</c:formatCode>
              <c:ptCount val="2"/>
              <c:pt idx="0">
                <c:v>3.113806699047441E-2</c:v>
              </c:pt>
              <c:pt idx="1">
                <c:v>3.1022613506424938E-2</c:v>
              </c:pt>
            </c:numLit>
          </c:yVal>
          <c:smooth val="0"/>
          <c:extLst>
            <c:ext xmlns:c16="http://schemas.microsoft.com/office/drawing/2014/chart" uri="{C3380CC4-5D6E-409C-BE32-E72D297353CC}">
              <c16:uniqueId val="{0000008B-33F5-4977-9D82-812B15A3C11A}"/>
            </c:ext>
          </c:extLst>
        </c:ser>
        <c:ser>
          <c:idx val="117"/>
          <c:order val="117"/>
          <c:tx>
            <c:v>h=105</c:v>
          </c:tx>
          <c:spPr>
            <a:ln w="3175">
              <a:solidFill>
                <a:srgbClr val="808080"/>
              </a:solidFill>
              <a:prstDash val="solid"/>
            </a:ln>
          </c:spPr>
          <c:marker>
            <c:symbol val="none"/>
          </c:marker>
          <c:dLbls>
            <c:dLbl>
              <c:idx val="0"/>
              <c:layout>
                <c:manualLayout>
                  <c:x val="-3.2080736001749842E-2"/>
                  <c:y val="-1.2169728783902012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105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C-33F5-4977-9D82-812B15A3C1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23.397727098509865</c:v>
              </c:pt>
              <c:pt idx="1">
                <c:v>50</c:v>
              </c:pt>
            </c:numLit>
          </c:xVal>
          <c:yVal>
            <c:numLit>
              <c:formatCode>General</c:formatCode>
              <c:ptCount val="2"/>
              <c:pt idx="0">
                <c:v>3.1403965512297252E-2</c:v>
              </c:pt>
              <c:pt idx="1">
                <c:v>2.1087124132613724E-2</c:v>
              </c:pt>
            </c:numLit>
          </c:yVal>
          <c:smooth val="0"/>
          <c:extLst>
            <c:ext xmlns:c16="http://schemas.microsoft.com/office/drawing/2014/chart" uri="{C3380CC4-5D6E-409C-BE32-E72D297353CC}">
              <c16:uniqueId val="{0000008D-33F5-4977-9D82-812B15A3C11A}"/>
            </c:ext>
          </c:extLst>
        </c:ser>
        <c:ser>
          <c:idx val="118"/>
          <c:order val="118"/>
          <c:tx>
            <c:v>h=106</c:v>
          </c:tx>
          <c:spPr>
            <a:ln w="3175">
              <a:solidFill>
                <a:srgbClr val="808080"/>
              </a:solidFill>
              <a:prstDash val="solid"/>
            </a:ln>
          </c:spPr>
          <c:marker>
            <c:symbol val="none"/>
          </c:marker>
          <c:xVal>
            <c:numLit>
              <c:formatCode>General</c:formatCode>
              <c:ptCount val="2"/>
              <c:pt idx="0">
                <c:v>23.7061358802112</c:v>
              </c:pt>
              <c:pt idx="1">
                <c:v>24.006135880211197</c:v>
              </c:pt>
            </c:numLit>
          </c:xVal>
          <c:yVal>
            <c:numLit>
              <c:formatCode>General</c:formatCode>
              <c:ptCount val="2"/>
              <c:pt idx="0">
                <c:v>3.1669864034120102E-2</c:v>
              </c:pt>
              <c:pt idx="1">
                <c:v>3.1554412422850439E-2</c:v>
              </c:pt>
            </c:numLit>
          </c:yVal>
          <c:smooth val="0"/>
          <c:extLst>
            <c:ext xmlns:c16="http://schemas.microsoft.com/office/drawing/2014/chart" uri="{C3380CC4-5D6E-409C-BE32-E72D297353CC}">
              <c16:uniqueId val="{0000008E-33F5-4977-9D82-812B15A3C11A}"/>
            </c:ext>
          </c:extLst>
        </c:ser>
        <c:ser>
          <c:idx val="119"/>
          <c:order val="119"/>
          <c:tx>
            <c:v>h=107</c:v>
          </c:tx>
          <c:spPr>
            <a:ln w="3175">
              <a:solidFill>
                <a:srgbClr val="808080"/>
              </a:solidFill>
              <a:prstDash val="solid"/>
            </a:ln>
          </c:spPr>
          <c:marker>
            <c:symbol val="none"/>
          </c:marker>
          <c:xVal>
            <c:numLit>
              <c:formatCode>General</c:formatCode>
              <c:ptCount val="2"/>
              <c:pt idx="0">
                <c:v>24.014544661912531</c:v>
              </c:pt>
              <c:pt idx="1">
                <c:v>24.314544661912532</c:v>
              </c:pt>
            </c:numLit>
          </c:xVal>
          <c:yVal>
            <c:numLit>
              <c:formatCode>General</c:formatCode>
              <c:ptCount val="2"/>
              <c:pt idx="0">
                <c:v>3.1935762555942944E-2</c:v>
              </c:pt>
              <c:pt idx="1">
                <c:v>3.1820311857651898E-2</c:v>
              </c:pt>
            </c:numLit>
          </c:yVal>
          <c:smooth val="0"/>
          <c:extLst>
            <c:ext xmlns:c16="http://schemas.microsoft.com/office/drawing/2014/chart" uri="{C3380CC4-5D6E-409C-BE32-E72D297353CC}">
              <c16:uniqueId val="{0000008F-33F5-4977-9D82-812B15A3C11A}"/>
            </c:ext>
          </c:extLst>
        </c:ser>
        <c:ser>
          <c:idx val="120"/>
          <c:order val="120"/>
          <c:tx>
            <c:v>h=108</c:v>
          </c:tx>
          <c:spPr>
            <a:ln w="3175">
              <a:solidFill>
                <a:srgbClr val="808080"/>
              </a:solidFill>
              <a:prstDash val="solid"/>
            </a:ln>
          </c:spPr>
          <c:marker>
            <c:symbol val="none"/>
          </c:marker>
          <c:xVal>
            <c:numLit>
              <c:formatCode>General</c:formatCode>
              <c:ptCount val="2"/>
              <c:pt idx="0">
                <c:v>24.322953443613866</c:v>
              </c:pt>
              <c:pt idx="1">
                <c:v>24.622953443613866</c:v>
              </c:pt>
            </c:numLit>
          </c:xVal>
          <c:yVal>
            <c:numLit>
              <c:formatCode>General</c:formatCode>
              <c:ptCount val="2"/>
              <c:pt idx="0">
                <c:v>3.2201661077765786E-2</c:v>
              </c:pt>
              <c:pt idx="1">
                <c:v>3.2086211277361804E-2</c:v>
              </c:pt>
            </c:numLit>
          </c:yVal>
          <c:smooth val="0"/>
          <c:extLst>
            <c:ext xmlns:c16="http://schemas.microsoft.com/office/drawing/2014/chart" uri="{C3380CC4-5D6E-409C-BE32-E72D297353CC}">
              <c16:uniqueId val="{00000090-33F5-4977-9D82-812B15A3C11A}"/>
            </c:ext>
          </c:extLst>
        </c:ser>
        <c:ser>
          <c:idx val="121"/>
          <c:order val="121"/>
          <c:tx>
            <c:v>h=109</c:v>
          </c:tx>
          <c:spPr>
            <a:ln w="3175">
              <a:solidFill>
                <a:srgbClr val="808080"/>
              </a:solidFill>
              <a:prstDash val="solid"/>
            </a:ln>
          </c:spPr>
          <c:marker>
            <c:symbol val="none"/>
          </c:marker>
          <c:xVal>
            <c:numLit>
              <c:formatCode>General</c:formatCode>
              <c:ptCount val="2"/>
              <c:pt idx="0">
                <c:v>24.6313622253152</c:v>
              </c:pt>
              <c:pt idx="1">
                <c:v>24.931362225315198</c:v>
              </c:pt>
            </c:numLit>
          </c:xVal>
          <c:yVal>
            <c:numLit>
              <c:formatCode>General</c:formatCode>
              <c:ptCount val="2"/>
              <c:pt idx="0">
                <c:v>3.2467559599588636E-2</c:v>
              </c:pt>
              <c:pt idx="1">
                <c:v>3.2352110682351297E-2</c:v>
              </c:pt>
            </c:numLit>
          </c:yVal>
          <c:smooth val="0"/>
          <c:extLst>
            <c:ext xmlns:c16="http://schemas.microsoft.com/office/drawing/2014/chart" uri="{C3380CC4-5D6E-409C-BE32-E72D297353CC}">
              <c16:uniqueId val="{00000091-33F5-4977-9D82-812B15A3C11A}"/>
            </c:ext>
          </c:extLst>
        </c:ser>
        <c:ser>
          <c:idx val="122"/>
          <c:order val="122"/>
          <c:tx>
            <c:v>h=110</c:v>
          </c:tx>
          <c:spPr>
            <a:ln w="3175">
              <a:solidFill>
                <a:srgbClr val="808080"/>
              </a:solidFill>
              <a:prstDash val="solid"/>
            </a:ln>
          </c:spPr>
          <c:marker>
            <c:symbol val="none"/>
          </c:marker>
          <c:dLbls>
            <c:dLbl>
              <c:idx val="0"/>
              <c:layout>
                <c:manualLayout>
                  <c:x val="-3.2080736001749842E-2"/>
                  <c:y val="-1.2169728783902012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110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2-33F5-4977-9D82-812B15A3C1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24.939771007016532</c:v>
              </c:pt>
              <c:pt idx="1">
                <c:v>50</c:v>
              </c:pt>
            </c:numLit>
          </c:xVal>
          <c:yVal>
            <c:numLit>
              <c:formatCode>General</c:formatCode>
              <c:ptCount val="2"/>
              <c:pt idx="0">
                <c:v>3.2733458121411478E-2</c:v>
              </c:pt>
              <c:pt idx="1">
                <c:v>2.3014649190439475E-2</c:v>
              </c:pt>
            </c:numLit>
          </c:yVal>
          <c:smooth val="0"/>
          <c:extLst>
            <c:ext xmlns:c16="http://schemas.microsoft.com/office/drawing/2014/chart" uri="{C3380CC4-5D6E-409C-BE32-E72D297353CC}">
              <c16:uniqueId val="{00000093-33F5-4977-9D82-812B15A3C11A}"/>
            </c:ext>
          </c:extLst>
        </c:ser>
        <c:ser>
          <c:idx val="123"/>
          <c:order val="123"/>
          <c:tx>
            <c:v>h=111</c:v>
          </c:tx>
          <c:spPr>
            <a:ln w="3175">
              <a:solidFill>
                <a:srgbClr val="808080"/>
              </a:solidFill>
              <a:prstDash val="solid"/>
            </a:ln>
          </c:spPr>
          <c:marker>
            <c:symbol val="none"/>
          </c:marker>
          <c:xVal>
            <c:numLit>
              <c:formatCode>General</c:formatCode>
              <c:ptCount val="2"/>
              <c:pt idx="0">
                <c:v>25.248179788717867</c:v>
              </c:pt>
              <c:pt idx="1">
                <c:v>25.548179788717867</c:v>
              </c:pt>
            </c:numLit>
          </c:xVal>
          <c:yVal>
            <c:numLit>
              <c:formatCode>General</c:formatCode>
              <c:ptCount val="2"/>
              <c:pt idx="0">
                <c:v>3.299935664323432E-2</c:v>
              </c:pt>
              <c:pt idx="1">
                <c:v>3.2883909449593671E-2</c:v>
              </c:pt>
            </c:numLit>
          </c:yVal>
          <c:smooth val="0"/>
          <c:extLst>
            <c:ext xmlns:c16="http://schemas.microsoft.com/office/drawing/2014/chart" uri="{C3380CC4-5D6E-409C-BE32-E72D297353CC}">
              <c16:uniqueId val="{00000094-33F5-4977-9D82-812B15A3C11A}"/>
            </c:ext>
          </c:extLst>
        </c:ser>
        <c:ser>
          <c:idx val="124"/>
          <c:order val="124"/>
          <c:tx>
            <c:v>h=112</c:v>
          </c:tx>
          <c:spPr>
            <a:ln w="3175">
              <a:solidFill>
                <a:srgbClr val="808080"/>
              </a:solidFill>
              <a:prstDash val="solid"/>
            </a:ln>
          </c:spPr>
          <c:marker>
            <c:symbol val="none"/>
          </c:marker>
          <c:xVal>
            <c:numLit>
              <c:formatCode>General</c:formatCode>
              <c:ptCount val="2"/>
              <c:pt idx="0">
                <c:v>25.556588570419198</c:v>
              </c:pt>
              <c:pt idx="1">
                <c:v>25.856588570419198</c:v>
              </c:pt>
            </c:numLit>
          </c:xVal>
          <c:yVal>
            <c:numLit>
              <c:formatCode>General</c:formatCode>
              <c:ptCount val="2"/>
              <c:pt idx="0">
                <c:v>3.3265255165057163E-2</c:v>
              </c:pt>
              <c:pt idx="1">
                <c:v>3.3149808812530379E-2</c:v>
              </c:pt>
            </c:numLit>
          </c:yVal>
          <c:smooth val="0"/>
          <c:extLst>
            <c:ext xmlns:c16="http://schemas.microsoft.com/office/drawing/2014/chart" uri="{C3380CC4-5D6E-409C-BE32-E72D297353CC}">
              <c16:uniqueId val="{00000095-33F5-4977-9D82-812B15A3C11A}"/>
            </c:ext>
          </c:extLst>
        </c:ser>
        <c:ser>
          <c:idx val="125"/>
          <c:order val="125"/>
          <c:tx>
            <c:v>h=113</c:v>
          </c:tx>
          <c:spPr>
            <a:ln w="3175">
              <a:solidFill>
                <a:srgbClr val="808080"/>
              </a:solidFill>
              <a:prstDash val="solid"/>
            </a:ln>
          </c:spPr>
          <c:marker>
            <c:symbol val="none"/>
          </c:marker>
          <c:xVal>
            <c:numLit>
              <c:formatCode>General</c:formatCode>
              <c:ptCount val="2"/>
              <c:pt idx="0">
                <c:v>25.864997352120533</c:v>
              </c:pt>
              <c:pt idx="1">
                <c:v>26.164997352120533</c:v>
              </c:pt>
            </c:numLit>
          </c:xVal>
          <c:yVal>
            <c:numLit>
              <c:formatCode>General</c:formatCode>
              <c:ptCount val="2"/>
              <c:pt idx="0">
                <c:v>3.3531153686880012E-2</c:v>
              </c:pt>
              <c:pt idx="1">
                <c:v>3.341570816211524E-2</c:v>
              </c:pt>
            </c:numLit>
          </c:yVal>
          <c:smooth val="0"/>
          <c:extLst>
            <c:ext xmlns:c16="http://schemas.microsoft.com/office/drawing/2014/chart" uri="{C3380CC4-5D6E-409C-BE32-E72D297353CC}">
              <c16:uniqueId val="{00000096-33F5-4977-9D82-812B15A3C11A}"/>
            </c:ext>
          </c:extLst>
        </c:ser>
        <c:ser>
          <c:idx val="126"/>
          <c:order val="126"/>
          <c:tx>
            <c:v>h=114</c:v>
          </c:tx>
          <c:spPr>
            <a:ln w="3175">
              <a:solidFill>
                <a:srgbClr val="808080"/>
              </a:solidFill>
              <a:prstDash val="solid"/>
            </a:ln>
          </c:spPr>
          <c:marker>
            <c:symbol val="none"/>
          </c:marker>
          <c:xVal>
            <c:numLit>
              <c:formatCode>General</c:formatCode>
              <c:ptCount val="2"/>
              <c:pt idx="0">
                <c:v>26.173406133821867</c:v>
              </c:pt>
              <c:pt idx="1">
                <c:v>26.473406133821868</c:v>
              </c:pt>
            </c:numLit>
          </c:xVal>
          <c:yVal>
            <c:numLit>
              <c:formatCode>General</c:formatCode>
              <c:ptCount val="2"/>
              <c:pt idx="0">
                <c:v>3.3797052208702855E-2</c:v>
              </c:pt>
              <c:pt idx="1">
                <c:v>3.3681607498663661E-2</c:v>
              </c:pt>
            </c:numLit>
          </c:yVal>
          <c:smooth val="0"/>
          <c:extLst>
            <c:ext xmlns:c16="http://schemas.microsoft.com/office/drawing/2014/chart" uri="{C3380CC4-5D6E-409C-BE32-E72D297353CC}">
              <c16:uniqueId val="{00000097-33F5-4977-9D82-812B15A3C11A}"/>
            </c:ext>
          </c:extLst>
        </c:ser>
        <c:ser>
          <c:idx val="127"/>
          <c:order val="127"/>
          <c:tx>
            <c:v>h=115</c:v>
          </c:tx>
          <c:spPr>
            <a:ln w="3175">
              <a:solidFill>
                <a:srgbClr val="808080"/>
              </a:solidFill>
              <a:prstDash val="solid"/>
            </a:ln>
          </c:spPr>
          <c:marker>
            <c:symbol val="none"/>
          </c:marker>
          <c:dLbls>
            <c:dLbl>
              <c:idx val="0"/>
              <c:layout>
                <c:manualLayout>
                  <c:x val="-2.9079861111111112E-2"/>
                  <c:y val="-3.3119658119658119E-3"/>
                </c:manualLayout>
              </c:layout>
              <c:tx>
                <c:rich>
                  <a:bodyPr rot="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115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8-33F5-4977-9D82-812B15A3C1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26.644135188866791</c:v>
              </c:pt>
              <c:pt idx="1">
                <c:v>49.999999999999993</c:v>
              </c:pt>
            </c:numLit>
          </c:xVal>
          <c:yVal>
            <c:numLit>
              <c:formatCode>General</c:formatCode>
              <c:ptCount val="2"/>
              <c:pt idx="0">
                <c:v>3.4000000000000002E-2</c:v>
              </c:pt>
              <c:pt idx="1">
                <c:v>2.4942174248265229E-2</c:v>
              </c:pt>
            </c:numLit>
          </c:yVal>
          <c:smooth val="0"/>
          <c:extLst>
            <c:ext xmlns:c16="http://schemas.microsoft.com/office/drawing/2014/chart" uri="{C3380CC4-5D6E-409C-BE32-E72D297353CC}">
              <c16:uniqueId val="{00000099-33F5-4977-9D82-812B15A3C11A}"/>
            </c:ext>
          </c:extLst>
        </c:ser>
        <c:ser>
          <c:idx val="128"/>
          <c:order val="128"/>
          <c:tx>
            <c:v>h=116</c:v>
          </c:tx>
          <c:spPr>
            <a:ln w="3175">
              <a:solidFill>
                <a:srgbClr val="808080"/>
              </a:solidFill>
              <a:prstDash val="solid"/>
            </a:ln>
          </c:spPr>
          <c:marker>
            <c:symbol val="none"/>
          </c:marker>
          <c:xVal>
            <c:numLit>
              <c:formatCode>General</c:formatCode>
              <c:ptCount val="2"/>
              <c:pt idx="0">
                <c:v>27.638170974155063</c:v>
              </c:pt>
              <c:pt idx="1">
                <c:v>28.210329737551017</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9A-33F5-4977-9D82-812B15A3C11A}"/>
            </c:ext>
          </c:extLst>
        </c:ser>
        <c:ser>
          <c:idx val="129"/>
          <c:order val="129"/>
          <c:tx>
            <c:v>h=117</c:v>
          </c:tx>
          <c:spPr>
            <a:ln w="3175">
              <a:solidFill>
                <a:srgbClr val="808080"/>
              </a:solidFill>
              <a:prstDash val="solid"/>
            </a:ln>
          </c:spPr>
          <c:marker>
            <c:symbol val="none"/>
          </c:marker>
          <c:xVal>
            <c:numLit>
              <c:formatCode>General</c:formatCode>
              <c:ptCount val="2"/>
              <c:pt idx="0">
                <c:v>28.632206759443335</c:v>
              </c:pt>
              <c:pt idx="1">
                <c:v>29.204365522839289</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9B-33F5-4977-9D82-812B15A3C11A}"/>
            </c:ext>
          </c:extLst>
        </c:ser>
        <c:ser>
          <c:idx val="130"/>
          <c:order val="130"/>
          <c:tx>
            <c:v>h=118</c:v>
          </c:tx>
          <c:spPr>
            <a:ln w="3175">
              <a:solidFill>
                <a:srgbClr val="808080"/>
              </a:solidFill>
              <a:prstDash val="solid"/>
            </a:ln>
          </c:spPr>
          <c:marker>
            <c:symbol val="none"/>
          </c:marker>
          <c:xVal>
            <c:numLit>
              <c:formatCode>General</c:formatCode>
              <c:ptCount val="2"/>
              <c:pt idx="0">
                <c:v>29.626242544731603</c:v>
              </c:pt>
              <c:pt idx="1">
                <c:v>30.198401308127558</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9C-33F5-4977-9D82-812B15A3C11A}"/>
            </c:ext>
          </c:extLst>
        </c:ser>
        <c:ser>
          <c:idx val="131"/>
          <c:order val="131"/>
          <c:tx>
            <c:v>h=119</c:v>
          </c:tx>
          <c:spPr>
            <a:ln w="3175">
              <a:solidFill>
                <a:srgbClr val="808080"/>
              </a:solidFill>
              <a:prstDash val="solid"/>
            </a:ln>
          </c:spPr>
          <c:marker>
            <c:symbol val="none"/>
          </c:marker>
          <c:xVal>
            <c:numLit>
              <c:formatCode>General</c:formatCode>
              <c:ptCount val="2"/>
              <c:pt idx="0">
                <c:v>30.620278330019875</c:v>
              </c:pt>
              <c:pt idx="1">
                <c:v>31.19243709341583</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9D-33F5-4977-9D82-812B15A3C11A}"/>
            </c:ext>
          </c:extLst>
        </c:ser>
        <c:ser>
          <c:idx val="132"/>
          <c:order val="132"/>
          <c:tx>
            <c:v>h=120</c:v>
          </c:tx>
          <c:spPr>
            <a:ln w="3175">
              <a:solidFill>
                <a:srgbClr val="808080"/>
              </a:solidFill>
              <a:prstDash val="solid"/>
            </a:ln>
          </c:spPr>
          <c:marker>
            <c:symbol val="none"/>
          </c:marker>
          <c:dLbls>
            <c:dLbl>
              <c:idx val="0"/>
              <c:layout>
                <c:manualLayout>
                  <c:x val="-2.9079861111111112E-2"/>
                  <c:y val="-3.3119658119658119E-3"/>
                </c:manualLayout>
              </c:layout>
              <c:tx>
                <c:rich>
                  <a:bodyPr rot="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120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E-33F5-4977-9D82-812B15A3C1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31.614314115308144</c:v>
              </c:pt>
              <c:pt idx="1">
                <c:v>50</c:v>
              </c:pt>
            </c:numLit>
          </c:xVal>
          <c:yVal>
            <c:numLit>
              <c:formatCode>General</c:formatCode>
              <c:ptCount val="2"/>
              <c:pt idx="0">
                <c:v>3.4000000000000002E-2</c:v>
              </c:pt>
              <c:pt idx="1">
                <c:v>2.6869699306090979E-2</c:v>
              </c:pt>
            </c:numLit>
          </c:yVal>
          <c:smooth val="0"/>
          <c:extLst>
            <c:ext xmlns:c16="http://schemas.microsoft.com/office/drawing/2014/chart" uri="{C3380CC4-5D6E-409C-BE32-E72D297353CC}">
              <c16:uniqueId val="{0000009F-33F5-4977-9D82-812B15A3C11A}"/>
            </c:ext>
          </c:extLst>
        </c:ser>
        <c:ser>
          <c:idx val="133"/>
          <c:order val="133"/>
          <c:tx>
            <c:v>h=121</c:v>
          </c:tx>
          <c:spPr>
            <a:ln w="3175">
              <a:solidFill>
                <a:srgbClr val="808080"/>
              </a:solidFill>
              <a:prstDash val="solid"/>
            </a:ln>
          </c:spPr>
          <c:marker>
            <c:symbol val="none"/>
          </c:marker>
          <c:xVal>
            <c:numLit>
              <c:formatCode>General</c:formatCode>
              <c:ptCount val="2"/>
              <c:pt idx="0">
                <c:v>32.608349900596416</c:v>
              </c:pt>
              <c:pt idx="1">
                <c:v>33.18050866399237</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A0-33F5-4977-9D82-812B15A3C11A}"/>
            </c:ext>
          </c:extLst>
        </c:ser>
        <c:ser>
          <c:idx val="134"/>
          <c:order val="134"/>
          <c:tx>
            <c:v>h=122</c:v>
          </c:tx>
          <c:spPr>
            <a:ln w="3175">
              <a:solidFill>
                <a:srgbClr val="808080"/>
              </a:solidFill>
              <a:prstDash val="solid"/>
            </a:ln>
          </c:spPr>
          <c:marker>
            <c:symbol val="none"/>
          </c:marker>
          <c:xVal>
            <c:numLit>
              <c:formatCode>General</c:formatCode>
              <c:ptCount val="2"/>
              <c:pt idx="0">
                <c:v>33.602385685884684</c:v>
              </c:pt>
              <c:pt idx="1">
                <c:v>34.174544449280639</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A1-33F5-4977-9D82-812B15A3C11A}"/>
            </c:ext>
          </c:extLst>
        </c:ser>
        <c:ser>
          <c:idx val="135"/>
          <c:order val="135"/>
          <c:tx>
            <c:v>h=123</c:v>
          </c:tx>
          <c:spPr>
            <a:ln w="3175">
              <a:solidFill>
                <a:srgbClr val="808080"/>
              </a:solidFill>
              <a:prstDash val="solid"/>
            </a:ln>
          </c:spPr>
          <c:marker>
            <c:symbol val="none"/>
          </c:marker>
          <c:xVal>
            <c:numLit>
              <c:formatCode>General</c:formatCode>
              <c:ptCount val="2"/>
              <c:pt idx="0">
                <c:v>34.596421471172953</c:v>
              </c:pt>
              <c:pt idx="1">
                <c:v>35.168580234568914</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A2-33F5-4977-9D82-812B15A3C11A}"/>
            </c:ext>
          </c:extLst>
        </c:ser>
        <c:ser>
          <c:idx val="136"/>
          <c:order val="136"/>
          <c:tx>
            <c:v>h=124</c:v>
          </c:tx>
          <c:spPr>
            <a:ln w="3175">
              <a:solidFill>
                <a:srgbClr val="808080"/>
              </a:solidFill>
              <a:prstDash val="solid"/>
            </a:ln>
          </c:spPr>
          <c:marker>
            <c:symbol val="none"/>
          </c:marker>
          <c:xVal>
            <c:numLit>
              <c:formatCode>General</c:formatCode>
              <c:ptCount val="2"/>
              <c:pt idx="0">
                <c:v>35.590457256461228</c:v>
              </c:pt>
              <c:pt idx="1">
                <c:v>36.162616019857182</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A3-33F5-4977-9D82-812B15A3C11A}"/>
            </c:ext>
          </c:extLst>
        </c:ser>
        <c:ser>
          <c:idx val="137"/>
          <c:order val="137"/>
          <c:tx>
            <c:v>h=125</c:v>
          </c:tx>
          <c:spPr>
            <a:ln w="3175">
              <a:solidFill>
                <a:srgbClr val="808080"/>
              </a:solidFill>
              <a:prstDash val="solid"/>
            </a:ln>
          </c:spPr>
          <c:marker>
            <c:symbol val="none"/>
          </c:marker>
          <c:dLbls>
            <c:dLbl>
              <c:idx val="0"/>
              <c:layout>
                <c:manualLayout>
                  <c:x val="-2.9079861111111112E-2"/>
                  <c:y val="-3.3119658119658119E-3"/>
                </c:manualLayout>
              </c:layout>
              <c:tx>
                <c:rich>
                  <a:bodyPr rot="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125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4-33F5-4977-9D82-812B15A3C1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36.584493041749496</c:v>
              </c:pt>
              <c:pt idx="1">
                <c:v>50</c:v>
              </c:pt>
            </c:numLit>
          </c:xVal>
          <c:yVal>
            <c:numLit>
              <c:formatCode>General</c:formatCode>
              <c:ptCount val="2"/>
              <c:pt idx="0">
                <c:v>3.4000000000000002E-2</c:v>
              </c:pt>
              <c:pt idx="1">
                <c:v>2.879722436391673E-2</c:v>
              </c:pt>
            </c:numLit>
          </c:yVal>
          <c:smooth val="0"/>
          <c:extLst>
            <c:ext xmlns:c16="http://schemas.microsoft.com/office/drawing/2014/chart" uri="{C3380CC4-5D6E-409C-BE32-E72D297353CC}">
              <c16:uniqueId val="{000000A5-33F5-4977-9D82-812B15A3C11A}"/>
            </c:ext>
          </c:extLst>
        </c:ser>
        <c:ser>
          <c:idx val="138"/>
          <c:order val="138"/>
          <c:tx>
            <c:v>h=126</c:v>
          </c:tx>
          <c:spPr>
            <a:ln w="3175">
              <a:solidFill>
                <a:srgbClr val="808080"/>
              </a:solidFill>
              <a:prstDash val="solid"/>
            </a:ln>
          </c:spPr>
          <c:marker>
            <c:symbol val="none"/>
          </c:marker>
          <c:xVal>
            <c:numLit>
              <c:formatCode>General</c:formatCode>
              <c:ptCount val="2"/>
              <c:pt idx="0">
                <c:v>37.578528827037765</c:v>
              </c:pt>
              <c:pt idx="1">
                <c:v>38.150687590433719</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A6-33F5-4977-9D82-812B15A3C11A}"/>
            </c:ext>
          </c:extLst>
        </c:ser>
        <c:ser>
          <c:idx val="139"/>
          <c:order val="139"/>
          <c:tx>
            <c:v>h=127</c:v>
          </c:tx>
          <c:spPr>
            <a:ln w="3175">
              <a:solidFill>
                <a:srgbClr val="808080"/>
              </a:solidFill>
              <a:prstDash val="solid"/>
            </a:ln>
          </c:spPr>
          <c:marker>
            <c:symbol val="none"/>
          </c:marker>
          <c:xVal>
            <c:numLit>
              <c:formatCode>General</c:formatCode>
              <c:ptCount val="2"/>
              <c:pt idx="0">
                <c:v>38.57256461232604</c:v>
              </c:pt>
              <c:pt idx="1">
                <c:v>39.144723375721995</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A7-33F5-4977-9D82-812B15A3C11A}"/>
            </c:ext>
          </c:extLst>
        </c:ser>
        <c:ser>
          <c:idx val="140"/>
          <c:order val="140"/>
          <c:tx>
            <c:v>h=128</c:v>
          </c:tx>
          <c:spPr>
            <a:ln w="3175">
              <a:solidFill>
                <a:srgbClr val="808080"/>
              </a:solidFill>
              <a:prstDash val="solid"/>
            </a:ln>
          </c:spPr>
          <c:marker>
            <c:symbol val="none"/>
          </c:marker>
          <c:xVal>
            <c:numLit>
              <c:formatCode>General</c:formatCode>
              <c:ptCount val="2"/>
              <c:pt idx="0">
                <c:v>39.566600397614309</c:v>
              </c:pt>
              <c:pt idx="1">
                <c:v>40.138759161010263</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A8-33F5-4977-9D82-812B15A3C11A}"/>
            </c:ext>
          </c:extLst>
        </c:ser>
        <c:ser>
          <c:idx val="141"/>
          <c:order val="141"/>
          <c:tx>
            <c:v>h=129</c:v>
          </c:tx>
          <c:spPr>
            <a:ln w="3175">
              <a:solidFill>
                <a:srgbClr val="808080"/>
              </a:solidFill>
              <a:prstDash val="solid"/>
            </a:ln>
          </c:spPr>
          <c:marker>
            <c:symbol val="none"/>
          </c:marker>
          <c:xVal>
            <c:numLit>
              <c:formatCode>General</c:formatCode>
              <c:ptCount val="2"/>
              <c:pt idx="0">
                <c:v>40.560636182902577</c:v>
              </c:pt>
              <c:pt idx="1">
                <c:v>41.132794946298532</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A9-33F5-4977-9D82-812B15A3C11A}"/>
            </c:ext>
          </c:extLst>
        </c:ser>
        <c:ser>
          <c:idx val="142"/>
          <c:order val="142"/>
          <c:tx>
            <c:v>h=130</c:v>
          </c:tx>
          <c:spPr>
            <a:ln w="3175">
              <a:solidFill>
                <a:srgbClr val="808080"/>
              </a:solidFill>
              <a:prstDash val="solid"/>
            </a:ln>
          </c:spPr>
          <c:marker>
            <c:symbol val="none"/>
          </c:marker>
          <c:dLbls>
            <c:dLbl>
              <c:idx val="0"/>
              <c:layout>
                <c:manualLayout>
                  <c:x val="-2.9079861111111237E-2"/>
                  <c:y val="-3.3119658119658119E-3"/>
                </c:manualLayout>
              </c:layout>
              <c:tx>
                <c:rich>
                  <a:bodyPr rot="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130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A-33F5-4977-9D82-812B15A3C1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41.554671968190846</c:v>
              </c:pt>
              <c:pt idx="1">
                <c:v>50</c:v>
              </c:pt>
            </c:numLit>
          </c:xVal>
          <c:yVal>
            <c:numLit>
              <c:formatCode>General</c:formatCode>
              <c:ptCount val="2"/>
              <c:pt idx="0">
                <c:v>3.4000000000000002E-2</c:v>
              </c:pt>
              <c:pt idx="1">
                <c:v>3.0724749421742484E-2</c:v>
              </c:pt>
            </c:numLit>
          </c:yVal>
          <c:smooth val="0"/>
          <c:extLst>
            <c:ext xmlns:c16="http://schemas.microsoft.com/office/drawing/2014/chart" uri="{C3380CC4-5D6E-409C-BE32-E72D297353CC}">
              <c16:uniqueId val="{000000AB-33F5-4977-9D82-812B15A3C11A}"/>
            </c:ext>
          </c:extLst>
        </c:ser>
        <c:ser>
          <c:idx val="143"/>
          <c:order val="143"/>
          <c:tx>
            <c:v>h=131</c:v>
          </c:tx>
          <c:spPr>
            <a:ln w="3175">
              <a:solidFill>
                <a:srgbClr val="808080"/>
              </a:solidFill>
              <a:prstDash val="solid"/>
            </a:ln>
          </c:spPr>
          <c:marker>
            <c:symbol val="none"/>
          </c:marker>
          <c:xVal>
            <c:numLit>
              <c:formatCode>General</c:formatCode>
              <c:ptCount val="2"/>
              <c:pt idx="0">
                <c:v>42.548707753479121</c:v>
              </c:pt>
              <c:pt idx="1">
                <c:v>43.120866516875076</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AC-33F5-4977-9D82-812B15A3C11A}"/>
            </c:ext>
          </c:extLst>
        </c:ser>
        <c:ser>
          <c:idx val="144"/>
          <c:order val="144"/>
          <c:tx>
            <c:v>h=132</c:v>
          </c:tx>
          <c:spPr>
            <a:ln w="3175">
              <a:solidFill>
                <a:srgbClr val="808080"/>
              </a:solidFill>
              <a:prstDash val="solid"/>
            </a:ln>
          </c:spPr>
          <c:marker>
            <c:symbol val="none"/>
          </c:marker>
          <c:xVal>
            <c:numLit>
              <c:formatCode>General</c:formatCode>
              <c:ptCount val="2"/>
              <c:pt idx="0">
                <c:v>43.54274353876739</c:v>
              </c:pt>
              <c:pt idx="1">
                <c:v>44.114902302163344</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AD-33F5-4977-9D82-812B15A3C11A}"/>
            </c:ext>
          </c:extLst>
        </c:ser>
        <c:ser>
          <c:idx val="145"/>
          <c:order val="145"/>
          <c:tx>
            <c:v>h=133</c:v>
          </c:tx>
          <c:spPr>
            <a:ln w="3175">
              <a:solidFill>
                <a:srgbClr val="808080"/>
              </a:solidFill>
              <a:prstDash val="solid"/>
            </a:ln>
          </c:spPr>
          <c:marker>
            <c:symbol val="none"/>
          </c:marker>
          <c:xVal>
            <c:numLit>
              <c:formatCode>General</c:formatCode>
              <c:ptCount val="2"/>
              <c:pt idx="0">
                <c:v>44.536779324055658</c:v>
              </c:pt>
              <c:pt idx="1">
                <c:v>45.108938087451612</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AE-33F5-4977-9D82-812B15A3C11A}"/>
            </c:ext>
          </c:extLst>
        </c:ser>
        <c:ser>
          <c:idx val="146"/>
          <c:order val="146"/>
          <c:tx>
            <c:v>h=134</c:v>
          </c:tx>
          <c:spPr>
            <a:ln w="3175">
              <a:solidFill>
                <a:srgbClr val="808080"/>
              </a:solidFill>
              <a:prstDash val="solid"/>
            </a:ln>
          </c:spPr>
          <c:marker>
            <c:symbol val="none"/>
          </c:marker>
          <c:xVal>
            <c:numLit>
              <c:formatCode>General</c:formatCode>
              <c:ptCount val="2"/>
              <c:pt idx="0">
                <c:v>45.530815109343926</c:v>
              </c:pt>
              <c:pt idx="1">
                <c:v>46.102973872739888</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AF-33F5-4977-9D82-812B15A3C11A}"/>
            </c:ext>
          </c:extLst>
        </c:ser>
        <c:ser>
          <c:idx val="147"/>
          <c:order val="147"/>
          <c:tx>
            <c:v>h=135</c:v>
          </c:tx>
          <c:spPr>
            <a:ln w="3175">
              <a:solidFill>
                <a:srgbClr val="808080"/>
              </a:solidFill>
              <a:prstDash val="solid"/>
            </a:ln>
          </c:spPr>
          <c:marker>
            <c:symbol val="none"/>
          </c:marker>
          <c:dLbls>
            <c:dLbl>
              <c:idx val="0"/>
              <c:layout>
                <c:manualLayout>
                  <c:x val="-2.9079861111111112E-2"/>
                  <c:y val="-3.3119658119658119E-3"/>
                </c:manualLayout>
              </c:layout>
              <c:tx>
                <c:rich>
                  <a:bodyPr rot="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135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0-33F5-4977-9D82-812B15A3C11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46.524850894632202</c:v>
              </c:pt>
              <c:pt idx="1">
                <c:v>50</c:v>
              </c:pt>
            </c:numLit>
          </c:xVal>
          <c:yVal>
            <c:numLit>
              <c:formatCode>General</c:formatCode>
              <c:ptCount val="2"/>
              <c:pt idx="0">
                <c:v>3.4000000000000002E-2</c:v>
              </c:pt>
              <c:pt idx="1">
                <c:v>3.2652274479568234E-2</c:v>
              </c:pt>
            </c:numLit>
          </c:yVal>
          <c:smooth val="0"/>
          <c:extLst>
            <c:ext xmlns:c16="http://schemas.microsoft.com/office/drawing/2014/chart" uri="{C3380CC4-5D6E-409C-BE32-E72D297353CC}">
              <c16:uniqueId val="{000000B1-33F5-4977-9D82-812B15A3C11A}"/>
            </c:ext>
          </c:extLst>
        </c:ser>
        <c:ser>
          <c:idx val="148"/>
          <c:order val="148"/>
          <c:tx>
            <c:v>h=136</c:v>
          </c:tx>
          <c:spPr>
            <a:ln w="3175">
              <a:solidFill>
                <a:srgbClr val="808080"/>
              </a:solidFill>
              <a:prstDash val="solid"/>
            </a:ln>
          </c:spPr>
          <c:marker>
            <c:symbol val="none"/>
          </c:marker>
          <c:xVal>
            <c:numLit>
              <c:formatCode>General</c:formatCode>
              <c:ptCount val="2"/>
              <c:pt idx="0">
                <c:v>47.51888667992047</c:v>
              </c:pt>
              <c:pt idx="1">
                <c:v>48.091045443316425</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B2-33F5-4977-9D82-812B15A3C11A}"/>
            </c:ext>
          </c:extLst>
        </c:ser>
        <c:ser>
          <c:idx val="149"/>
          <c:order val="149"/>
          <c:tx>
            <c:v>h=137</c:v>
          </c:tx>
          <c:spPr>
            <a:ln w="3175">
              <a:solidFill>
                <a:srgbClr val="808080"/>
              </a:solidFill>
              <a:prstDash val="solid"/>
            </a:ln>
          </c:spPr>
          <c:marker>
            <c:symbol val="none"/>
          </c:marker>
          <c:xVal>
            <c:numLit>
              <c:formatCode>General</c:formatCode>
              <c:ptCount val="2"/>
              <c:pt idx="0">
                <c:v>48.512922465208739</c:v>
              </c:pt>
              <c:pt idx="1">
                <c:v>49.085081228604693</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B3-33F5-4977-9D82-812B15A3C11A}"/>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A593-453B-BC1F-36AD82F17BFD}"/>
            </c:ext>
          </c:extLst>
        </c:ser>
        <c:ser>
          <c:idx val="1"/>
          <c:order val="1"/>
          <c:tx>
            <c:v>x=0</c:v>
          </c:tx>
          <c:spPr>
            <a:ln w="3175">
              <a:solidFill>
                <a:srgbClr val="000000"/>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0.000</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93-453B-BC1F-36AD82F17BF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-10.178000000000001</c:v>
              </c:pt>
              <c:pt idx="1">
                <c:v>50.8</c:v>
              </c:pt>
            </c:numLit>
          </c:xVal>
          <c:yVal>
            <c:numLit>
              <c:formatCode>General</c:formatCode>
              <c:ptCount val="2"/>
              <c:pt idx="0">
                <c:v>0</c:v>
              </c:pt>
              <c:pt idx="1">
                <c:v>0</c:v>
              </c:pt>
            </c:numLit>
          </c:yVal>
          <c:smooth val="0"/>
          <c:extLst>
            <c:ext xmlns:c16="http://schemas.microsoft.com/office/drawing/2014/chart" uri="{C3380CC4-5D6E-409C-BE32-E72D297353CC}">
              <c16:uniqueId val="{00000002-A593-453B-BC1F-36AD82F17BFD}"/>
            </c:ext>
          </c:extLst>
        </c:ser>
        <c:ser>
          <c:idx val="2"/>
          <c:order val="2"/>
          <c:tx>
            <c:v>x=0.0002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2.0000000000000001E-4</c:v>
              </c:pt>
              <c:pt idx="1">
                <c:v>2.0000000000000001E-4</c:v>
              </c:pt>
            </c:numLit>
          </c:yVal>
          <c:smooth val="0"/>
          <c:extLst>
            <c:ext xmlns:c16="http://schemas.microsoft.com/office/drawing/2014/chart" uri="{C3380CC4-5D6E-409C-BE32-E72D297353CC}">
              <c16:uniqueId val="{00000003-A593-453B-BC1F-36AD82F17BFD}"/>
            </c:ext>
          </c:extLst>
        </c:ser>
        <c:ser>
          <c:idx val="3"/>
          <c:order val="3"/>
          <c:tx>
            <c:v>x=0.0004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4.0000000000000002E-4</c:v>
              </c:pt>
              <c:pt idx="1">
                <c:v>4.0000000000000002E-4</c:v>
              </c:pt>
            </c:numLit>
          </c:yVal>
          <c:smooth val="0"/>
          <c:extLst>
            <c:ext xmlns:c16="http://schemas.microsoft.com/office/drawing/2014/chart" uri="{C3380CC4-5D6E-409C-BE32-E72D297353CC}">
              <c16:uniqueId val="{00000004-A593-453B-BC1F-36AD82F17BFD}"/>
            </c:ext>
          </c:extLst>
        </c:ser>
        <c:ser>
          <c:idx val="4"/>
          <c:order val="4"/>
          <c:tx>
            <c:v>x=0.0006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6.0000000000000006E-4</c:v>
              </c:pt>
              <c:pt idx="1">
                <c:v>6.0000000000000006E-4</c:v>
              </c:pt>
            </c:numLit>
          </c:yVal>
          <c:smooth val="0"/>
          <c:extLst>
            <c:ext xmlns:c16="http://schemas.microsoft.com/office/drawing/2014/chart" uri="{C3380CC4-5D6E-409C-BE32-E72D297353CC}">
              <c16:uniqueId val="{00000005-A593-453B-BC1F-36AD82F17BFD}"/>
            </c:ext>
          </c:extLst>
        </c:ser>
        <c:ser>
          <c:idx val="5"/>
          <c:order val="5"/>
          <c:tx>
            <c:v>x=0.0008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8.0000000000000004E-4</c:v>
              </c:pt>
              <c:pt idx="1">
                <c:v>8.0000000000000004E-4</c:v>
              </c:pt>
            </c:numLit>
          </c:yVal>
          <c:smooth val="0"/>
          <c:extLst>
            <c:ext xmlns:c16="http://schemas.microsoft.com/office/drawing/2014/chart" uri="{C3380CC4-5D6E-409C-BE32-E72D297353CC}">
              <c16:uniqueId val="{00000006-A593-453B-BC1F-36AD82F17BFD}"/>
            </c:ext>
          </c:extLst>
        </c:ser>
        <c:ser>
          <c:idx val="6"/>
          <c:order val="6"/>
          <c:tx>
            <c:v>x=0.001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0.001</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593-453B-BC1F-36AD82F17BF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-10.289263499005965</c:v>
              </c:pt>
              <c:pt idx="1">
                <c:v>50.8</c:v>
              </c:pt>
            </c:numLit>
          </c:xVal>
          <c:yVal>
            <c:numLit>
              <c:formatCode>General</c:formatCode>
              <c:ptCount val="2"/>
              <c:pt idx="0">
                <c:v>1E-3</c:v>
              </c:pt>
              <c:pt idx="1">
                <c:v>1E-3</c:v>
              </c:pt>
            </c:numLit>
          </c:yVal>
          <c:smooth val="0"/>
          <c:extLst>
            <c:ext xmlns:c16="http://schemas.microsoft.com/office/drawing/2014/chart" uri="{C3380CC4-5D6E-409C-BE32-E72D297353CC}">
              <c16:uniqueId val="{00000008-A593-453B-BC1F-36AD82F17BFD}"/>
            </c:ext>
          </c:extLst>
        </c:ser>
        <c:ser>
          <c:idx val="7"/>
          <c:order val="7"/>
          <c:tx>
            <c:v>x=0.0012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1.2000000000000001E-3</c:v>
              </c:pt>
              <c:pt idx="1">
                <c:v>1.2000000000000001E-3</c:v>
              </c:pt>
            </c:numLit>
          </c:yVal>
          <c:smooth val="0"/>
          <c:extLst>
            <c:ext xmlns:c16="http://schemas.microsoft.com/office/drawing/2014/chart" uri="{C3380CC4-5D6E-409C-BE32-E72D297353CC}">
              <c16:uniqueId val="{00000009-A593-453B-BC1F-36AD82F17BFD}"/>
            </c:ext>
          </c:extLst>
        </c:ser>
        <c:ser>
          <c:idx val="8"/>
          <c:order val="8"/>
          <c:tx>
            <c:v>x=0.0014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1.4E-3</c:v>
              </c:pt>
              <c:pt idx="1">
                <c:v>1.4E-3</c:v>
              </c:pt>
            </c:numLit>
          </c:yVal>
          <c:smooth val="0"/>
          <c:extLst>
            <c:ext xmlns:c16="http://schemas.microsoft.com/office/drawing/2014/chart" uri="{C3380CC4-5D6E-409C-BE32-E72D297353CC}">
              <c16:uniqueId val="{0000000A-A593-453B-BC1F-36AD82F17BFD}"/>
            </c:ext>
          </c:extLst>
        </c:ser>
        <c:ser>
          <c:idx val="9"/>
          <c:order val="9"/>
          <c:tx>
            <c:v>x=0.0016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1.6000000000000001E-3</c:v>
              </c:pt>
              <c:pt idx="1">
                <c:v>1.6000000000000001E-3</c:v>
              </c:pt>
            </c:numLit>
          </c:yVal>
          <c:smooth val="0"/>
          <c:extLst>
            <c:ext xmlns:c16="http://schemas.microsoft.com/office/drawing/2014/chart" uri="{C3380CC4-5D6E-409C-BE32-E72D297353CC}">
              <c16:uniqueId val="{0000000B-A593-453B-BC1F-36AD82F17BFD}"/>
            </c:ext>
          </c:extLst>
        </c:ser>
        <c:ser>
          <c:idx val="10"/>
          <c:order val="10"/>
          <c:tx>
            <c:v>x=0.0018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1.8000000000000002E-3</c:v>
              </c:pt>
              <c:pt idx="1">
                <c:v>1.8000000000000002E-3</c:v>
              </c:pt>
            </c:numLit>
          </c:yVal>
          <c:smooth val="0"/>
          <c:extLst>
            <c:ext xmlns:c16="http://schemas.microsoft.com/office/drawing/2014/chart" uri="{C3380CC4-5D6E-409C-BE32-E72D297353CC}">
              <c16:uniqueId val="{0000000C-A593-453B-BC1F-36AD82F17BFD}"/>
            </c:ext>
          </c:extLst>
        </c:ser>
        <c:ser>
          <c:idx val="11"/>
          <c:order val="11"/>
          <c:tx>
            <c:v>x=0.002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0.002</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593-453B-BC1F-36AD82F17BF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-7.7226612326043735</c:v>
              </c:pt>
              <c:pt idx="1">
                <c:v>50.8</c:v>
              </c:pt>
            </c:numLit>
          </c:xVal>
          <c:yVal>
            <c:numLit>
              <c:formatCode>General</c:formatCode>
              <c:ptCount val="2"/>
              <c:pt idx="0">
                <c:v>2E-3</c:v>
              </c:pt>
              <c:pt idx="1">
                <c:v>2E-3</c:v>
              </c:pt>
            </c:numLit>
          </c:yVal>
          <c:smooth val="0"/>
          <c:extLst>
            <c:ext xmlns:c16="http://schemas.microsoft.com/office/drawing/2014/chart" uri="{C3380CC4-5D6E-409C-BE32-E72D297353CC}">
              <c16:uniqueId val="{0000000E-A593-453B-BC1F-36AD82F17BFD}"/>
            </c:ext>
          </c:extLst>
        </c:ser>
        <c:ser>
          <c:idx val="12"/>
          <c:order val="12"/>
          <c:tx>
            <c:v>x=0.0022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2.2000000000000001E-3</c:v>
              </c:pt>
              <c:pt idx="1">
                <c:v>2.2000000000000001E-3</c:v>
              </c:pt>
            </c:numLit>
          </c:yVal>
          <c:smooth val="0"/>
          <c:extLst>
            <c:ext xmlns:c16="http://schemas.microsoft.com/office/drawing/2014/chart" uri="{C3380CC4-5D6E-409C-BE32-E72D297353CC}">
              <c16:uniqueId val="{0000000F-A593-453B-BC1F-36AD82F17BFD}"/>
            </c:ext>
          </c:extLst>
        </c:ser>
        <c:ser>
          <c:idx val="13"/>
          <c:order val="13"/>
          <c:tx>
            <c:v>x=0.0024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2.4000000000000002E-3</c:v>
              </c:pt>
              <c:pt idx="1">
                <c:v>2.4000000000000002E-3</c:v>
              </c:pt>
            </c:numLit>
          </c:yVal>
          <c:smooth val="0"/>
          <c:extLst>
            <c:ext xmlns:c16="http://schemas.microsoft.com/office/drawing/2014/chart" uri="{C3380CC4-5D6E-409C-BE32-E72D297353CC}">
              <c16:uniqueId val="{00000010-A593-453B-BC1F-36AD82F17BFD}"/>
            </c:ext>
          </c:extLst>
        </c:ser>
        <c:ser>
          <c:idx val="14"/>
          <c:order val="14"/>
          <c:tx>
            <c:v>x=0.0026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2.6000000000000003E-3</c:v>
              </c:pt>
              <c:pt idx="1">
                <c:v>2.6000000000000003E-3</c:v>
              </c:pt>
            </c:numLit>
          </c:yVal>
          <c:smooth val="0"/>
          <c:extLst>
            <c:ext xmlns:c16="http://schemas.microsoft.com/office/drawing/2014/chart" uri="{C3380CC4-5D6E-409C-BE32-E72D297353CC}">
              <c16:uniqueId val="{00000011-A593-453B-BC1F-36AD82F17BFD}"/>
            </c:ext>
          </c:extLst>
        </c:ser>
        <c:ser>
          <c:idx val="15"/>
          <c:order val="15"/>
          <c:tx>
            <c:v>x=0.0028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2.8E-3</c:v>
              </c:pt>
              <c:pt idx="1">
                <c:v>2.8E-3</c:v>
              </c:pt>
            </c:numLit>
          </c:yVal>
          <c:smooth val="0"/>
          <c:extLst>
            <c:ext xmlns:c16="http://schemas.microsoft.com/office/drawing/2014/chart" uri="{C3380CC4-5D6E-409C-BE32-E72D297353CC}">
              <c16:uniqueId val="{00000012-A593-453B-BC1F-36AD82F17BFD}"/>
            </c:ext>
          </c:extLst>
        </c:ser>
        <c:ser>
          <c:idx val="16"/>
          <c:order val="16"/>
          <c:tx>
            <c:v>x=0.003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0.003</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593-453B-BC1F-36AD82F17BF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-3.0828113320079522</c:v>
              </c:pt>
              <c:pt idx="1">
                <c:v>50.8</c:v>
              </c:pt>
            </c:numLit>
          </c:xVal>
          <c:yVal>
            <c:numLit>
              <c:formatCode>General</c:formatCode>
              <c:ptCount val="2"/>
              <c:pt idx="0">
                <c:v>3.0000000000000001E-3</c:v>
              </c:pt>
              <c:pt idx="1">
                <c:v>3.0000000000000001E-3</c:v>
              </c:pt>
            </c:numLit>
          </c:yVal>
          <c:smooth val="0"/>
          <c:extLst>
            <c:ext xmlns:c16="http://schemas.microsoft.com/office/drawing/2014/chart" uri="{C3380CC4-5D6E-409C-BE32-E72D297353CC}">
              <c16:uniqueId val="{00000014-A593-453B-BC1F-36AD82F17BFD}"/>
            </c:ext>
          </c:extLst>
        </c:ser>
        <c:ser>
          <c:idx val="17"/>
          <c:order val="17"/>
          <c:tx>
            <c:v>x=0.0032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3.2000000000000002E-3</c:v>
              </c:pt>
              <c:pt idx="1">
                <c:v>3.2000000000000002E-3</c:v>
              </c:pt>
            </c:numLit>
          </c:yVal>
          <c:smooth val="0"/>
          <c:extLst>
            <c:ext xmlns:c16="http://schemas.microsoft.com/office/drawing/2014/chart" uri="{C3380CC4-5D6E-409C-BE32-E72D297353CC}">
              <c16:uniqueId val="{00000015-A593-453B-BC1F-36AD82F17BFD}"/>
            </c:ext>
          </c:extLst>
        </c:ser>
        <c:ser>
          <c:idx val="18"/>
          <c:order val="18"/>
          <c:tx>
            <c:v>x=0.0034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3.4000000000000002E-3</c:v>
              </c:pt>
              <c:pt idx="1">
                <c:v>3.4000000000000002E-3</c:v>
              </c:pt>
            </c:numLit>
          </c:yVal>
          <c:smooth val="0"/>
          <c:extLst>
            <c:ext xmlns:c16="http://schemas.microsoft.com/office/drawing/2014/chart" uri="{C3380CC4-5D6E-409C-BE32-E72D297353CC}">
              <c16:uniqueId val="{00000016-A593-453B-BC1F-36AD82F17BFD}"/>
            </c:ext>
          </c:extLst>
        </c:ser>
        <c:ser>
          <c:idx val="19"/>
          <c:order val="19"/>
          <c:tx>
            <c:v>x=0.0036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3.6000000000000003E-3</c:v>
              </c:pt>
              <c:pt idx="1">
                <c:v>3.6000000000000003E-3</c:v>
              </c:pt>
            </c:numLit>
          </c:yVal>
          <c:smooth val="0"/>
          <c:extLst>
            <c:ext xmlns:c16="http://schemas.microsoft.com/office/drawing/2014/chart" uri="{C3380CC4-5D6E-409C-BE32-E72D297353CC}">
              <c16:uniqueId val="{00000017-A593-453B-BC1F-36AD82F17BFD}"/>
            </c:ext>
          </c:extLst>
        </c:ser>
        <c:ser>
          <c:idx val="20"/>
          <c:order val="20"/>
          <c:tx>
            <c:v>x=0.0038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3.8E-3</c:v>
              </c:pt>
              <c:pt idx="1">
                <c:v>3.8E-3</c:v>
              </c:pt>
            </c:numLit>
          </c:yVal>
          <c:smooth val="0"/>
          <c:extLst>
            <c:ext xmlns:c16="http://schemas.microsoft.com/office/drawing/2014/chart" uri="{C3380CC4-5D6E-409C-BE32-E72D297353CC}">
              <c16:uniqueId val="{00000018-A593-453B-BC1F-36AD82F17BFD}"/>
            </c:ext>
          </c:extLst>
        </c:ser>
        <c:ser>
          <c:idx val="21"/>
          <c:order val="21"/>
          <c:tx>
            <c:v>x=0.004</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0.004</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9-A593-453B-BC1F-36AD82F17BF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0.37569145129224651</c:v>
              </c:pt>
              <c:pt idx="1">
                <c:v>50.8</c:v>
              </c:pt>
            </c:numLit>
          </c:xVal>
          <c:yVal>
            <c:numLit>
              <c:formatCode>General</c:formatCode>
              <c:ptCount val="2"/>
              <c:pt idx="0">
                <c:v>4.0000000000000001E-3</c:v>
              </c:pt>
              <c:pt idx="1">
                <c:v>4.0000000000000001E-3</c:v>
              </c:pt>
            </c:numLit>
          </c:yVal>
          <c:smooth val="0"/>
          <c:extLst>
            <c:ext xmlns:c16="http://schemas.microsoft.com/office/drawing/2014/chart" uri="{C3380CC4-5D6E-409C-BE32-E72D297353CC}">
              <c16:uniqueId val="{0000001A-A593-453B-BC1F-36AD82F17BFD}"/>
            </c:ext>
          </c:extLst>
        </c:ser>
        <c:ser>
          <c:idx val="22"/>
          <c:order val="22"/>
          <c:tx>
            <c:v>x=0.0042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4.2000000000000006E-3</c:v>
              </c:pt>
              <c:pt idx="1">
                <c:v>4.2000000000000006E-3</c:v>
              </c:pt>
            </c:numLit>
          </c:yVal>
          <c:smooth val="0"/>
          <c:extLst>
            <c:ext xmlns:c16="http://schemas.microsoft.com/office/drawing/2014/chart" uri="{C3380CC4-5D6E-409C-BE32-E72D297353CC}">
              <c16:uniqueId val="{0000001B-A593-453B-BC1F-36AD82F17BFD}"/>
            </c:ext>
          </c:extLst>
        </c:ser>
        <c:ser>
          <c:idx val="23"/>
          <c:order val="23"/>
          <c:tx>
            <c:v>x=0.0044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4.4000000000000003E-3</c:v>
              </c:pt>
              <c:pt idx="1">
                <c:v>4.4000000000000003E-3</c:v>
              </c:pt>
            </c:numLit>
          </c:yVal>
          <c:smooth val="0"/>
          <c:extLst>
            <c:ext xmlns:c16="http://schemas.microsoft.com/office/drawing/2014/chart" uri="{C3380CC4-5D6E-409C-BE32-E72D297353CC}">
              <c16:uniqueId val="{0000001C-A593-453B-BC1F-36AD82F17BFD}"/>
            </c:ext>
          </c:extLst>
        </c:ser>
        <c:ser>
          <c:idx val="24"/>
          <c:order val="24"/>
          <c:tx>
            <c:v>x=0.0046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4.5999999999999999E-3</c:v>
              </c:pt>
              <c:pt idx="1">
                <c:v>4.5999999999999999E-3</c:v>
              </c:pt>
            </c:numLit>
          </c:yVal>
          <c:smooth val="0"/>
          <c:extLst>
            <c:ext xmlns:c16="http://schemas.microsoft.com/office/drawing/2014/chart" uri="{C3380CC4-5D6E-409C-BE32-E72D297353CC}">
              <c16:uniqueId val="{0000001D-A593-453B-BC1F-36AD82F17BFD}"/>
            </c:ext>
          </c:extLst>
        </c:ser>
        <c:ser>
          <c:idx val="25"/>
          <c:order val="25"/>
          <c:tx>
            <c:v>x=0.0048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4.8000000000000004E-3</c:v>
              </c:pt>
              <c:pt idx="1">
                <c:v>4.8000000000000004E-3</c:v>
              </c:pt>
            </c:numLit>
          </c:yVal>
          <c:smooth val="0"/>
          <c:extLst>
            <c:ext xmlns:c16="http://schemas.microsoft.com/office/drawing/2014/chart" uri="{C3380CC4-5D6E-409C-BE32-E72D297353CC}">
              <c16:uniqueId val="{0000001E-A593-453B-BC1F-36AD82F17BFD}"/>
            </c:ext>
          </c:extLst>
        </c:ser>
        <c:ser>
          <c:idx val="26"/>
          <c:order val="26"/>
          <c:tx>
            <c:v>x=0.005</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0.005</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A593-453B-BC1F-36AD82F17BF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3.4233648111332013</c:v>
              </c:pt>
              <c:pt idx="1">
                <c:v>50.8</c:v>
              </c:pt>
            </c:numLit>
          </c:xVal>
          <c:yVal>
            <c:numLit>
              <c:formatCode>General</c:formatCode>
              <c:ptCount val="2"/>
              <c:pt idx="0">
                <c:v>5.0000000000000001E-3</c:v>
              </c:pt>
              <c:pt idx="1">
                <c:v>5.0000000000000001E-3</c:v>
              </c:pt>
            </c:numLit>
          </c:yVal>
          <c:smooth val="0"/>
          <c:extLst>
            <c:ext xmlns:c16="http://schemas.microsoft.com/office/drawing/2014/chart" uri="{C3380CC4-5D6E-409C-BE32-E72D297353CC}">
              <c16:uniqueId val="{00000020-A593-453B-BC1F-36AD82F17BFD}"/>
            </c:ext>
          </c:extLst>
        </c:ser>
        <c:ser>
          <c:idx val="27"/>
          <c:order val="27"/>
          <c:tx>
            <c:v>x=0.0052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5.2000000000000006E-3</c:v>
              </c:pt>
              <c:pt idx="1">
                <c:v>5.2000000000000006E-3</c:v>
              </c:pt>
            </c:numLit>
          </c:yVal>
          <c:smooth val="0"/>
          <c:extLst>
            <c:ext xmlns:c16="http://schemas.microsoft.com/office/drawing/2014/chart" uri="{C3380CC4-5D6E-409C-BE32-E72D297353CC}">
              <c16:uniqueId val="{00000021-A593-453B-BC1F-36AD82F17BFD}"/>
            </c:ext>
          </c:extLst>
        </c:ser>
        <c:ser>
          <c:idx val="28"/>
          <c:order val="28"/>
          <c:tx>
            <c:v>x=0.0054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5.4000000000000003E-3</c:v>
              </c:pt>
              <c:pt idx="1">
                <c:v>5.4000000000000003E-3</c:v>
              </c:pt>
            </c:numLit>
          </c:yVal>
          <c:smooth val="0"/>
          <c:extLst>
            <c:ext xmlns:c16="http://schemas.microsoft.com/office/drawing/2014/chart" uri="{C3380CC4-5D6E-409C-BE32-E72D297353CC}">
              <c16:uniqueId val="{00000022-A593-453B-BC1F-36AD82F17BFD}"/>
            </c:ext>
          </c:extLst>
        </c:ser>
        <c:ser>
          <c:idx val="29"/>
          <c:order val="29"/>
          <c:tx>
            <c:v>x=0.0056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5.5999999999999999E-3</c:v>
              </c:pt>
              <c:pt idx="1">
                <c:v>5.5999999999999999E-3</c:v>
              </c:pt>
            </c:numLit>
          </c:yVal>
          <c:smooth val="0"/>
          <c:extLst>
            <c:ext xmlns:c16="http://schemas.microsoft.com/office/drawing/2014/chart" uri="{C3380CC4-5D6E-409C-BE32-E72D297353CC}">
              <c16:uniqueId val="{00000023-A593-453B-BC1F-36AD82F17BFD}"/>
            </c:ext>
          </c:extLst>
        </c:ser>
        <c:ser>
          <c:idx val="30"/>
          <c:order val="30"/>
          <c:tx>
            <c:v>x=0.0058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5.8000000000000005E-3</c:v>
              </c:pt>
              <c:pt idx="1">
                <c:v>5.8000000000000005E-3</c:v>
              </c:pt>
            </c:numLit>
          </c:yVal>
          <c:smooth val="0"/>
          <c:extLst>
            <c:ext xmlns:c16="http://schemas.microsoft.com/office/drawing/2014/chart" uri="{C3380CC4-5D6E-409C-BE32-E72D297353CC}">
              <c16:uniqueId val="{00000024-A593-453B-BC1F-36AD82F17BFD}"/>
            </c:ext>
          </c:extLst>
        </c:ser>
        <c:ser>
          <c:idx val="31"/>
          <c:order val="31"/>
          <c:tx>
            <c:v>x=0.006</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0.006</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5-A593-453B-BC1F-36AD82F17BF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5.9567697813121274</c:v>
              </c:pt>
              <c:pt idx="1">
                <c:v>50.8</c:v>
              </c:pt>
            </c:numLit>
          </c:xVal>
          <c:yVal>
            <c:numLit>
              <c:formatCode>General</c:formatCode>
              <c:ptCount val="2"/>
              <c:pt idx="0">
                <c:v>6.0000000000000001E-3</c:v>
              </c:pt>
              <c:pt idx="1">
                <c:v>6.0000000000000001E-3</c:v>
              </c:pt>
            </c:numLit>
          </c:yVal>
          <c:smooth val="0"/>
          <c:extLst>
            <c:ext xmlns:c16="http://schemas.microsoft.com/office/drawing/2014/chart" uri="{C3380CC4-5D6E-409C-BE32-E72D297353CC}">
              <c16:uniqueId val="{00000026-A593-453B-BC1F-36AD82F17BFD}"/>
            </c:ext>
          </c:extLst>
        </c:ser>
        <c:ser>
          <c:idx val="32"/>
          <c:order val="32"/>
          <c:tx>
            <c:v>x=0.0062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6.2000000000000006E-3</c:v>
              </c:pt>
              <c:pt idx="1">
                <c:v>6.2000000000000006E-3</c:v>
              </c:pt>
            </c:numLit>
          </c:yVal>
          <c:smooth val="0"/>
          <c:extLst>
            <c:ext xmlns:c16="http://schemas.microsoft.com/office/drawing/2014/chart" uri="{C3380CC4-5D6E-409C-BE32-E72D297353CC}">
              <c16:uniqueId val="{00000027-A593-453B-BC1F-36AD82F17BFD}"/>
            </c:ext>
          </c:extLst>
        </c:ser>
        <c:ser>
          <c:idx val="33"/>
          <c:order val="33"/>
          <c:tx>
            <c:v>x=0.0064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6.4000000000000003E-3</c:v>
              </c:pt>
              <c:pt idx="1">
                <c:v>6.4000000000000003E-3</c:v>
              </c:pt>
            </c:numLit>
          </c:yVal>
          <c:smooth val="0"/>
          <c:extLst>
            <c:ext xmlns:c16="http://schemas.microsoft.com/office/drawing/2014/chart" uri="{C3380CC4-5D6E-409C-BE32-E72D297353CC}">
              <c16:uniqueId val="{00000028-A593-453B-BC1F-36AD82F17BFD}"/>
            </c:ext>
          </c:extLst>
        </c:ser>
        <c:ser>
          <c:idx val="34"/>
          <c:order val="34"/>
          <c:tx>
            <c:v>x=0.0066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6.6E-3</c:v>
              </c:pt>
              <c:pt idx="1">
                <c:v>6.6E-3</c:v>
              </c:pt>
            </c:numLit>
          </c:yVal>
          <c:smooth val="0"/>
          <c:extLst>
            <c:ext xmlns:c16="http://schemas.microsoft.com/office/drawing/2014/chart" uri="{C3380CC4-5D6E-409C-BE32-E72D297353CC}">
              <c16:uniqueId val="{00000029-A593-453B-BC1F-36AD82F17BFD}"/>
            </c:ext>
          </c:extLst>
        </c:ser>
        <c:ser>
          <c:idx val="35"/>
          <c:order val="35"/>
          <c:tx>
            <c:v>x=0.0068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6.8000000000000005E-3</c:v>
              </c:pt>
              <c:pt idx="1">
                <c:v>6.8000000000000005E-3</c:v>
              </c:pt>
            </c:numLit>
          </c:yVal>
          <c:smooth val="0"/>
          <c:extLst>
            <c:ext xmlns:c16="http://schemas.microsoft.com/office/drawing/2014/chart" uri="{C3380CC4-5D6E-409C-BE32-E72D297353CC}">
              <c16:uniqueId val="{0000002A-A593-453B-BC1F-36AD82F17BFD}"/>
            </c:ext>
          </c:extLst>
        </c:ser>
        <c:ser>
          <c:idx val="36"/>
          <c:order val="36"/>
          <c:tx>
            <c:v>x=0.007</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0.007</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A593-453B-BC1F-36AD82F17BF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8.145222266401591</c:v>
              </c:pt>
              <c:pt idx="1">
                <c:v>50.8</c:v>
              </c:pt>
            </c:numLit>
          </c:xVal>
          <c:yVal>
            <c:numLit>
              <c:formatCode>General</c:formatCode>
              <c:ptCount val="2"/>
              <c:pt idx="0">
                <c:v>7.0000000000000001E-3</c:v>
              </c:pt>
              <c:pt idx="1">
                <c:v>7.0000000000000001E-3</c:v>
              </c:pt>
            </c:numLit>
          </c:yVal>
          <c:smooth val="0"/>
          <c:extLst>
            <c:ext xmlns:c16="http://schemas.microsoft.com/office/drawing/2014/chart" uri="{C3380CC4-5D6E-409C-BE32-E72D297353CC}">
              <c16:uniqueId val="{0000002C-A593-453B-BC1F-36AD82F17BFD}"/>
            </c:ext>
          </c:extLst>
        </c:ser>
        <c:ser>
          <c:idx val="37"/>
          <c:order val="37"/>
          <c:tx>
            <c:v>x=0.0072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7.2000000000000007E-3</c:v>
              </c:pt>
              <c:pt idx="1">
                <c:v>7.2000000000000007E-3</c:v>
              </c:pt>
            </c:numLit>
          </c:yVal>
          <c:smooth val="0"/>
          <c:extLst>
            <c:ext xmlns:c16="http://schemas.microsoft.com/office/drawing/2014/chart" uri="{C3380CC4-5D6E-409C-BE32-E72D297353CC}">
              <c16:uniqueId val="{0000002D-A593-453B-BC1F-36AD82F17BFD}"/>
            </c:ext>
          </c:extLst>
        </c:ser>
        <c:ser>
          <c:idx val="38"/>
          <c:order val="38"/>
          <c:tx>
            <c:v>x=0.0074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7.4000000000000003E-3</c:v>
              </c:pt>
              <c:pt idx="1">
                <c:v>7.4000000000000003E-3</c:v>
              </c:pt>
            </c:numLit>
          </c:yVal>
          <c:smooth val="0"/>
          <c:extLst>
            <c:ext xmlns:c16="http://schemas.microsoft.com/office/drawing/2014/chart" uri="{C3380CC4-5D6E-409C-BE32-E72D297353CC}">
              <c16:uniqueId val="{0000002E-A593-453B-BC1F-36AD82F17BFD}"/>
            </c:ext>
          </c:extLst>
        </c:ser>
        <c:ser>
          <c:idx val="39"/>
          <c:order val="39"/>
          <c:tx>
            <c:v>x=0.0076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7.6E-3</c:v>
              </c:pt>
              <c:pt idx="1">
                <c:v>7.6E-3</c:v>
              </c:pt>
            </c:numLit>
          </c:yVal>
          <c:smooth val="0"/>
          <c:extLst>
            <c:ext xmlns:c16="http://schemas.microsoft.com/office/drawing/2014/chart" uri="{C3380CC4-5D6E-409C-BE32-E72D297353CC}">
              <c16:uniqueId val="{0000002F-A593-453B-BC1F-36AD82F17BFD}"/>
            </c:ext>
          </c:extLst>
        </c:ser>
        <c:ser>
          <c:idx val="40"/>
          <c:order val="40"/>
          <c:tx>
            <c:v>x=0.0078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7.8000000000000005E-3</c:v>
              </c:pt>
              <c:pt idx="1">
                <c:v>7.8000000000000005E-3</c:v>
              </c:pt>
            </c:numLit>
          </c:yVal>
          <c:smooth val="0"/>
          <c:extLst>
            <c:ext xmlns:c16="http://schemas.microsoft.com/office/drawing/2014/chart" uri="{C3380CC4-5D6E-409C-BE32-E72D297353CC}">
              <c16:uniqueId val="{00000030-A593-453B-BC1F-36AD82F17BFD}"/>
            </c:ext>
          </c:extLst>
        </c:ser>
        <c:ser>
          <c:idx val="41"/>
          <c:order val="41"/>
          <c:tx>
            <c:v>x=0.008</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0.008</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1-A593-453B-BC1F-36AD82F17BF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10.057816302186881</c:v>
              </c:pt>
              <c:pt idx="1">
                <c:v>50.8</c:v>
              </c:pt>
            </c:numLit>
          </c:xVal>
          <c:yVal>
            <c:numLit>
              <c:formatCode>General</c:formatCode>
              <c:ptCount val="2"/>
              <c:pt idx="0">
                <c:v>8.0000000000000002E-3</c:v>
              </c:pt>
              <c:pt idx="1">
                <c:v>8.0000000000000002E-3</c:v>
              </c:pt>
            </c:numLit>
          </c:yVal>
          <c:smooth val="0"/>
          <c:extLst>
            <c:ext xmlns:c16="http://schemas.microsoft.com/office/drawing/2014/chart" uri="{C3380CC4-5D6E-409C-BE32-E72D297353CC}">
              <c16:uniqueId val="{00000032-A593-453B-BC1F-36AD82F17BFD}"/>
            </c:ext>
          </c:extLst>
        </c:ser>
        <c:ser>
          <c:idx val="42"/>
          <c:order val="42"/>
          <c:tx>
            <c:v>x=0.0082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8.2000000000000007E-3</c:v>
              </c:pt>
              <c:pt idx="1">
                <c:v>8.2000000000000007E-3</c:v>
              </c:pt>
            </c:numLit>
          </c:yVal>
          <c:smooth val="0"/>
          <c:extLst>
            <c:ext xmlns:c16="http://schemas.microsoft.com/office/drawing/2014/chart" uri="{C3380CC4-5D6E-409C-BE32-E72D297353CC}">
              <c16:uniqueId val="{00000033-A593-453B-BC1F-36AD82F17BFD}"/>
            </c:ext>
          </c:extLst>
        </c:ser>
        <c:ser>
          <c:idx val="43"/>
          <c:order val="43"/>
          <c:tx>
            <c:v>x=0.0084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8.4000000000000012E-3</c:v>
              </c:pt>
              <c:pt idx="1">
                <c:v>8.4000000000000012E-3</c:v>
              </c:pt>
            </c:numLit>
          </c:yVal>
          <c:smooth val="0"/>
          <c:extLst>
            <c:ext xmlns:c16="http://schemas.microsoft.com/office/drawing/2014/chart" uri="{C3380CC4-5D6E-409C-BE32-E72D297353CC}">
              <c16:uniqueId val="{00000034-A593-453B-BC1F-36AD82F17BFD}"/>
            </c:ext>
          </c:extLst>
        </c:ser>
        <c:ser>
          <c:idx val="44"/>
          <c:order val="44"/>
          <c:tx>
            <c:v>x=0.0086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8.6E-3</c:v>
              </c:pt>
              <c:pt idx="1">
                <c:v>8.6E-3</c:v>
              </c:pt>
            </c:numLit>
          </c:yVal>
          <c:smooth val="0"/>
          <c:extLst>
            <c:ext xmlns:c16="http://schemas.microsoft.com/office/drawing/2014/chart" uri="{C3380CC4-5D6E-409C-BE32-E72D297353CC}">
              <c16:uniqueId val="{00000035-A593-453B-BC1F-36AD82F17BFD}"/>
            </c:ext>
          </c:extLst>
        </c:ser>
        <c:ser>
          <c:idx val="45"/>
          <c:order val="45"/>
          <c:tx>
            <c:v>x=0.0088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8.8000000000000005E-3</c:v>
              </c:pt>
              <c:pt idx="1">
                <c:v>8.8000000000000005E-3</c:v>
              </c:pt>
            </c:numLit>
          </c:yVal>
          <c:smooth val="0"/>
          <c:extLst>
            <c:ext xmlns:c16="http://schemas.microsoft.com/office/drawing/2014/chart" uri="{C3380CC4-5D6E-409C-BE32-E72D297353CC}">
              <c16:uniqueId val="{00000036-A593-453B-BC1F-36AD82F17BFD}"/>
            </c:ext>
          </c:extLst>
        </c:ser>
        <c:ser>
          <c:idx val="46"/>
          <c:order val="46"/>
          <c:tx>
            <c:v>x=0.009</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0.009</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A593-453B-BC1F-36AD82F17BF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11.774330019880717</c:v>
              </c:pt>
              <c:pt idx="1">
                <c:v>50.8</c:v>
              </c:pt>
            </c:numLit>
          </c:xVal>
          <c:yVal>
            <c:numLit>
              <c:formatCode>General</c:formatCode>
              <c:ptCount val="2"/>
              <c:pt idx="0">
                <c:v>9.0000000000000011E-3</c:v>
              </c:pt>
              <c:pt idx="1">
                <c:v>9.0000000000000011E-3</c:v>
              </c:pt>
            </c:numLit>
          </c:yVal>
          <c:smooth val="0"/>
          <c:extLst>
            <c:ext xmlns:c16="http://schemas.microsoft.com/office/drawing/2014/chart" uri="{C3380CC4-5D6E-409C-BE32-E72D297353CC}">
              <c16:uniqueId val="{00000038-A593-453B-BC1F-36AD82F17BFD}"/>
            </c:ext>
          </c:extLst>
        </c:ser>
        <c:ser>
          <c:idx val="47"/>
          <c:order val="47"/>
          <c:tx>
            <c:v>x=0.0092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9.1999999999999998E-3</c:v>
              </c:pt>
              <c:pt idx="1">
                <c:v>9.1999999999999998E-3</c:v>
              </c:pt>
            </c:numLit>
          </c:yVal>
          <c:smooth val="0"/>
          <c:extLst>
            <c:ext xmlns:c16="http://schemas.microsoft.com/office/drawing/2014/chart" uri="{C3380CC4-5D6E-409C-BE32-E72D297353CC}">
              <c16:uniqueId val="{00000039-A593-453B-BC1F-36AD82F17BFD}"/>
            </c:ext>
          </c:extLst>
        </c:ser>
        <c:ser>
          <c:idx val="48"/>
          <c:order val="48"/>
          <c:tx>
            <c:v>x=0.0094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9.4000000000000004E-3</c:v>
              </c:pt>
              <c:pt idx="1">
                <c:v>9.4000000000000004E-3</c:v>
              </c:pt>
            </c:numLit>
          </c:yVal>
          <c:smooth val="0"/>
          <c:extLst>
            <c:ext xmlns:c16="http://schemas.microsoft.com/office/drawing/2014/chart" uri="{C3380CC4-5D6E-409C-BE32-E72D297353CC}">
              <c16:uniqueId val="{0000003A-A593-453B-BC1F-36AD82F17BFD}"/>
            </c:ext>
          </c:extLst>
        </c:ser>
        <c:ser>
          <c:idx val="49"/>
          <c:order val="49"/>
          <c:tx>
            <c:v>x=0.0096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9.6000000000000009E-3</c:v>
              </c:pt>
              <c:pt idx="1">
                <c:v>9.6000000000000009E-3</c:v>
              </c:pt>
            </c:numLit>
          </c:yVal>
          <c:smooth val="0"/>
          <c:extLst>
            <c:ext xmlns:c16="http://schemas.microsoft.com/office/drawing/2014/chart" uri="{C3380CC4-5D6E-409C-BE32-E72D297353CC}">
              <c16:uniqueId val="{0000003B-A593-453B-BC1F-36AD82F17BFD}"/>
            </c:ext>
          </c:extLst>
        </c:ser>
        <c:ser>
          <c:idx val="50"/>
          <c:order val="50"/>
          <c:tx>
            <c:v>x=0.0098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9.7999999999999997E-3</c:v>
              </c:pt>
              <c:pt idx="1">
                <c:v>9.7999999999999997E-3</c:v>
              </c:pt>
            </c:numLit>
          </c:yVal>
          <c:smooth val="0"/>
          <c:extLst>
            <c:ext xmlns:c16="http://schemas.microsoft.com/office/drawing/2014/chart" uri="{C3380CC4-5D6E-409C-BE32-E72D297353CC}">
              <c16:uniqueId val="{0000003C-A593-453B-BC1F-36AD82F17BFD}"/>
            </c:ext>
          </c:extLst>
        </c:ser>
        <c:ser>
          <c:idx val="51"/>
          <c:order val="51"/>
          <c:tx>
            <c:v>x=0.01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0.010</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D-A593-453B-BC1F-36AD82F17BF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13.314023856858848</c:v>
              </c:pt>
              <c:pt idx="1">
                <c:v>50.8</c:v>
              </c:pt>
            </c:numLit>
          </c:xVal>
          <c:yVal>
            <c:numLit>
              <c:formatCode>General</c:formatCode>
              <c:ptCount val="2"/>
              <c:pt idx="0">
                <c:v>0.01</c:v>
              </c:pt>
              <c:pt idx="1">
                <c:v>0.01</c:v>
              </c:pt>
            </c:numLit>
          </c:yVal>
          <c:smooth val="0"/>
          <c:extLst>
            <c:ext xmlns:c16="http://schemas.microsoft.com/office/drawing/2014/chart" uri="{C3380CC4-5D6E-409C-BE32-E72D297353CC}">
              <c16:uniqueId val="{0000003E-A593-453B-BC1F-36AD82F17BFD}"/>
            </c:ext>
          </c:extLst>
        </c:ser>
        <c:ser>
          <c:idx val="52"/>
          <c:order val="52"/>
          <c:tx>
            <c:v>x=0.0102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1.0200000000000001E-2</c:v>
              </c:pt>
              <c:pt idx="1">
                <c:v>1.0200000000000001E-2</c:v>
              </c:pt>
            </c:numLit>
          </c:yVal>
          <c:smooth val="0"/>
          <c:extLst>
            <c:ext xmlns:c16="http://schemas.microsoft.com/office/drawing/2014/chart" uri="{C3380CC4-5D6E-409C-BE32-E72D297353CC}">
              <c16:uniqueId val="{0000003F-A593-453B-BC1F-36AD82F17BFD}"/>
            </c:ext>
          </c:extLst>
        </c:ser>
        <c:ser>
          <c:idx val="53"/>
          <c:order val="53"/>
          <c:tx>
            <c:v>x=0.0104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1.0400000000000001E-2</c:v>
              </c:pt>
              <c:pt idx="1">
                <c:v>1.0400000000000001E-2</c:v>
              </c:pt>
            </c:numLit>
          </c:yVal>
          <c:smooth val="0"/>
          <c:extLst>
            <c:ext xmlns:c16="http://schemas.microsoft.com/office/drawing/2014/chart" uri="{C3380CC4-5D6E-409C-BE32-E72D297353CC}">
              <c16:uniqueId val="{00000040-A593-453B-BC1F-36AD82F17BFD}"/>
            </c:ext>
          </c:extLst>
        </c:ser>
        <c:ser>
          <c:idx val="54"/>
          <c:order val="54"/>
          <c:tx>
            <c:v>x=0.0106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1.06E-2</c:v>
              </c:pt>
              <c:pt idx="1">
                <c:v>1.06E-2</c:v>
              </c:pt>
            </c:numLit>
          </c:yVal>
          <c:smooth val="0"/>
          <c:extLst>
            <c:ext xmlns:c16="http://schemas.microsoft.com/office/drawing/2014/chart" uri="{C3380CC4-5D6E-409C-BE32-E72D297353CC}">
              <c16:uniqueId val="{00000041-A593-453B-BC1F-36AD82F17BFD}"/>
            </c:ext>
          </c:extLst>
        </c:ser>
        <c:ser>
          <c:idx val="55"/>
          <c:order val="55"/>
          <c:tx>
            <c:v>x=0.0108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1.0800000000000001E-2</c:v>
              </c:pt>
              <c:pt idx="1">
                <c:v>1.0800000000000001E-2</c:v>
              </c:pt>
            </c:numLit>
          </c:yVal>
          <c:smooth val="0"/>
          <c:extLst>
            <c:ext xmlns:c16="http://schemas.microsoft.com/office/drawing/2014/chart" uri="{C3380CC4-5D6E-409C-BE32-E72D297353CC}">
              <c16:uniqueId val="{00000042-A593-453B-BC1F-36AD82F17BFD}"/>
            </c:ext>
          </c:extLst>
        </c:ser>
        <c:ser>
          <c:idx val="56"/>
          <c:order val="56"/>
          <c:tx>
            <c:v>x=0.011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0.011</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3-A593-453B-BC1F-36AD82F17BF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14.726916302186879</c:v>
              </c:pt>
              <c:pt idx="1">
                <c:v>50.8</c:v>
              </c:pt>
            </c:numLit>
          </c:xVal>
          <c:yVal>
            <c:numLit>
              <c:formatCode>General</c:formatCode>
              <c:ptCount val="2"/>
              <c:pt idx="0">
                <c:v>1.1000000000000001E-2</c:v>
              </c:pt>
              <c:pt idx="1">
                <c:v>1.1000000000000001E-2</c:v>
              </c:pt>
            </c:numLit>
          </c:yVal>
          <c:smooth val="0"/>
          <c:extLst>
            <c:ext xmlns:c16="http://schemas.microsoft.com/office/drawing/2014/chart" uri="{C3380CC4-5D6E-409C-BE32-E72D297353CC}">
              <c16:uniqueId val="{00000044-A593-453B-BC1F-36AD82F17BFD}"/>
            </c:ext>
          </c:extLst>
        </c:ser>
        <c:ser>
          <c:idx val="57"/>
          <c:order val="57"/>
          <c:tx>
            <c:v>x=0.0112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1.12E-2</c:v>
              </c:pt>
              <c:pt idx="1">
                <c:v>1.12E-2</c:v>
              </c:pt>
            </c:numLit>
          </c:yVal>
          <c:smooth val="0"/>
          <c:extLst>
            <c:ext xmlns:c16="http://schemas.microsoft.com/office/drawing/2014/chart" uri="{C3380CC4-5D6E-409C-BE32-E72D297353CC}">
              <c16:uniqueId val="{00000045-A593-453B-BC1F-36AD82F17BFD}"/>
            </c:ext>
          </c:extLst>
        </c:ser>
        <c:ser>
          <c:idx val="58"/>
          <c:order val="58"/>
          <c:tx>
            <c:v>x=0.0114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1.14E-2</c:v>
              </c:pt>
              <c:pt idx="1">
                <c:v>1.14E-2</c:v>
              </c:pt>
            </c:numLit>
          </c:yVal>
          <c:smooth val="0"/>
          <c:extLst>
            <c:ext xmlns:c16="http://schemas.microsoft.com/office/drawing/2014/chart" uri="{C3380CC4-5D6E-409C-BE32-E72D297353CC}">
              <c16:uniqueId val="{00000046-A593-453B-BC1F-36AD82F17BFD}"/>
            </c:ext>
          </c:extLst>
        </c:ser>
        <c:ser>
          <c:idx val="59"/>
          <c:order val="59"/>
          <c:tx>
            <c:v>x=0.0116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1.1600000000000001E-2</c:v>
              </c:pt>
              <c:pt idx="1">
                <c:v>1.1600000000000001E-2</c:v>
              </c:pt>
            </c:numLit>
          </c:yVal>
          <c:smooth val="0"/>
          <c:extLst>
            <c:ext xmlns:c16="http://schemas.microsoft.com/office/drawing/2014/chart" uri="{C3380CC4-5D6E-409C-BE32-E72D297353CC}">
              <c16:uniqueId val="{00000047-A593-453B-BC1F-36AD82F17BFD}"/>
            </c:ext>
          </c:extLst>
        </c:ser>
        <c:ser>
          <c:idx val="60"/>
          <c:order val="60"/>
          <c:tx>
            <c:v>x=0.0118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1.18E-2</c:v>
              </c:pt>
              <c:pt idx="1">
                <c:v>1.18E-2</c:v>
              </c:pt>
            </c:numLit>
          </c:yVal>
          <c:smooth val="0"/>
          <c:extLst>
            <c:ext xmlns:c16="http://schemas.microsoft.com/office/drawing/2014/chart" uri="{C3380CC4-5D6E-409C-BE32-E72D297353CC}">
              <c16:uniqueId val="{00000048-A593-453B-BC1F-36AD82F17BFD}"/>
            </c:ext>
          </c:extLst>
        </c:ser>
        <c:ser>
          <c:idx val="61"/>
          <c:order val="61"/>
          <c:tx>
            <c:v>x=0.012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0.012</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9-A593-453B-BC1F-36AD82F17BF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16.032730019880717</c:v>
              </c:pt>
              <c:pt idx="1">
                <c:v>50.8</c:v>
              </c:pt>
            </c:numLit>
          </c:xVal>
          <c:yVal>
            <c:numLit>
              <c:formatCode>General</c:formatCode>
              <c:ptCount val="2"/>
              <c:pt idx="0">
                <c:v>1.2E-2</c:v>
              </c:pt>
              <c:pt idx="1">
                <c:v>1.2E-2</c:v>
              </c:pt>
            </c:numLit>
          </c:yVal>
          <c:smooth val="0"/>
          <c:extLst>
            <c:ext xmlns:c16="http://schemas.microsoft.com/office/drawing/2014/chart" uri="{C3380CC4-5D6E-409C-BE32-E72D297353CC}">
              <c16:uniqueId val="{0000004A-A593-453B-BC1F-36AD82F17BFD}"/>
            </c:ext>
          </c:extLst>
        </c:ser>
        <c:ser>
          <c:idx val="62"/>
          <c:order val="62"/>
          <c:tx>
            <c:v>x=0.0122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1.2200000000000001E-2</c:v>
              </c:pt>
              <c:pt idx="1">
                <c:v>1.2200000000000001E-2</c:v>
              </c:pt>
            </c:numLit>
          </c:yVal>
          <c:smooth val="0"/>
          <c:extLst>
            <c:ext xmlns:c16="http://schemas.microsoft.com/office/drawing/2014/chart" uri="{C3380CC4-5D6E-409C-BE32-E72D297353CC}">
              <c16:uniqueId val="{0000004B-A593-453B-BC1F-36AD82F17BFD}"/>
            </c:ext>
          </c:extLst>
        </c:ser>
        <c:ser>
          <c:idx val="63"/>
          <c:order val="63"/>
          <c:tx>
            <c:v>x=0.0124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1.2400000000000001E-2</c:v>
              </c:pt>
              <c:pt idx="1">
                <c:v>1.2400000000000001E-2</c:v>
              </c:pt>
            </c:numLit>
          </c:yVal>
          <c:smooth val="0"/>
          <c:extLst>
            <c:ext xmlns:c16="http://schemas.microsoft.com/office/drawing/2014/chart" uri="{C3380CC4-5D6E-409C-BE32-E72D297353CC}">
              <c16:uniqueId val="{0000004C-A593-453B-BC1F-36AD82F17BFD}"/>
            </c:ext>
          </c:extLst>
        </c:ser>
        <c:ser>
          <c:idx val="64"/>
          <c:order val="64"/>
          <c:tx>
            <c:v>x=0.0126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1.26E-2</c:v>
              </c:pt>
              <c:pt idx="1">
                <c:v>1.26E-2</c:v>
              </c:pt>
            </c:numLit>
          </c:yVal>
          <c:smooth val="0"/>
          <c:extLst>
            <c:ext xmlns:c16="http://schemas.microsoft.com/office/drawing/2014/chart" uri="{C3380CC4-5D6E-409C-BE32-E72D297353CC}">
              <c16:uniqueId val="{0000004D-A593-453B-BC1F-36AD82F17BFD}"/>
            </c:ext>
          </c:extLst>
        </c:ser>
        <c:ser>
          <c:idx val="65"/>
          <c:order val="65"/>
          <c:tx>
            <c:v>x=0.0128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1.2800000000000001E-2</c:v>
              </c:pt>
              <c:pt idx="1">
                <c:v>1.2800000000000001E-2</c:v>
              </c:pt>
            </c:numLit>
          </c:yVal>
          <c:smooth val="0"/>
          <c:extLst>
            <c:ext xmlns:c16="http://schemas.microsoft.com/office/drawing/2014/chart" uri="{C3380CC4-5D6E-409C-BE32-E72D297353CC}">
              <c16:uniqueId val="{0000004E-A593-453B-BC1F-36AD82F17BFD}"/>
            </c:ext>
          </c:extLst>
        </c:ser>
        <c:ser>
          <c:idx val="66"/>
          <c:order val="66"/>
          <c:tx>
            <c:v>x=0.013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0.013</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F-A593-453B-BC1F-36AD82F17BF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17.241095228628232</c:v>
              </c:pt>
              <c:pt idx="1">
                <c:v>50.8</c:v>
              </c:pt>
            </c:numLit>
          </c:xVal>
          <c:yVal>
            <c:numLit>
              <c:formatCode>General</c:formatCode>
              <c:ptCount val="2"/>
              <c:pt idx="0">
                <c:v>1.3000000000000001E-2</c:v>
              </c:pt>
              <c:pt idx="1">
                <c:v>1.3000000000000001E-2</c:v>
              </c:pt>
            </c:numLit>
          </c:yVal>
          <c:smooth val="0"/>
          <c:extLst>
            <c:ext xmlns:c16="http://schemas.microsoft.com/office/drawing/2014/chart" uri="{C3380CC4-5D6E-409C-BE32-E72D297353CC}">
              <c16:uniqueId val="{00000050-A593-453B-BC1F-36AD82F17BFD}"/>
            </c:ext>
          </c:extLst>
        </c:ser>
        <c:ser>
          <c:idx val="67"/>
          <c:order val="67"/>
          <c:tx>
            <c:v>x=0.0132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1.32E-2</c:v>
              </c:pt>
              <c:pt idx="1">
                <c:v>1.32E-2</c:v>
              </c:pt>
            </c:numLit>
          </c:yVal>
          <c:smooth val="0"/>
          <c:extLst>
            <c:ext xmlns:c16="http://schemas.microsoft.com/office/drawing/2014/chart" uri="{C3380CC4-5D6E-409C-BE32-E72D297353CC}">
              <c16:uniqueId val="{00000051-A593-453B-BC1F-36AD82F17BFD}"/>
            </c:ext>
          </c:extLst>
        </c:ser>
        <c:ser>
          <c:idx val="68"/>
          <c:order val="68"/>
          <c:tx>
            <c:v>x=0.0134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1.34E-2</c:v>
              </c:pt>
              <c:pt idx="1">
                <c:v>1.34E-2</c:v>
              </c:pt>
            </c:numLit>
          </c:yVal>
          <c:smooth val="0"/>
          <c:extLst>
            <c:ext xmlns:c16="http://schemas.microsoft.com/office/drawing/2014/chart" uri="{C3380CC4-5D6E-409C-BE32-E72D297353CC}">
              <c16:uniqueId val="{00000052-A593-453B-BC1F-36AD82F17BFD}"/>
            </c:ext>
          </c:extLst>
        </c:ser>
        <c:ser>
          <c:idx val="69"/>
          <c:order val="69"/>
          <c:tx>
            <c:v>x=0.0136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1.3600000000000001E-2</c:v>
              </c:pt>
              <c:pt idx="1">
                <c:v>1.3600000000000001E-2</c:v>
              </c:pt>
            </c:numLit>
          </c:yVal>
          <c:smooth val="0"/>
          <c:extLst>
            <c:ext xmlns:c16="http://schemas.microsoft.com/office/drawing/2014/chart" uri="{C3380CC4-5D6E-409C-BE32-E72D297353CC}">
              <c16:uniqueId val="{00000053-A593-453B-BC1F-36AD82F17BFD}"/>
            </c:ext>
          </c:extLst>
        </c:ser>
        <c:ser>
          <c:idx val="70"/>
          <c:order val="70"/>
          <c:tx>
            <c:v>x=0.0138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1.3800000000000002E-2</c:v>
              </c:pt>
              <c:pt idx="1">
                <c:v>1.3800000000000002E-2</c:v>
              </c:pt>
            </c:numLit>
          </c:yVal>
          <c:smooth val="0"/>
          <c:extLst>
            <c:ext xmlns:c16="http://schemas.microsoft.com/office/drawing/2014/chart" uri="{C3380CC4-5D6E-409C-BE32-E72D297353CC}">
              <c16:uniqueId val="{00000054-A593-453B-BC1F-36AD82F17BFD}"/>
            </c:ext>
          </c:extLst>
        </c:ser>
        <c:ser>
          <c:idx val="71"/>
          <c:order val="71"/>
          <c:tx>
            <c:v>x=0.014</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0.014</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5-A593-453B-BC1F-36AD82F17BF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18.371974950298213</c:v>
              </c:pt>
              <c:pt idx="1">
                <c:v>50.8</c:v>
              </c:pt>
            </c:numLit>
          </c:xVal>
          <c:yVal>
            <c:numLit>
              <c:formatCode>General</c:formatCode>
              <c:ptCount val="2"/>
              <c:pt idx="0">
                <c:v>1.4E-2</c:v>
              </c:pt>
              <c:pt idx="1">
                <c:v>1.4E-2</c:v>
              </c:pt>
            </c:numLit>
          </c:yVal>
          <c:smooth val="0"/>
          <c:extLst>
            <c:ext xmlns:c16="http://schemas.microsoft.com/office/drawing/2014/chart" uri="{C3380CC4-5D6E-409C-BE32-E72D297353CC}">
              <c16:uniqueId val="{00000056-A593-453B-BC1F-36AD82F17BFD}"/>
            </c:ext>
          </c:extLst>
        </c:ser>
        <c:ser>
          <c:idx val="72"/>
          <c:order val="72"/>
          <c:tx>
            <c:v>x=0.0142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1.4200000000000001E-2</c:v>
              </c:pt>
              <c:pt idx="1">
                <c:v>1.4200000000000001E-2</c:v>
              </c:pt>
            </c:numLit>
          </c:yVal>
          <c:smooth val="0"/>
          <c:extLst>
            <c:ext xmlns:c16="http://schemas.microsoft.com/office/drawing/2014/chart" uri="{C3380CC4-5D6E-409C-BE32-E72D297353CC}">
              <c16:uniqueId val="{00000057-A593-453B-BC1F-36AD82F17BFD}"/>
            </c:ext>
          </c:extLst>
        </c:ser>
        <c:ser>
          <c:idx val="73"/>
          <c:order val="73"/>
          <c:tx>
            <c:v>x=0.0144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1.4400000000000001E-2</c:v>
              </c:pt>
              <c:pt idx="1">
                <c:v>1.4400000000000001E-2</c:v>
              </c:pt>
            </c:numLit>
          </c:yVal>
          <c:smooth val="0"/>
          <c:extLst>
            <c:ext xmlns:c16="http://schemas.microsoft.com/office/drawing/2014/chart" uri="{C3380CC4-5D6E-409C-BE32-E72D297353CC}">
              <c16:uniqueId val="{00000058-A593-453B-BC1F-36AD82F17BFD}"/>
            </c:ext>
          </c:extLst>
        </c:ser>
        <c:ser>
          <c:idx val="74"/>
          <c:order val="74"/>
          <c:tx>
            <c:v>x=0.0146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1.46E-2</c:v>
              </c:pt>
              <c:pt idx="1">
                <c:v>1.46E-2</c:v>
              </c:pt>
            </c:numLit>
          </c:yVal>
          <c:smooth val="0"/>
          <c:extLst>
            <c:ext xmlns:c16="http://schemas.microsoft.com/office/drawing/2014/chart" uri="{C3380CC4-5D6E-409C-BE32-E72D297353CC}">
              <c16:uniqueId val="{00000059-A593-453B-BC1F-36AD82F17BFD}"/>
            </c:ext>
          </c:extLst>
        </c:ser>
        <c:ser>
          <c:idx val="75"/>
          <c:order val="75"/>
          <c:tx>
            <c:v>x=0.0148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1.4800000000000001E-2</c:v>
              </c:pt>
              <c:pt idx="1">
                <c:v>1.4800000000000001E-2</c:v>
              </c:pt>
            </c:numLit>
          </c:yVal>
          <c:smooth val="0"/>
          <c:extLst>
            <c:ext xmlns:c16="http://schemas.microsoft.com/office/drawing/2014/chart" uri="{C3380CC4-5D6E-409C-BE32-E72D297353CC}">
              <c16:uniqueId val="{0000005A-A593-453B-BC1F-36AD82F17BFD}"/>
            </c:ext>
          </c:extLst>
        </c:ser>
        <c:ser>
          <c:idx val="76"/>
          <c:order val="76"/>
          <c:tx>
            <c:v>x=0.015</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0.015</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B-A593-453B-BC1F-36AD82F17BF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19.435202783300202</c:v>
              </c:pt>
              <c:pt idx="1">
                <c:v>50.8</c:v>
              </c:pt>
            </c:numLit>
          </c:xVal>
          <c:yVal>
            <c:numLit>
              <c:formatCode>General</c:formatCode>
              <c:ptCount val="2"/>
              <c:pt idx="0">
                <c:v>1.5000000000000001E-2</c:v>
              </c:pt>
              <c:pt idx="1">
                <c:v>1.5000000000000001E-2</c:v>
              </c:pt>
            </c:numLit>
          </c:yVal>
          <c:smooth val="0"/>
          <c:extLst>
            <c:ext xmlns:c16="http://schemas.microsoft.com/office/drawing/2014/chart" uri="{C3380CC4-5D6E-409C-BE32-E72D297353CC}">
              <c16:uniqueId val="{0000005C-A593-453B-BC1F-36AD82F17BFD}"/>
            </c:ext>
          </c:extLst>
        </c:ser>
        <c:ser>
          <c:idx val="77"/>
          <c:order val="77"/>
          <c:tx>
            <c:v>x=0.0152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1.52E-2</c:v>
              </c:pt>
              <c:pt idx="1">
                <c:v>1.52E-2</c:v>
              </c:pt>
            </c:numLit>
          </c:yVal>
          <c:smooth val="0"/>
          <c:extLst>
            <c:ext xmlns:c16="http://schemas.microsoft.com/office/drawing/2014/chart" uri="{C3380CC4-5D6E-409C-BE32-E72D297353CC}">
              <c16:uniqueId val="{0000005D-A593-453B-BC1F-36AD82F17BFD}"/>
            </c:ext>
          </c:extLst>
        </c:ser>
        <c:ser>
          <c:idx val="78"/>
          <c:order val="78"/>
          <c:tx>
            <c:v>x=0.0154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1.54E-2</c:v>
              </c:pt>
              <c:pt idx="1">
                <c:v>1.54E-2</c:v>
              </c:pt>
            </c:numLit>
          </c:yVal>
          <c:smooth val="0"/>
          <c:extLst>
            <c:ext xmlns:c16="http://schemas.microsoft.com/office/drawing/2014/chart" uri="{C3380CC4-5D6E-409C-BE32-E72D297353CC}">
              <c16:uniqueId val="{0000005E-A593-453B-BC1F-36AD82F17BFD}"/>
            </c:ext>
          </c:extLst>
        </c:ser>
        <c:ser>
          <c:idx val="79"/>
          <c:order val="79"/>
          <c:tx>
            <c:v>x=0.0156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1.5600000000000001E-2</c:v>
              </c:pt>
              <c:pt idx="1">
                <c:v>1.5600000000000001E-2</c:v>
              </c:pt>
            </c:numLit>
          </c:yVal>
          <c:smooth val="0"/>
          <c:extLst>
            <c:ext xmlns:c16="http://schemas.microsoft.com/office/drawing/2014/chart" uri="{C3380CC4-5D6E-409C-BE32-E72D297353CC}">
              <c16:uniqueId val="{0000005F-A593-453B-BC1F-36AD82F17BFD}"/>
            </c:ext>
          </c:extLst>
        </c:ser>
        <c:ser>
          <c:idx val="80"/>
          <c:order val="80"/>
          <c:tx>
            <c:v>x=0.0158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1.5800000000000002E-2</c:v>
              </c:pt>
              <c:pt idx="1">
                <c:v>1.5800000000000002E-2</c:v>
              </c:pt>
            </c:numLit>
          </c:yVal>
          <c:smooth val="0"/>
          <c:extLst>
            <c:ext xmlns:c16="http://schemas.microsoft.com/office/drawing/2014/chart" uri="{C3380CC4-5D6E-409C-BE32-E72D297353CC}">
              <c16:uniqueId val="{00000060-A593-453B-BC1F-36AD82F17BFD}"/>
            </c:ext>
          </c:extLst>
        </c:ser>
        <c:ser>
          <c:idx val="81"/>
          <c:order val="81"/>
          <c:tx>
            <c:v>x=0.016</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0.016</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1-A593-453B-BC1F-36AD82F17BF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20.430390457256465</c:v>
              </c:pt>
              <c:pt idx="1">
                <c:v>50.8</c:v>
              </c:pt>
            </c:numLit>
          </c:xVal>
          <c:yVal>
            <c:numLit>
              <c:formatCode>General</c:formatCode>
              <c:ptCount val="2"/>
              <c:pt idx="0">
                <c:v>1.6E-2</c:v>
              </c:pt>
              <c:pt idx="1">
                <c:v>1.6E-2</c:v>
              </c:pt>
            </c:numLit>
          </c:yVal>
          <c:smooth val="0"/>
          <c:extLst>
            <c:ext xmlns:c16="http://schemas.microsoft.com/office/drawing/2014/chart" uri="{C3380CC4-5D6E-409C-BE32-E72D297353CC}">
              <c16:uniqueId val="{00000062-A593-453B-BC1F-36AD82F17BFD}"/>
            </c:ext>
          </c:extLst>
        </c:ser>
        <c:ser>
          <c:idx val="82"/>
          <c:order val="82"/>
          <c:tx>
            <c:v>x=0.0162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1.6199999999999999E-2</c:v>
              </c:pt>
              <c:pt idx="1">
                <c:v>1.6199999999999999E-2</c:v>
              </c:pt>
            </c:numLit>
          </c:yVal>
          <c:smooth val="0"/>
          <c:extLst>
            <c:ext xmlns:c16="http://schemas.microsoft.com/office/drawing/2014/chart" uri="{C3380CC4-5D6E-409C-BE32-E72D297353CC}">
              <c16:uniqueId val="{00000063-A593-453B-BC1F-36AD82F17BFD}"/>
            </c:ext>
          </c:extLst>
        </c:ser>
        <c:ser>
          <c:idx val="83"/>
          <c:order val="83"/>
          <c:tx>
            <c:v>x=0.0164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1.6400000000000001E-2</c:v>
              </c:pt>
              <c:pt idx="1">
                <c:v>1.6400000000000001E-2</c:v>
              </c:pt>
            </c:numLit>
          </c:yVal>
          <c:smooth val="0"/>
          <c:extLst>
            <c:ext xmlns:c16="http://schemas.microsoft.com/office/drawing/2014/chart" uri="{C3380CC4-5D6E-409C-BE32-E72D297353CC}">
              <c16:uniqueId val="{00000064-A593-453B-BC1F-36AD82F17BFD}"/>
            </c:ext>
          </c:extLst>
        </c:ser>
        <c:ser>
          <c:idx val="84"/>
          <c:order val="84"/>
          <c:tx>
            <c:v>x=0.0166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1.66E-2</c:v>
              </c:pt>
              <c:pt idx="1">
                <c:v>1.66E-2</c:v>
              </c:pt>
            </c:numLit>
          </c:yVal>
          <c:smooth val="0"/>
          <c:extLst>
            <c:ext xmlns:c16="http://schemas.microsoft.com/office/drawing/2014/chart" uri="{C3380CC4-5D6E-409C-BE32-E72D297353CC}">
              <c16:uniqueId val="{00000065-A593-453B-BC1F-36AD82F17BFD}"/>
            </c:ext>
          </c:extLst>
        </c:ser>
        <c:ser>
          <c:idx val="85"/>
          <c:order val="85"/>
          <c:tx>
            <c:v>x=0.0168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1.6800000000000002E-2</c:v>
              </c:pt>
              <c:pt idx="1">
                <c:v>1.6800000000000002E-2</c:v>
              </c:pt>
            </c:numLit>
          </c:yVal>
          <c:smooth val="0"/>
          <c:extLst>
            <c:ext xmlns:c16="http://schemas.microsoft.com/office/drawing/2014/chart" uri="{C3380CC4-5D6E-409C-BE32-E72D297353CC}">
              <c16:uniqueId val="{00000066-A593-453B-BC1F-36AD82F17BFD}"/>
            </c:ext>
          </c:extLst>
        </c:ser>
        <c:ser>
          <c:idx val="86"/>
          <c:order val="86"/>
          <c:tx>
            <c:v>x=0.017</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0.017</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7-A593-453B-BC1F-36AD82F17BF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21.377778330019879</c:v>
              </c:pt>
              <c:pt idx="1">
                <c:v>50.8</c:v>
              </c:pt>
            </c:numLit>
          </c:xVal>
          <c:yVal>
            <c:numLit>
              <c:formatCode>General</c:formatCode>
              <c:ptCount val="2"/>
              <c:pt idx="0">
                <c:v>1.7000000000000001E-2</c:v>
              </c:pt>
              <c:pt idx="1">
                <c:v>1.7000000000000001E-2</c:v>
              </c:pt>
            </c:numLit>
          </c:yVal>
          <c:smooth val="0"/>
          <c:extLst>
            <c:ext xmlns:c16="http://schemas.microsoft.com/office/drawing/2014/chart" uri="{C3380CC4-5D6E-409C-BE32-E72D297353CC}">
              <c16:uniqueId val="{00000068-A593-453B-BC1F-36AD82F17BFD}"/>
            </c:ext>
          </c:extLst>
        </c:ser>
        <c:ser>
          <c:idx val="87"/>
          <c:order val="87"/>
          <c:tx>
            <c:v>x=0.0172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1.72E-2</c:v>
              </c:pt>
              <c:pt idx="1">
                <c:v>1.72E-2</c:v>
              </c:pt>
            </c:numLit>
          </c:yVal>
          <c:smooth val="0"/>
          <c:extLst>
            <c:ext xmlns:c16="http://schemas.microsoft.com/office/drawing/2014/chart" uri="{C3380CC4-5D6E-409C-BE32-E72D297353CC}">
              <c16:uniqueId val="{00000069-A593-453B-BC1F-36AD82F17BFD}"/>
            </c:ext>
          </c:extLst>
        </c:ser>
        <c:ser>
          <c:idx val="88"/>
          <c:order val="88"/>
          <c:tx>
            <c:v>x=0.0174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1.7400000000000002E-2</c:v>
              </c:pt>
              <c:pt idx="1">
                <c:v>1.7400000000000002E-2</c:v>
              </c:pt>
            </c:numLit>
          </c:yVal>
          <c:smooth val="0"/>
          <c:extLst>
            <c:ext xmlns:c16="http://schemas.microsoft.com/office/drawing/2014/chart" uri="{C3380CC4-5D6E-409C-BE32-E72D297353CC}">
              <c16:uniqueId val="{0000006A-A593-453B-BC1F-36AD82F17BFD}"/>
            </c:ext>
          </c:extLst>
        </c:ser>
        <c:ser>
          <c:idx val="89"/>
          <c:order val="89"/>
          <c:tx>
            <c:v>x=0.0176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1.7600000000000001E-2</c:v>
              </c:pt>
              <c:pt idx="1">
                <c:v>1.7600000000000001E-2</c:v>
              </c:pt>
            </c:numLit>
          </c:yVal>
          <c:smooth val="0"/>
          <c:extLst>
            <c:ext xmlns:c16="http://schemas.microsoft.com/office/drawing/2014/chart" uri="{C3380CC4-5D6E-409C-BE32-E72D297353CC}">
              <c16:uniqueId val="{0000006B-A593-453B-BC1F-36AD82F17BFD}"/>
            </c:ext>
          </c:extLst>
        </c:ser>
        <c:ser>
          <c:idx val="90"/>
          <c:order val="90"/>
          <c:tx>
            <c:v>x=0.0178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1.78E-2</c:v>
              </c:pt>
              <c:pt idx="1">
                <c:v>1.78E-2</c:v>
              </c:pt>
            </c:numLit>
          </c:yVal>
          <c:smooth val="0"/>
          <c:extLst>
            <c:ext xmlns:c16="http://schemas.microsoft.com/office/drawing/2014/chart" uri="{C3380CC4-5D6E-409C-BE32-E72D297353CC}">
              <c16:uniqueId val="{0000006C-A593-453B-BC1F-36AD82F17BFD}"/>
            </c:ext>
          </c:extLst>
        </c:ser>
        <c:ser>
          <c:idx val="91"/>
          <c:order val="91"/>
          <c:tx>
            <c:v>x=0.018</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0.018</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D-A593-453B-BC1F-36AD82F17BF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22.266756262425449</c:v>
              </c:pt>
              <c:pt idx="1">
                <c:v>50.8</c:v>
              </c:pt>
            </c:numLit>
          </c:xVal>
          <c:yVal>
            <c:numLit>
              <c:formatCode>General</c:formatCode>
              <c:ptCount val="2"/>
              <c:pt idx="0">
                <c:v>1.8000000000000002E-2</c:v>
              </c:pt>
              <c:pt idx="1">
                <c:v>1.8000000000000002E-2</c:v>
              </c:pt>
            </c:numLit>
          </c:yVal>
          <c:smooth val="0"/>
          <c:extLst>
            <c:ext xmlns:c16="http://schemas.microsoft.com/office/drawing/2014/chart" uri="{C3380CC4-5D6E-409C-BE32-E72D297353CC}">
              <c16:uniqueId val="{0000006E-A593-453B-BC1F-36AD82F17BFD}"/>
            </c:ext>
          </c:extLst>
        </c:ser>
        <c:ser>
          <c:idx val="92"/>
          <c:order val="92"/>
          <c:tx>
            <c:v>x=0.0182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1.8200000000000001E-2</c:v>
              </c:pt>
              <c:pt idx="1">
                <c:v>1.8200000000000001E-2</c:v>
              </c:pt>
            </c:numLit>
          </c:yVal>
          <c:smooth val="0"/>
          <c:extLst>
            <c:ext xmlns:c16="http://schemas.microsoft.com/office/drawing/2014/chart" uri="{C3380CC4-5D6E-409C-BE32-E72D297353CC}">
              <c16:uniqueId val="{0000006F-A593-453B-BC1F-36AD82F17BFD}"/>
            </c:ext>
          </c:extLst>
        </c:ser>
        <c:ser>
          <c:idx val="93"/>
          <c:order val="93"/>
          <c:tx>
            <c:v>x=0.0184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1.84E-2</c:v>
              </c:pt>
              <c:pt idx="1">
                <c:v>1.84E-2</c:v>
              </c:pt>
            </c:numLit>
          </c:yVal>
          <c:smooth val="0"/>
          <c:extLst>
            <c:ext xmlns:c16="http://schemas.microsoft.com/office/drawing/2014/chart" uri="{C3380CC4-5D6E-409C-BE32-E72D297353CC}">
              <c16:uniqueId val="{00000070-A593-453B-BC1F-36AD82F17BFD}"/>
            </c:ext>
          </c:extLst>
        </c:ser>
        <c:ser>
          <c:idx val="94"/>
          <c:order val="94"/>
          <c:tx>
            <c:v>x=0.0186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1.8600000000000002E-2</c:v>
              </c:pt>
              <c:pt idx="1">
                <c:v>1.8600000000000002E-2</c:v>
              </c:pt>
            </c:numLit>
          </c:yVal>
          <c:smooth val="0"/>
          <c:extLst>
            <c:ext xmlns:c16="http://schemas.microsoft.com/office/drawing/2014/chart" uri="{C3380CC4-5D6E-409C-BE32-E72D297353CC}">
              <c16:uniqueId val="{00000071-A593-453B-BC1F-36AD82F17BFD}"/>
            </c:ext>
          </c:extLst>
        </c:ser>
        <c:ser>
          <c:idx val="95"/>
          <c:order val="95"/>
          <c:tx>
            <c:v>x=0.0188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1.8800000000000001E-2</c:v>
              </c:pt>
              <c:pt idx="1">
                <c:v>1.8800000000000001E-2</c:v>
              </c:pt>
            </c:numLit>
          </c:yVal>
          <c:smooth val="0"/>
          <c:extLst>
            <c:ext xmlns:c16="http://schemas.microsoft.com/office/drawing/2014/chart" uri="{C3380CC4-5D6E-409C-BE32-E72D297353CC}">
              <c16:uniqueId val="{00000072-A593-453B-BC1F-36AD82F17BFD}"/>
            </c:ext>
          </c:extLst>
        </c:ser>
        <c:ser>
          <c:idx val="96"/>
          <c:order val="96"/>
          <c:tx>
            <c:v>x=0.019</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0.019</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3-A593-453B-BC1F-36AD82F17BF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23.117694035785291</c:v>
              </c:pt>
              <c:pt idx="1">
                <c:v>50.8</c:v>
              </c:pt>
            </c:numLit>
          </c:xVal>
          <c:yVal>
            <c:numLit>
              <c:formatCode>General</c:formatCode>
              <c:ptCount val="2"/>
              <c:pt idx="0">
                <c:v>1.9E-2</c:v>
              </c:pt>
              <c:pt idx="1">
                <c:v>1.9E-2</c:v>
              </c:pt>
            </c:numLit>
          </c:yVal>
          <c:smooth val="0"/>
          <c:extLst>
            <c:ext xmlns:c16="http://schemas.microsoft.com/office/drawing/2014/chart" uri="{C3380CC4-5D6E-409C-BE32-E72D297353CC}">
              <c16:uniqueId val="{00000074-A593-453B-BC1F-36AD82F17BFD}"/>
            </c:ext>
          </c:extLst>
        </c:ser>
        <c:ser>
          <c:idx val="97"/>
          <c:order val="97"/>
          <c:tx>
            <c:v>x=0.0192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1.9200000000000002E-2</c:v>
              </c:pt>
              <c:pt idx="1">
                <c:v>1.9200000000000002E-2</c:v>
              </c:pt>
            </c:numLit>
          </c:yVal>
          <c:smooth val="0"/>
          <c:extLst>
            <c:ext xmlns:c16="http://schemas.microsoft.com/office/drawing/2014/chart" uri="{C3380CC4-5D6E-409C-BE32-E72D297353CC}">
              <c16:uniqueId val="{00000075-A593-453B-BC1F-36AD82F17BFD}"/>
            </c:ext>
          </c:extLst>
        </c:ser>
        <c:ser>
          <c:idx val="98"/>
          <c:order val="98"/>
          <c:tx>
            <c:v>x=0.0194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1.9400000000000001E-2</c:v>
              </c:pt>
              <c:pt idx="1">
                <c:v>1.9400000000000001E-2</c:v>
              </c:pt>
            </c:numLit>
          </c:yVal>
          <c:smooth val="0"/>
          <c:extLst>
            <c:ext xmlns:c16="http://schemas.microsoft.com/office/drawing/2014/chart" uri="{C3380CC4-5D6E-409C-BE32-E72D297353CC}">
              <c16:uniqueId val="{00000076-A593-453B-BC1F-36AD82F17BFD}"/>
            </c:ext>
          </c:extLst>
        </c:ser>
        <c:ser>
          <c:idx val="99"/>
          <c:order val="99"/>
          <c:tx>
            <c:v>x=0.0196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1.9599999999999999E-2</c:v>
              </c:pt>
              <c:pt idx="1">
                <c:v>1.9599999999999999E-2</c:v>
              </c:pt>
            </c:numLit>
          </c:yVal>
          <c:smooth val="0"/>
          <c:extLst>
            <c:ext xmlns:c16="http://schemas.microsoft.com/office/drawing/2014/chart" uri="{C3380CC4-5D6E-409C-BE32-E72D297353CC}">
              <c16:uniqueId val="{00000077-A593-453B-BC1F-36AD82F17BFD}"/>
            </c:ext>
          </c:extLst>
        </c:ser>
        <c:ser>
          <c:idx val="100"/>
          <c:order val="100"/>
          <c:tx>
            <c:v>x=0.0198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1.9800000000000002E-2</c:v>
              </c:pt>
              <c:pt idx="1">
                <c:v>1.9800000000000002E-2</c:v>
              </c:pt>
            </c:numLit>
          </c:yVal>
          <c:smooth val="0"/>
          <c:extLst>
            <c:ext xmlns:c16="http://schemas.microsoft.com/office/drawing/2014/chart" uri="{C3380CC4-5D6E-409C-BE32-E72D297353CC}">
              <c16:uniqueId val="{00000078-A593-453B-BC1F-36AD82F17BFD}"/>
            </c:ext>
          </c:extLst>
        </c:ser>
        <c:ser>
          <c:idx val="101"/>
          <c:order val="101"/>
          <c:tx>
            <c:v>x=0.02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0.020</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9-A593-453B-BC1F-36AD82F17BF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23.930369781312127</c:v>
              </c:pt>
              <c:pt idx="1">
                <c:v>50.8</c:v>
              </c:pt>
            </c:numLit>
          </c:xVal>
          <c:yVal>
            <c:numLit>
              <c:formatCode>General</c:formatCode>
              <c:ptCount val="2"/>
              <c:pt idx="0">
                <c:v>0.02</c:v>
              </c:pt>
              <c:pt idx="1">
                <c:v>0.02</c:v>
              </c:pt>
            </c:numLit>
          </c:yVal>
          <c:smooth val="0"/>
          <c:extLst>
            <c:ext xmlns:c16="http://schemas.microsoft.com/office/drawing/2014/chart" uri="{C3380CC4-5D6E-409C-BE32-E72D297353CC}">
              <c16:uniqueId val="{0000007A-A593-453B-BC1F-36AD82F17BFD}"/>
            </c:ext>
          </c:extLst>
        </c:ser>
        <c:ser>
          <c:idx val="102"/>
          <c:order val="102"/>
          <c:tx>
            <c:v>x=0.0202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2.0200000000000003E-2</c:v>
              </c:pt>
              <c:pt idx="1">
                <c:v>2.0200000000000003E-2</c:v>
              </c:pt>
            </c:numLit>
          </c:yVal>
          <c:smooth val="0"/>
          <c:extLst>
            <c:ext xmlns:c16="http://schemas.microsoft.com/office/drawing/2014/chart" uri="{C3380CC4-5D6E-409C-BE32-E72D297353CC}">
              <c16:uniqueId val="{0000007B-A593-453B-BC1F-36AD82F17BFD}"/>
            </c:ext>
          </c:extLst>
        </c:ser>
        <c:ser>
          <c:idx val="103"/>
          <c:order val="103"/>
          <c:tx>
            <c:v>x=0.0204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2.0400000000000001E-2</c:v>
              </c:pt>
              <c:pt idx="1">
                <c:v>2.0400000000000001E-2</c:v>
              </c:pt>
            </c:numLit>
          </c:yVal>
          <c:smooth val="0"/>
          <c:extLst>
            <c:ext xmlns:c16="http://schemas.microsoft.com/office/drawing/2014/chart" uri="{C3380CC4-5D6E-409C-BE32-E72D297353CC}">
              <c16:uniqueId val="{0000007C-A593-453B-BC1F-36AD82F17BFD}"/>
            </c:ext>
          </c:extLst>
        </c:ser>
        <c:ser>
          <c:idx val="104"/>
          <c:order val="104"/>
          <c:tx>
            <c:v>x=0.0206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2.06E-2</c:v>
              </c:pt>
              <c:pt idx="1">
                <c:v>2.06E-2</c:v>
              </c:pt>
            </c:numLit>
          </c:yVal>
          <c:smooth val="0"/>
          <c:extLst>
            <c:ext xmlns:c16="http://schemas.microsoft.com/office/drawing/2014/chart" uri="{C3380CC4-5D6E-409C-BE32-E72D297353CC}">
              <c16:uniqueId val="{0000007D-A593-453B-BC1F-36AD82F17BFD}"/>
            </c:ext>
          </c:extLst>
        </c:ser>
        <c:ser>
          <c:idx val="105"/>
          <c:order val="105"/>
          <c:tx>
            <c:v>x=0.0208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2.0800000000000003E-2</c:v>
              </c:pt>
              <c:pt idx="1">
                <c:v>2.0800000000000003E-2</c:v>
              </c:pt>
            </c:numLit>
          </c:yVal>
          <c:smooth val="0"/>
          <c:extLst>
            <c:ext xmlns:c16="http://schemas.microsoft.com/office/drawing/2014/chart" uri="{C3380CC4-5D6E-409C-BE32-E72D297353CC}">
              <c16:uniqueId val="{0000007E-A593-453B-BC1F-36AD82F17BFD}"/>
            </c:ext>
          </c:extLst>
        </c:ser>
        <c:ser>
          <c:idx val="106"/>
          <c:order val="106"/>
          <c:tx>
            <c:v>x=0.021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0.021</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F-A593-453B-BC1F-36AD82F17BF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24.714949900596423</c:v>
              </c:pt>
              <c:pt idx="1">
                <c:v>50.8</c:v>
              </c:pt>
            </c:numLit>
          </c:xVal>
          <c:yVal>
            <c:numLit>
              <c:formatCode>General</c:formatCode>
              <c:ptCount val="2"/>
              <c:pt idx="0">
                <c:v>2.1000000000000001E-2</c:v>
              </c:pt>
              <c:pt idx="1">
                <c:v>2.1000000000000001E-2</c:v>
              </c:pt>
            </c:numLit>
          </c:yVal>
          <c:smooth val="0"/>
          <c:extLst>
            <c:ext xmlns:c16="http://schemas.microsoft.com/office/drawing/2014/chart" uri="{C3380CC4-5D6E-409C-BE32-E72D297353CC}">
              <c16:uniqueId val="{00000080-A593-453B-BC1F-36AD82F17BFD}"/>
            </c:ext>
          </c:extLst>
        </c:ser>
        <c:ser>
          <c:idx val="107"/>
          <c:order val="107"/>
          <c:tx>
            <c:v>x=0.0212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2.12E-2</c:v>
              </c:pt>
              <c:pt idx="1">
                <c:v>2.12E-2</c:v>
              </c:pt>
            </c:numLit>
          </c:yVal>
          <c:smooth val="0"/>
          <c:extLst>
            <c:ext xmlns:c16="http://schemas.microsoft.com/office/drawing/2014/chart" uri="{C3380CC4-5D6E-409C-BE32-E72D297353CC}">
              <c16:uniqueId val="{00000081-A593-453B-BC1F-36AD82F17BFD}"/>
            </c:ext>
          </c:extLst>
        </c:ser>
        <c:ser>
          <c:idx val="108"/>
          <c:order val="108"/>
          <c:tx>
            <c:v>x=0.0214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2.1400000000000002E-2</c:v>
              </c:pt>
              <c:pt idx="1">
                <c:v>2.1400000000000002E-2</c:v>
              </c:pt>
            </c:numLit>
          </c:yVal>
          <c:smooth val="0"/>
          <c:extLst>
            <c:ext xmlns:c16="http://schemas.microsoft.com/office/drawing/2014/chart" uri="{C3380CC4-5D6E-409C-BE32-E72D297353CC}">
              <c16:uniqueId val="{00000082-A593-453B-BC1F-36AD82F17BFD}"/>
            </c:ext>
          </c:extLst>
        </c:ser>
        <c:ser>
          <c:idx val="109"/>
          <c:order val="109"/>
          <c:tx>
            <c:v>x=0.0216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2.1600000000000001E-2</c:v>
              </c:pt>
              <c:pt idx="1">
                <c:v>2.1600000000000001E-2</c:v>
              </c:pt>
            </c:numLit>
          </c:yVal>
          <c:smooth val="0"/>
          <c:extLst>
            <c:ext xmlns:c16="http://schemas.microsoft.com/office/drawing/2014/chart" uri="{C3380CC4-5D6E-409C-BE32-E72D297353CC}">
              <c16:uniqueId val="{00000083-A593-453B-BC1F-36AD82F17BFD}"/>
            </c:ext>
          </c:extLst>
        </c:ser>
        <c:ser>
          <c:idx val="110"/>
          <c:order val="110"/>
          <c:tx>
            <c:v>x=0.0218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2.18E-2</c:v>
              </c:pt>
              <c:pt idx="1">
                <c:v>2.18E-2</c:v>
              </c:pt>
            </c:numLit>
          </c:yVal>
          <c:smooth val="0"/>
          <c:extLst>
            <c:ext xmlns:c16="http://schemas.microsoft.com/office/drawing/2014/chart" uri="{C3380CC4-5D6E-409C-BE32-E72D297353CC}">
              <c16:uniqueId val="{00000084-A593-453B-BC1F-36AD82F17BFD}"/>
            </c:ext>
          </c:extLst>
        </c:ser>
        <c:ser>
          <c:idx val="111"/>
          <c:order val="111"/>
          <c:tx>
            <c:v>x=0.022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0.022</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5-A593-453B-BC1F-36AD82F17BF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25.460861232604376</c:v>
              </c:pt>
              <c:pt idx="1">
                <c:v>50.8</c:v>
              </c:pt>
            </c:numLit>
          </c:xVal>
          <c:yVal>
            <c:numLit>
              <c:formatCode>General</c:formatCode>
              <c:ptCount val="2"/>
              <c:pt idx="0">
                <c:v>2.2000000000000002E-2</c:v>
              </c:pt>
              <c:pt idx="1">
                <c:v>2.2000000000000002E-2</c:v>
              </c:pt>
            </c:numLit>
          </c:yVal>
          <c:smooth val="0"/>
          <c:extLst>
            <c:ext xmlns:c16="http://schemas.microsoft.com/office/drawing/2014/chart" uri="{C3380CC4-5D6E-409C-BE32-E72D297353CC}">
              <c16:uniqueId val="{00000086-A593-453B-BC1F-36AD82F17BFD}"/>
            </c:ext>
          </c:extLst>
        </c:ser>
        <c:ser>
          <c:idx val="112"/>
          <c:order val="112"/>
          <c:tx>
            <c:v>x=0.0222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2.2200000000000001E-2</c:v>
              </c:pt>
              <c:pt idx="1">
                <c:v>2.2200000000000001E-2</c:v>
              </c:pt>
            </c:numLit>
          </c:yVal>
          <c:smooth val="0"/>
          <c:extLst>
            <c:ext xmlns:c16="http://schemas.microsoft.com/office/drawing/2014/chart" uri="{C3380CC4-5D6E-409C-BE32-E72D297353CC}">
              <c16:uniqueId val="{00000087-A593-453B-BC1F-36AD82F17BFD}"/>
            </c:ext>
          </c:extLst>
        </c:ser>
        <c:ser>
          <c:idx val="113"/>
          <c:order val="113"/>
          <c:tx>
            <c:v>x=0.0224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2.24E-2</c:v>
              </c:pt>
              <c:pt idx="1">
                <c:v>2.24E-2</c:v>
              </c:pt>
            </c:numLit>
          </c:yVal>
          <c:smooth val="0"/>
          <c:extLst>
            <c:ext xmlns:c16="http://schemas.microsoft.com/office/drawing/2014/chart" uri="{C3380CC4-5D6E-409C-BE32-E72D297353CC}">
              <c16:uniqueId val="{00000088-A593-453B-BC1F-36AD82F17BFD}"/>
            </c:ext>
          </c:extLst>
        </c:ser>
        <c:ser>
          <c:idx val="114"/>
          <c:order val="114"/>
          <c:tx>
            <c:v>x=0.0226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2.2600000000000002E-2</c:v>
              </c:pt>
              <c:pt idx="1">
                <c:v>2.2600000000000002E-2</c:v>
              </c:pt>
            </c:numLit>
          </c:yVal>
          <c:smooth val="0"/>
          <c:extLst>
            <c:ext xmlns:c16="http://schemas.microsoft.com/office/drawing/2014/chart" uri="{C3380CC4-5D6E-409C-BE32-E72D297353CC}">
              <c16:uniqueId val="{00000089-A593-453B-BC1F-36AD82F17BFD}"/>
            </c:ext>
          </c:extLst>
        </c:ser>
        <c:ser>
          <c:idx val="115"/>
          <c:order val="115"/>
          <c:tx>
            <c:v>x=0.0228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2.2800000000000001E-2</c:v>
              </c:pt>
              <c:pt idx="1">
                <c:v>2.2800000000000001E-2</c:v>
              </c:pt>
            </c:numLit>
          </c:yVal>
          <c:smooth val="0"/>
          <c:extLst>
            <c:ext xmlns:c16="http://schemas.microsoft.com/office/drawing/2014/chart" uri="{C3380CC4-5D6E-409C-BE32-E72D297353CC}">
              <c16:uniqueId val="{0000008A-A593-453B-BC1F-36AD82F17BFD}"/>
            </c:ext>
          </c:extLst>
        </c:ser>
        <c:ser>
          <c:idx val="116"/>
          <c:order val="116"/>
          <c:tx>
            <c:v>x=0.023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0.023</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B-A593-453B-BC1F-36AD82F17BF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26.178307157057652</c:v>
              </c:pt>
              <c:pt idx="1">
                <c:v>50.8</c:v>
              </c:pt>
            </c:numLit>
          </c:xVal>
          <c:yVal>
            <c:numLit>
              <c:formatCode>General</c:formatCode>
              <c:ptCount val="2"/>
              <c:pt idx="0">
                <c:v>2.3E-2</c:v>
              </c:pt>
              <c:pt idx="1">
                <c:v>2.3E-2</c:v>
              </c:pt>
            </c:numLit>
          </c:yVal>
          <c:smooth val="0"/>
          <c:extLst>
            <c:ext xmlns:c16="http://schemas.microsoft.com/office/drawing/2014/chart" uri="{C3380CC4-5D6E-409C-BE32-E72D297353CC}">
              <c16:uniqueId val="{0000008C-A593-453B-BC1F-36AD82F17BFD}"/>
            </c:ext>
          </c:extLst>
        </c:ser>
        <c:ser>
          <c:idx val="117"/>
          <c:order val="117"/>
          <c:tx>
            <c:v>x=0.0232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2.3200000000000002E-2</c:v>
              </c:pt>
              <c:pt idx="1">
                <c:v>2.3200000000000002E-2</c:v>
              </c:pt>
            </c:numLit>
          </c:yVal>
          <c:smooth val="0"/>
          <c:extLst>
            <c:ext xmlns:c16="http://schemas.microsoft.com/office/drawing/2014/chart" uri="{C3380CC4-5D6E-409C-BE32-E72D297353CC}">
              <c16:uniqueId val="{0000008D-A593-453B-BC1F-36AD82F17BFD}"/>
            </c:ext>
          </c:extLst>
        </c:ser>
        <c:ser>
          <c:idx val="118"/>
          <c:order val="118"/>
          <c:tx>
            <c:v>x=0.0234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2.3400000000000001E-2</c:v>
              </c:pt>
              <c:pt idx="1">
                <c:v>2.3400000000000001E-2</c:v>
              </c:pt>
            </c:numLit>
          </c:yVal>
          <c:smooth val="0"/>
          <c:extLst>
            <c:ext xmlns:c16="http://schemas.microsoft.com/office/drawing/2014/chart" uri="{C3380CC4-5D6E-409C-BE32-E72D297353CC}">
              <c16:uniqueId val="{0000008E-A593-453B-BC1F-36AD82F17BFD}"/>
            </c:ext>
          </c:extLst>
        </c:ser>
        <c:ser>
          <c:idx val="119"/>
          <c:order val="119"/>
          <c:tx>
            <c:v>x=0.0236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2.3599999999999999E-2</c:v>
              </c:pt>
              <c:pt idx="1">
                <c:v>2.3599999999999999E-2</c:v>
              </c:pt>
            </c:numLit>
          </c:yVal>
          <c:smooth val="0"/>
          <c:extLst>
            <c:ext xmlns:c16="http://schemas.microsoft.com/office/drawing/2014/chart" uri="{C3380CC4-5D6E-409C-BE32-E72D297353CC}">
              <c16:uniqueId val="{0000008F-A593-453B-BC1F-36AD82F17BFD}"/>
            </c:ext>
          </c:extLst>
        </c:ser>
        <c:ser>
          <c:idx val="120"/>
          <c:order val="120"/>
          <c:tx>
            <c:v>x=0.0238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2.3800000000000002E-2</c:v>
              </c:pt>
              <c:pt idx="1">
                <c:v>2.3800000000000002E-2</c:v>
              </c:pt>
            </c:numLit>
          </c:yVal>
          <c:smooth val="0"/>
          <c:extLst>
            <c:ext xmlns:c16="http://schemas.microsoft.com/office/drawing/2014/chart" uri="{C3380CC4-5D6E-409C-BE32-E72D297353CC}">
              <c16:uniqueId val="{00000090-A593-453B-BC1F-36AD82F17BFD}"/>
            </c:ext>
          </c:extLst>
        </c:ser>
        <c:ser>
          <c:idx val="121"/>
          <c:order val="121"/>
          <c:tx>
            <c:v>x=0.024</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0.024</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1-A593-453B-BC1F-36AD82F17BF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26.867121272365807</c:v>
              </c:pt>
              <c:pt idx="1">
                <c:v>50.8</c:v>
              </c:pt>
            </c:numLit>
          </c:xVal>
          <c:yVal>
            <c:numLit>
              <c:formatCode>General</c:formatCode>
              <c:ptCount val="2"/>
              <c:pt idx="0">
                <c:v>2.4E-2</c:v>
              </c:pt>
              <c:pt idx="1">
                <c:v>2.4E-2</c:v>
              </c:pt>
            </c:numLit>
          </c:yVal>
          <c:smooth val="0"/>
          <c:extLst>
            <c:ext xmlns:c16="http://schemas.microsoft.com/office/drawing/2014/chart" uri="{C3380CC4-5D6E-409C-BE32-E72D297353CC}">
              <c16:uniqueId val="{00000092-A593-453B-BC1F-36AD82F17BFD}"/>
            </c:ext>
          </c:extLst>
        </c:ser>
        <c:ser>
          <c:idx val="122"/>
          <c:order val="122"/>
          <c:tx>
            <c:v>x=0.0242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2.4200000000000003E-2</c:v>
              </c:pt>
              <c:pt idx="1">
                <c:v>2.4200000000000003E-2</c:v>
              </c:pt>
            </c:numLit>
          </c:yVal>
          <c:smooth val="0"/>
          <c:extLst>
            <c:ext xmlns:c16="http://schemas.microsoft.com/office/drawing/2014/chart" uri="{C3380CC4-5D6E-409C-BE32-E72D297353CC}">
              <c16:uniqueId val="{00000093-A593-453B-BC1F-36AD82F17BFD}"/>
            </c:ext>
          </c:extLst>
        </c:ser>
        <c:ser>
          <c:idx val="123"/>
          <c:order val="123"/>
          <c:tx>
            <c:v>x=0.0244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2.4400000000000002E-2</c:v>
              </c:pt>
              <c:pt idx="1">
                <c:v>2.4400000000000002E-2</c:v>
              </c:pt>
            </c:numLit>
          </c:yVal>
          <c:smooth val="0"/>
          <c:extLst>
            <c:ext xmlns:c16="http://schemas.microsoft.com/office/drawing/2014/chart" uri="{C3380CC4-5D6E-409C-BE32-E72D297353CC}">
              <c16:uniqueId val="{00000094-A593-453B-BC1F-36AD82F17BFD}"/>
            </c:ext>
          </c:extLst>
        </c:ser>
        <c:ser>
          <c:idx val="124"/>
          <c:order val="124"/>
          <c:tx>
            <c:v>x=0.0246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2.46E-2</c:v>
              </c:pt>
              <c:pt idx="1">
                <c:v>2.46E-2</c:v>
              </c:pt>
            </c:numLit>
          </c:yVal>
          <c:smooth val="0"/>
          <c:extLst>
            <c:ext xmlns:c16="http://schemas.microsoft.com/office/drawing/2014/chart" uri="{C3380CC4-5D6E-409C-BE32-E72D297353CC}">
              <c16:uniqueId val="{00000095-A593-453B-BC1F-36AD82F17BFD}"/>
            </c:ext>
          </c:extLst>
        </c:ser>
        <c:ser>
          <c:idx val="125"/>
          <c:order val="125"/>
          <c:tx>
            <c:v>x=0.0248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2.4800000000000003E-2</c:v>
              </c:pt>
              <c:pt idx="1">
                <c:v>2.4800000000000003E-2</c:v>
              </c:pt>
            </c:numLit>
          </c:yVal>
          <c:smooth val="0"/>
          <c:extLst>
            <c:ext xmlns:c16="http://schemas.microsoft.com/office/drawing/2014/chart" uri="{C3380CC4-5D6E-409C-BE32-E72D297353CC}">
              <c16:uniqueId val="{00000096-A593-453B-BC1F-36AD82F17BFD}"/>
            </c:ext>
          </c:extLst>
        </c:ser>
        <c:ser>
          <c:idx val="126"/>
          <c:order val="126"/>
          <c:tx>
            <c:v>x=0.025</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0.025</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7-A593-453B-BC1F-36AD82F17BF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27.527137176938368</c:v>
              </c:pt>
              <c:pt idx="1">
                <c:v>50.8</c:v>
              </c:pt>
            </c:numLit>
          </c:xVal>
          <c:yVal>
            <c:numLit>
              <c:formatCode>General</c:formatCode>
              <c:ptCount val="2"/>
              <c:pt idx="0">
                <c:v>2.5000000000000001E-2</c:v>
              </c:pt>
              <c:pt idx="1">
                <c:v>2.5000000000000001E-2</c:v>
              </c:pt>
            </c:numLit>
          </c:yVal>
          <c:smooth val="0"/>
          <c:extLst>
            <c:ext xmlns:c16="http://schemas.microsoft.com/office/drawing/2014/chart" uri="{C3380CC4-5D6E-409C-BE32-E72D297353CC}">
              <c16:uniqueId val="{00000098-A593-453B-BC1F-36AD82F17BFD}"/>
            </c:ext>
          </c:extLst>
        </c:ser>
        <c:ser>
          <c:idx val="127"/>
          <c:order val="127"/>
          <c:tx>
            <c:v>x=0.0252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2.52E-2</c:v>
              </c:pt>
              <c:pt idx="1">
                <c:v>2.52E-2</c:v>
              </c:pt>
            </c:numLit>
          </c:yVal>
          <c:smooth val="0"/>
          <c:extLst>
            <c:ext xmlns:c16="http://schemas.microsoft.com/office/drawing/2014/chart" uri="{C3380CC4-5D6E-409C-BE32-E72D297353CC}">
              <c16:uniqueId val="{00000099-A593-453B-BC1F-36AD82F17BFD}"/>
            </c:ext>
          </c:extLst>
        </c:ser>
        <c:ser>
          <c:idx val="128"/>
          <c:order val="128"/>
          <c:tx>
            <c:v>x=0.0254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2.5400000000000002E-2</c:v>
              </c:pt>
              <c:pt idx="1">
                <c:v>2.5400000000000002E-2</c:v>
              </c:pt>
            </c:numLit>
          </c:yVal>
          <c:smooth val="0"/>
          <c:extLst>
            <c:ext xmlns:c16="http://schemas.microsoft.com/office/drawing/2014/chart" uri="{C3380CC4-5D6E-409C-BE32-E72D297353CC}">
              <c16:uniqueId val="{0000009A-A593-453B-BC1F-36AD82F17BFD}"/>
            </c:ext>
          </c:extLst>
        </c:ser>
        <c:ser>
          <c:idx val="129"/>
          <c:order val="129"/>
          <c:tx>
            <c:v>x=0.0256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2.5600000000000001E-2</c:v>
              </c:pt>
              <c:pt idx="1">
                <c:v>2.5600000000000001E-2</c:v>
              </c:pt>
            </c:numLit>
          </c:yVal>
          <c:smooth val="0"/>
          <c:extLst>
            <c:ext xmlns:c16="http://schemas.microsoft.com/office/drawing/2014/chart" uri="{C3380CC4-5D6E-409C-BE32-E72D297353CC}">
              <c16:uniqueId val="{0000009B-A593-453B-BC1F-36AD82F17BFD}"/>
            </c:ext>
          </c:extLst>
        </c:ser>
        <c:ser>
          <c:idx val="130"/>
          <c:order val="130"/>
          <c:tx>
            <c:v>x=0.0258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2.58E-2</c:v>
              </c:pt>
              <c:pt idx="1">
                <c:v>2.58E-2</c:v>
              </c:pt>
            </c:numLit>
          </c:yVal>
          <c:smooth val="0"/>
          <c:extLst>
            <c:ext xmlns:c16="http://schemas.microsoft.com/office/drawing/2014/chart" uri="{C3380CC4-5D6E-409C-BE32-E72D297353CC}">
              <c16:uniqueId val="{0000009C-A593-453B-BC1F-36AD82F17BFD}"/>
            </c:ext>
          </c:extLst>
        </c:ser>
        <c:ser>
          <c:idx val="131"/>
          <c:order val="131"/>
          <c:tx>
            <c:v>x=0.026</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0.026</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D-A593-453B-BC1F-36AD82F17BF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28.168669184890657</c:v>
              </c:pt>
              <c:pt idx="1">
                <c:v>50.8</c:v>
              </c:pt>
            </c:numLit>
          </c:xVal>
          <c:yVal>
            <c:numLit>
              <c:formatCode>General</c:formatCode>
              <c:ptCount val="2"/>
              <c:pt idx="0">
                <c:v>2.6000000000000002E-2</c:v>
              </c:pt>
              <c:pt idx="1">
                <c:v>2.6000000000000002E-2</c:v>
              </c:pt>
            </c:numLit>
          </c:yVal>
          <c:smooth val="0"/>
          <c:extLst>
            <c:ext xmlns:c16="http://schemas.microsoft.com/office/drawing/2014/chart" uri="{C3380CC4-5D6E-409C-BE32-E72D297353CC}">
              <c16:uniqueId val="{0000009E-A593-453B-BC1F-36AD82F17BFD}"/>
            </c:ext>
          </c:extLst>
        </c:ser>
        <c:ser>
          <c:idx val="132"/>
          <c:order val="132"/>
          <c:tx>
            <c:v>x=0.0262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2.6200000000000001E-2</c:v>
              </c:pt>
              <c:pt idx="1">
                <c:v>2.6200000000000001E-2</c:v>
              </c:pt>
            </c:numLit>
          </c:yVal>
          <c:smooth val="0"/>
          <c:extLst>
            <c:ext xmlns:c16="http://schemas.microsoft.com/office/drawing/2014/chart" uri="{C3380CC4-5D6E-409C-BE32-E72D297353CC}">
              <c16:uniqueId val="{0000009F-A593-453B-BC1F-36AD82F17BFD}"/>
            </c:ext>
          </c:extLst>
        </c:ser>
        <c:ser>
          <c:idx val="133"/>
          <c:order val="133"/>
          <c:tx>
            <c:v>x=0.0264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2.64E-2</c:v>
              </c:pt>
              <c:pt idx="1">
                <c:v>2.64E-2</c:v>
              </c:pt>
            </c:numLit>
          </c:yVal>
          <c:smooth val="0"/>
          <c:extLst>
            <c:ext xmlns:c16="http://schemas.microsoft.com/office/drawing/2014/chart" uri="{C3380CC4-5D6E-409C-BE32-E72D297353CC}">
              <c16:uniqueId val="{000000A0-A593-453B-BC1F-36AD82F17BFD}"/>
            </c:ext>
          </c:extLst>
        </c:ser>
        <c:ser>
          <c:idx val="134"/>
          <c:order val="134"/>
          <c:tx>
            <c:v>x=0.0266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2.6600000000000002E-2</c:v>
              </c:pt>
              <c:pt idx="1">
                <c:v>2.6600000000000002E-2</c:v>
              </c:pt>
            </c:numLit>
          </c:yVal>
          <c:smooth val="0"/>
          <c:extLst>
            <c:ext xmlns:c16="http://schemas.microsoft.com/office/drawing/2014/chart" uri="{C3380CC4-5D6E-409C-BE32-E72D297353CC}">
              <c16:uniqueId val="{000000A1-A593-453B-BC1F-36AD82F17BFD}"/>
            </c:ext>
          </c:extLst>
        </c:ser>
        <c:ser>
          <c:idx val="135"/>
          <c:order val="135"/>
          <c:tx>
            <c:v>x=0.0268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2.6800000000000001E-2</c:v>
              </c:pt>
              <c:pt idx="1">
                <c:v>2.6800000000000001E-2</c:v>
              </c:pt>
            </c:numLit>
          </c:yVal>
          <c:smooth val="0"/>
          <c:extLst>
            <c:ext xmlns:c16="http://schemas.microsoft.com/office/drawing/2014/chart" uri="{C3380CC4-5D6E-409C-BE32-E72D297353CC}">
              <c16:uniqueId val="{000000A2-A593-453B-BC1F-36AD82F17BFD}"/>
            </c:ext>
          </c:extLst>
        </c:ser>
        <c:ser>
          <c:idx val="136"/>
          <c:order val="136"/>
          <c:tx>
            <c:v>x=0.027</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0.027</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3-A593-453B-BC1F-36AD82F17BF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28.791606361829029</c:v>
              </c:pt>
              <c:pt idx="1">
                <c:v>50.8</c:v>
              </c:pt>
            </c:numLit>
          </c:xVal>
          <c:yVal>
            <c:numLit>
              <c:formatCode>General</c:formatCode>
              <c:ptCount val="2"/>
              <c:pt idx="0">
                <c:v>2.7E-2</c:v>
              </c:pt>
              <c:pt idx="1">
                <c:v>2.7E-2</c:v>
              </c:pt>
            </c:numLit>
          </c:yVal>
          <c:smooth val="0"/>
          <c:extLst>
            <c:ext xmlns:c16="http://schemas.microsoft.com/office/drawing/2014/chart" uri="{C3380CC4-5D6E-409C-BE32-E72D297353CC}">
              <c16:uniqueId val="{000000A4-A593-453B-BC1F-36AD82F17BFD}"/>
            </c:ext>
          </c:extLst>
        </c:ser>
        <c:ser>
          <c:idx val="137"/>
          <c:order val="137"/>
          <c:tx>
            <c:v>x=0.0272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2.7200000000000002E-2</c:v>
              </c:pt>
              <c:pt idx="1">
                <c:v>2.7200000000000002E-2</c:v>
              </c:pt>
            </c:numLit>
          </c:yVal>
          <c:smooth val="0"/>
          <c:extLst>
            <c:ext xmlns:c16="http://schemas.microsoft.com/office/drawing/2014/chart" uri="{C3380CC4-5D6E-409C-BE32-E72D297353CC}">
              <c16:uniqueId val="{000000A5-A593-453B-BC1F-36AD82F17BFD}"/>
            </c:ext>
          </c:extLst>
        </c:ser>
        <c:ser>
          <c:idx val="138"/>
          <c:order val="138"/>
          <c:tx>
            <c:v>x=0.0274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2.7400000000000001E-2</c:v>
              </c:pt>
              <c:pt idx="1">
                <c:v>2.7400000000000001E-2</c:v>
              </c:pt>
            </c:numLit>
          </c:yVal>
          <c:smooth val="0"/>
          <c:extLst>
            <c:ext xmlns:c16="http://schemas.microsoft.com/office/drawing/2014/chart" uri="{C3380CC4-5D6E-409C-BE32-E72D297353CC}">
              <c16:uniqueId val="{000000A6-A593-453B-BC1F-36AD82F17BFD}"/>
            </c:ext>
          </c:extLst>
        </c:ser>
        <c:ser>
          <c:idx val="139"/>
          <c:order val="139"/>
          <c:tx>
            <c:v>x=0.0276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2.7600000000000003E-2</c:v>
              </c:pt>
              <c:pt idx="1">
                <c:v>2.7600000000000003E-2</c:v>
              </c:pt>
            </c:numLit>
          </c:yVal>
          <c:smooth val="0"/>
          <c:extLst>
            <c:ext xmlns:c16="http://schemas.microsoft.com/office/drawing/2014/chart" uri="{C3380CC4-5D6E-409C-BE32-E72D297353CC}">
              <c16:uniqueId val="{000000A7-A593-453B-BC1F-36AD82F17BFD}"/>
            </c:ext>
          </c:extLst>
        </c:ser>
        <c:ser>
          <c:idx val="140"/>
          <c:order val="140"/>
          <c:tx>
            <c:v>x=0.0278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2.7800000000000002E-2</c:v>
              </c:pt>
              <c:pt idx="1">
                <c:v>2.7800000000000002E-2</c:v>
              </c:pt>
            </c:numLit>
          </c:yVal>
          <c:smooth val="0"/>
          <c:extLst>
            <c:ext xmlns:c16="http://schemas.microsoft.com/office/drawing/2014/chart" uri="{C3380CC4-5D6E-409C-BE32-E72D297353CC}">
              <c16:uniqueId val="{000000A8-A593-453B-BC1F-36AD82F17BFD}"/>
            </c:ext>
          </c:extLst>
        </c:ser>
        <c:ser>
          <c:idx val="141"/>
          <c:order val="141"/>
          <c:tx>
            <c:v>x=0.028</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0.028</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9-A593-453B-BC1F-36AD82F17BF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29.385320079522867</c:v>
              </c:pt>
              <c:pt idx="1">
                <c:v>50.8</c:v>
              </c:pt>
            </c:numLit>
          </c:xVal>
          <c:yVal>
            <c:numLit>
              <c:formatCode>General</c:formatCode>
              <c:ptCount val="2"/>
              <c:pt idx="0">
                <c:v>2.8000000000000001E-2</c:v>
              </c:pt>
              <c:pt idx="1">
                <c:v>2.8000000000000001E-2</c:v>
              </c:pt>
            </c:numLit>
          </c:yVal>
          <c:smooth val="0"/>
          <c:extLst>
            <c:ext xmlns:c16="http://schemas.microsoft.com/office/drawing/2014/chart" uri="{C3380CC4-5D6E-409C-BE32-E72D297353CC}">
              <c16:uniqueId val="{000000AA-A593-453B-BC1F-36AD82F17BFD}"/>
            </c:ext>
          </c:extLst>
        </c:ser>
        <c:ser>
          <c:idx val="142"/>
          <c:order val="142"/>
          <c:tx>
            <c:v>x=0.0282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2.8200000000000003E-2</c:v>
              </c:pt>
              <c:pt idx="1">
                <c:v>2.8200000000000003E-2</c:v>
              </c:pt>
            </c:numLit>
          </c:yVal>
          <c:smooth val="0"/>
          <c:extLst>
            <c:ext xmlns:c16="http://schemas.microsoft.com/office/drawing/2014/chart" uri="{C3380CC4-5D6E-409C-BE32-E72D297353CC}">
              <c16:uniqueId val="{000000AB-A593-453B-BC1F-36AD82F17BFD}"/>
            </c:ext>
          </c:extLst>
        </c:ser>
        <c:ser>
          <c:idx val="143"/>
          <c:order val="143"/>
          <c:tx>
            <c:v>x=0.0284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2.8400000000000002E-2</c:v>
              </c:pt>
              <c:pt idx="1">
                <c:v>2.8400000000000002E-2</c:v>
              </c:pt>
            </c:numLit>
          </c:yVal>
          <c:smooth val="0"/>
          <c:extLst>
            <c:ext xmlns:c16="http://schemas.microsoft.com/office/drawing/2014/chart" uri="{C3380CC4-5D6E-409C-BE32-E72D297353CC}">
              <c16:uniqueId val="{000000AC-A593-453B-BC1F-36AD82F17BFD}"/>
            </c:ext>
          </c:extLst>
        </c:ser>
        <c:ser>
          <c:idx val="144"/>
          <c:order val="144"/>
          <c:tx>
            <c:v>x=0.0286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2.86E-2</c:v>
              </c:pt>
              <c:pt idx="1">
                <c:v>2.86E-2</c:v>
              </c:pt>
            </c:numLit>
          </c:yVal>
          <c:smooth val="0"/>
          <c:extLst>
            <c:ext xmlns:c16="http://schemas.microsoft.com/office/drawing/2014/chart" uri="{C3380CC4-5D6E-409C-BE32-E72D297353CC}">
              <c16:uniqueId val="{000000AD-A593-453B-BC1F-36AD82F17BFD}"/>
            </c:ext>
          </c:extLst>
        </c:ser>
        <c:ser>
          <c:idx val="145"/>
          <c:order val="145"/>
          <c:tx>
            <c:v>x=0.0288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2.8800000000000003E-2</c:v>
              </c:pt>
              <c:pt idx="1">
                <c:v>2.8800000000000003E-2</c:v>
              </c:pt>
            </c:numLit>
          </c:yVal>
          <c:smooth val="0"/>
          <c:extLst>
            <c:ext xmlns:c16="http://schemas.microsoft.com/office/drawing/2014/chart" uri="{C3380CC4-5D6E-409C-BE32-E72D297353CC}">
              <c16:uniqueId val="{000000AE-A593-453B-BC1F-36AD82F17BFD}"/>
            </c:ext>
          </c:extLst>
        </c:ser>
        <c:ser>
          <c:idx val="146"/>
          <c:order val="146"/>
          <c:tx>
            <c:v>x=0.029</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0.029</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F-A593-453B-BC1F-36AD82F17BF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29.970716302186883</c:v>
              </c:pt>
              <c:pt idx="1">
                <c:v>50.8</c:v>
              </c:pt>
            </c:numLit>
          </c:xVal>
          <c:yVal>
            <c:numLit>
              <c:formatCode>General</c:formatCode>
              <c:ptCount val="2"/>
              <c:pt idx="0">
                <c:v>2.9000000000000001E-2</c:v>
              </c:pt>
              <c:pt idx="1">
                <c:v>2.9000000000000001E-2</c:v>
              </c:pt>
            </c:numLit>
          </c:yVal>
          <c:smooth val="0"/>
          <c:extLst>
            <c:ext xmlns:c16="http://schemas.microsoft.com/office/drawing/2014/chart" uri="{C3380CC4-5D6E-409C-BE32-E72D297353CC}">
              <c16:uniqueId val="{000000B0-A593-453B-BC1F-36AD82F17BFD}"/>
            </c:ext>
          </c:extLst>
        </c:ser>
        <c:ser>
          <c:idx val="147"/>
          <c:order val="147"/>
          <c:tx>
            <c:v>x=0.0292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2.92E-2</c:v>
              </c:pt>
              <c:pt idx="1">
                <c:v>2.92E-2</c:v>
              </c:pt>
            </c:numLit>
          </c:yVal>
          <c:smooth val="0"/>
          <c:extLst>
            <c:ext xmlns:c16="http://schemas.microsoft.com/office/drawing/2014/chart" uri="{C3380CC4-5D6E-409C-BE32-E72D297353CC}">
              <c16:uniqueId val="{000000B1-A593-453B-BC1F-36AD82F17BFD}"/>
            </c:ext>
          </c:extLst>
        </c:ser>
        <c:ser>
          <c:idx val="148"/>
          <c:order val="148"/>
          <c:tx>
            <c:v>x=0.0294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2.9400000000000003E-2</c:v>
              </c:pt>
              <c:pt idx="1">
                <c:v>2.9400000000000003E-2</c:v>
              </c:pt>
            </c:numLit>
          </c:yVal>
          <c:smooth val="0"/>
          <c:extLst>
            <c:ext xmlns:c16="http://schemas.microsoft.com/office/drawing/2014/chart" uri="{C3380CC4-5D6E-409C-BE32-E72D297353CC}">
              <c16:uniqueId val="{000000B2-A593-453B-BC1F-36AD82F17BFD}"/>
            </c:ext>
          </c:extLst>
        </c:ser>
        <c:ser>
          <c:idx val="149"/>
          <c:order val="149"/>
          <c:tx>
            <c:v>x=0.0296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2.9600000000000001E-2</c:v>
              </c:pt>
              <c:pt idx="1">
                <c:v>2.9600000000000001E-2</c:v>
              </c:pt>
            </c:numLit>
          </c:yVal>
          <c:smooth val="0"/>
          <c:extLst>
            <c:ext xmlns:c16="http://schemas.microsoft.com/office/drawing/2014/chart" uri="{C3380CC4-5D6E-409C-BE32-E72D297353CC}">
              <c16:uniqueId val="{000000B3-A593-453B-BC1F-36AD82F17BFD}"/>
            </c:ext>
          </c:extLst>
        </c:ser>
        <c:ser>
          <c:idx val="150"/>
          <c:order val="150"/>
          <c:tx>
            <c:v>x=0.0298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2.98E-2</c:v>
              </c:pt>
              <c:pt idx="1">
                <c:v>2.98E-2</c:v>
              </c:pt>
            </c:numLit>
          </c:yVal>
          <c:smooth val="0"/>
          <c:extLst>
            <c:ext xmlns:c16="http://schemas.microsoft.com/office/drawing/2014/chart" uri="{C3380CC4-5D6E-409C-BE32-E72D297353CC}">
              <c16:uniqueId val="{000000B4-A593-453B-BC1F-36AD82F17BFD}"/>
            </c:ext>
          </c:extLst>
        </c:ser>
        <c:ser>
          <c:idx val="151"/>
          <c:order val="151"/>
          <c:tx>
            <c:v>x=0.03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0.030</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5-A593-453B-BC1F-36AD82F17BF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30.537184890656061</c:v>
              </c:pt>
              <c:pt idx="1">
                <c:v>50.8</c:v>
              </c:pt>
            </c:numLit>
          </c:xVal>
          <c:yVal>
            <c:numLit>
              <c:formatCode>General</c:formatCode>
              <c:ptCount val="2"/>
              <c:pt idx="0">
                <c:v>3.0000000000000002E-2</c:v>
              </c:pt>
              <c:pt idx="1">
                <c:v>3.0000000000000002E-2</c:v>
              </c:pt>
            </c:numLit>
          </c:yVal>
          <c:smooth val="0"/>
          <c:extLst>
            <c:ext xmlns:c16="http://schemas.microsoft.com/office/drawing/2014/chart" uri="{C3380CC4-5D6E-409C-BE32-E72D297353CC}">
              <c16:uniqueId val="{000000B6-A593-453B-BC1F-36AD82F17BFD}"/>
            </c:ext>
          </c:extLst>
        </c:ser>
        <c:ser>
          <c:idx val="152"/>
          <c:order val="152"/>
          <c:tx>
            <c:v>x=0.0302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3.0200000000000001E-2</c:v>
              </c:pt>
              <c:pt idx="1">
                <c:v>3.0200000000000001E-2</c:v>
              </c:pt>
            </c:numLit>
          </c:yVal>
          <c:smooth val="0"/>
          <c:extLst>
            <c:ext xmlns:c16="http://schemas.microsoft.com/office/drawing/2014/chart" uri="{C3380CC4-5D6E-409C-BE32-E72D297353CC}">
              <c16:uniqueId val="{000000B7-A593-453B-BC1F-36AD82F17BFD}"/>
            </c:ext>
          </c:extLst>
        </c:ser>
        <c:ser>
          <c:idx val="153"/>
          <c:order val="153"/>
          <c:tx>
            <c:v>x=0.0304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3.04E-2</c:v>
              </c:pt>
              <c:pt idx="1">
                <c:v>3.04E-2</c:v>
              </c:pt>
            </c:numLit>
          </c:yVal>
          <c:smooth val="0"/>
          <c:extLst>
            <c:ext xmlns:c16="http://schemas.microsoft.com/office/drawing/2014/chart" uri="{C3380CC4-5D6E-409C-BE32-E72D297353CC}">
              <c16:uniqueId val="{000000B8-A593-453B-BC1F-36AD82F17BFD}"/>
            </c:ext>
          </c:extLst>
        </c:ser>
        <c:ser>
          <c:idx val="154"/>
          <c:order val="154"/>
          <c:tx>
            <c:v>x=0.0306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3.0600000000000002E-2</c:v>
              </c:pt>
              <c:pt idx="1">
                <c:v>3.0600000000000002E-2</c:v>
              </c:pt>
            </c:numLit>
          </c:yVal>
          <c:smooth val="0"/>
          <c:extLst>
            <c:ext xmlns:c16="http://schemas.microsoft.com/office/drawing/2014/chart" uri="{C3380CC4-5D6E-409C-BE32-E72D297353CC}">
              <c16:uniqueId val="{000000B9-A593-453B-BC1F-36AD82F17BFD}"/>
            </c:ext>
          </c:extLst>
        </c:ser>
        <c:ser>
          <c:idx val="155"/>
          <c:order val="155"/>
          <c:tx>
            <c:v>x=0.0308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3.0800000000000001E-2</c:v>
              </c:pt>
              <c:pt idx="1">
                <c:v>3.0800000000000001E-2</c:v>
              </c:pt>
            </c:numLit>
          </c:yVal>
          <c:smooth val="0"/>
          <c:extLst>
            <c:ext xmlns:c16="http://schemas.microsoft.com/office/drawing/2014/chart" uri="{C3380CC4-5D6E-409C-BE32-E72D297353CC}">
              <c16:uniqueId val="{000000BA-A593-453B-BC1F-36AD82F17BFD}"/>
            </c:ext>
          </c:extLst>
        </c:ser>
        <c:ser>
          <c:idx val="156"/>
          <c:order val="156"/>
          <c:tx>
            <c:v>x=0.031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0.031</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B-A593-453B-BC1F-36AD82F17BF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31.084614910536782</c:v>
              </c:pt>
              <c:pt idx="1">
                <c:v>50.8</c:v>
              </c:pt>
            </c:numLit>
          </c:xVal>
          <c:yVal>
            <c:numLit>
              <c:formatCode>General</c:formatCode>
              <c:ptCount val="2"/>
              <c:pt idx="0">
                <c:v>3.1E-2</c:v>
              </c:pt>
              <c:pt idx="1">
                <c:v>3.1E-2</c:v>
              </c:pt>
            </c:numLit>
          </c:yVal>
          <c:smooth val="0"/>
          <c:extLst>
            <c:ext xmlns:c16="http://schemas.microsoft.com/office/drawing/2014/chart" uri="{C3380CC4-5D6E-409C-BE32-E72D297353CC}">
              <c16:uniqueId val="{000000BC-A593-453B-BC1F-36AD82F17BFD}"/>
            </c:ext>
          </c:extLst>
        </c:ser>
        <c:ser>
          <c:idx val="157"/>
          <c:order val="157"/>
          <c:tx>
            <c:v>x=0.0312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3.1200000000000002E-2</c:v>
              </c:pt>
              <c:pt idx="1">
                <c:v>3.1200000000000002E-2</c:v>
              </c:pt>
            </c:numLit>
          </c:yVal>
          <c:smooth val="0"/>
          <c:extLst>
            <c:ext xmlns:c16="http://schemas.microsoft.com/office/drawing/2014/chart" uri="{C3380CC4-5D6E-409C-BE32-E72D297353CC}">
              <c16:uniqueId val="{000000BD-A593-453B-BC1F-36AD82F17BFD}"/>
            </c:ext>
          </c:extLst>
        </c:ser>
        <c:ser>
          <c:idx val="158"/>
          <c:order val="158"/>
          <c:tx>
            <c:v>x=0.0314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3.1400000000000004E-2</c:v>
              </c:pt>
              <c:pt idx="1">
                <c:v>3.1400000000000004E-2</c:v>
              </c:pt>
            </c:numLit>
          </c:yVal>
          <c:smooth val="0"/>
          <c:extLst>
            <c:ext xmlns:c16="http://schemas.microsoft.com/office/drawing/2014/chart" uri="{C3380CC4-5D6E-409C-BE32-E72D297353CC}">
              <c16:uniqueId val="{000000BE-A593-453B-BC1F-36AD82F17BFD}"/>
            </c:ext>
          </c:extLst>
        </c:ser>
        <c:ser>
          <c:idx val="159"/>
          <c:order val="159"/>
          <c:tx>
            <c:v>x=0.0316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3.1600000000000003E-2</c:v>
              </c:pt>
              <c:pt idx="1">
                <c:v>3.1600000000000003E-2</c:v>
              </c:pt>
            </c:numLit>
          </c:yVal>
          <c:smooth val="0"/>
          <c:extLst>
            <c:ext xmlns:c16="http://schemas.microsoft.com/office/drawing/2014/chart" uri="{C3380CC4-5D6E-409C-BE32-E72D297353CC}">
              <c16:uniqueId val="{000000BF-A593-453B-BC1F-36AD82F17BFD}"/>
            </c:ext>
          </c:extLst>
        </c:ser>
        <c:ser>
          <c:idx val="160"/>
          <c:order val="160"/>
          <c:tx>
            <c:v>x=0.0318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3.1800000000000002E-2</c:v>
              </c:pt>
              <c:pt idx="1">
                <c:v>3.1800000000000002E-2</c:v>
              </c:pt>
            </c:numLit>
          </c:yVal>
          <c:smooth val="0"/>
          <c:extLst>
            <c:ext xmlns:c16="http://schemas.microsoft.com/office/drawing/2014/chart" uri="{C3380CC4-5D6E-409C-BE32-E72D297353CC}">
              <c16:uniqueId val="{000000C0-A593-453B-BC1F-36AD82F17BFD}"/>
            </c:ext>
          </c:extLst>
        </c:ser>
        <c:ser>
          <c:idx val="161"/>
          <c:order val="161"/>
          <c:tx>
            <c:v>x=0.032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0.032</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1-A593-453B-BC1F-36AD82F17BF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31.623487077534794</c:v>
              </c:pt>
              <c:pt idx="1">
                <c:v>50.8</c:v>
              </c:pt>
            </c:numLit>
          </c:xVal>
          <c:yVal>
            <c:numLit>
              <c:formatCode>General</c:formatCode>
              <c:ptCount val="2"/>
              <c:pt idx="0">
                <c:v>3.2000000000000001E-2</c:v>
              </c:pt>
              <c:pt idx="1">
                <c:v>3.2000000000000001E-2</c:v>
              </c:pt>
            </c:numLit>
          </c:yVal>
          <c:smooth val="0"/>
          <c:extLst>
            <c:ext xmlns:c16="http://schemas.microsoft.com/office/drawing/2014/chart" uri="{C3380CC4-5D6E-409C-BE32-E72D297353CC}">
              <c16:uniqueId val="{000000C2-A593-453B-BC1F-36AD82F17BFD}"/>
            </c:ext>
          </c:extLst>
        </c:ser>
        <c:ser>
          <c:idx val="162"/>
          <c:order val="162"/>
          <c:tx>
            <c:v>x=0.0322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3.2199999999999999E-2</c:v>
              </c:pt>
              <c:pt idx="1">
                <c:v>3.2199999999999999E-2</c:v>
              </c:pt>
            </c:numLit>
          </c:yVal>
          <c:smooth val="0"/>
          <c:extLst>
            <c:ext xmlns:c16="http://schemas.microsoft.com/office/drawing/2014/chart" uri="{C3380CC4-5D6E-409C-BE32-E72D297353CC}">
              <c16:uniqueId val="{000000C3-A593-453B-BC1F-36AD82F17BFD}"/>
            </c:ext>
          </c:extLst>
        </c:ser>
        <c:ser>
          <c:idx val="163"/>
          <c:order val="163"/>
          <c:tx>
            <c:v>x=0.0324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3.2399999999999998E-2</c:v>
              </c:pt>
              <c:pt idx="1">
                <c:v>3.2399999999999998E-2</c:v>
              </c:pt>
            </c:numLit>
          </c:yVal>
          <c:smooth val="0"/>
          <c:extLst>
            <c:ext xmlns:c16="http://schemas.microsoft.com/office/drawing/2014/chart" uri="{C3380CC4-5D6E-409C-BE32-E72D297353CC}">
              <c16:uniqueId val="{000000C4-A593-453B-BC1F-36AD82F17BFD}"/>
            </c:ext>
          </c:extLst>
        </c:ser>
        <c:ser>
          <c:idx val="164"/>
          <c:order val="164"/>
          <c:tx>
            <c:v>x=0.0326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3.2600000000000004E-2</c:v>
              </c:pt>
              <c:pt idx="1">
                <c:v>3.2600000000000004E-2</c:v>
              </c:pt>
            </c:numLit>
          </c:yVal>
          <c:smooth val="0"/>
          <c:extLst>
            <c:ext xmlns:c16="http://schemas.microsoft.com/office/drawing/2014/chart" uri="{C3380CC4-5D6E-409C-BE32-E72D297353CC}">
              <c16:uniqueId val="{000000C5-A593-453B-BC1F-36AD82F17BFD}"/>
            </c:ext>
          </c:extLst>
        </c:ser>
        <c:ser>
          <c:idx val="165"/>
          <c:order val="165"/>
          <c:tx>
            <c:v>x=0.0328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3.2800000000000003E-2</c:v>
              </c:pt>
              <c:pt idx="1">
                <c:v>3.2800000000000003E-2</c:v>
              </c:pt>
            </c:numLit>
          </c:yVal>
          <c:smooth val="0"/>
          <c:extLst>
            <c:ext xmlns:c16="http://schemas.microsoft.com/office/drawing/2014/chart" uri="{C3380CC4-5D6E-409C-BE32-E72D297353CC}">
              <c16:uniqueId val="{000000C6-A593-453B-BC1F-36AD82F17BFD}"/>
            </c:ext>
          </c:extLst>
        </c:ser>
        <c:ser>
          <c:idx val="166"/>
          <c:order val="166"/>
          <c:tx>
            <c:v>x=0.033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0.033</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7-A593-453B-BC1F-36AD82F17BF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32.143135785288273</c:v>
              </c:pt>
              <c:pt idx="1">
                <c:v>50.8</c:v>
              </c:pt>
            </c:numLit>
          </c:xVal>
          <c:yVal>
            <c:numLit>
              <c:formatCode>General</c:formatCode>
              <c:ptCount val="2"/>
              <c:pt idx="0">
                <c:v>3.3000000000000002E-2</c:v>
              </c:pt>
              <c:pt idx="1">
                <c:v>3.3000000000000002E-2</c:v>
              </c:pt>
            </c:numLit>
          </c:yVal>
          <c:smooth val="0"/>
          <c:extLst>
            <c:ext xmlns:c16="http://schemas.microsoft.com/office/drawing/2014/chart" uri="{C3380CC4-5D6E-409C-BE32-E72D297353CC}">
              <c16:uniqueId val="{000000C8-A593-453B-BC1F-36AD82F17BFD}"/>
            </c:ext>
          </c:extLst>
        </c:ser>
        <c:ser>
          <c:idx val="167"/>
          <c:order val="167"/>
          <c:tx>
            <c:v>x=0.0332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3.32E-2</c:v>
              </c:pt>
              <c:pt idx="1">
                <c:v>3.32E-2</c:v>
              </c:pt>
            </c:numLit>
          </c:yVal>
          <c:smooth val="0"/>
          <c:extLst>
            <c:ext xmlns:c16="http://schemas.microsoft.com/office/drawing/2014/chart" uri="{C3380CC4-5D6E-409C-BE32-E72D297353CC}">
              <c16:uniqueId val="{000000C9-A593-453B-BC1F-36AD82F17BFD}"/>
            </c:ext>
          </c:extLst>
        </c:ser>
        <c:ser>
          <c:idx val="168"/>
          <c:order val="168"/>
          <c:tx>
            <c:v>x=0.0334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3.3399999999999999E-2</c:v>
              </c:pt>
              <c:pt idx="1">
                <c:v>3.3399999999999999E-2</c:v>
              </c:pt>
            </c:numLit>
          </c:yVal>
          <c:smooth val="0"/>
          <c:extLst>
            <c:ext xmlns:c16="http://schemas.microsoft.com/office/drawing/2014/chart" uri="{C3380CC4-5D6E-409C-BE32-E72D297353CC}">
              <c16:uniqueId val="{000000CA-A593-453B-BC1F-36AD82F17BFD}"/>
            </c:ext>
          </c:extLst>
        </c:ser>
        <c:ser>
          <c:idx val="169"/>
          <c:order val="169"/>
          <c:tx>
            <c:v>x=0.0336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3.3600000000000005E-2</c:v>
              </c:pt>
              <c:pt idx="1">
                <c:v>3.3600000000000005E-2</c:v>
              </c:pt>
            </c:numLit>
          </c:yVal>
          <c:smooth val="0"/>
          <c:extLst>
            <c:ext xmlns:c16="http://schemas.microsoft.com/office/drawing/2014/chart" uri="{C3380CC4-5D6E-409C-BE32-E72D297353CC}">
              <c16:uniqueId val="{000000CB-A593-453B-BC1F-36AD82F17BFD}"/>
            </c:ext>
          </c:extLst>
        </c:ser>
        <c:ser>
          <c:idx val="170"/>
          <c:order val="170"/>
          <c:tx>
            <c:v>x=0.0338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3.3800000000000004E-2</c:v>
              </c:pt>
              <c:pt idx="1">
                <c:v>3.3800000000000004E-2</c:v>
              </c:pt>
            </c:numLit>
          </c:yVal>
          <c:smooth val="0"/>
          <c:extLst>
            <c:ext xmlns:c16="http://schemas.microsoft.com/office/drawing/2014/chart" uri="{C3380CC4-5D6E-409C-BE32-E72D297353CC}">
              <c16:uniqueId val="{000000CC-A593-453B-BC1F-36AD82F17BFD}"/>
            </c:ext>
          </c:extLst>
        </c:ser>
        <c:ser>
          <c:idx val="171"/>
          <c:order val="171"/>
          <c:tx>
            <c:v>x=0.034</c:v>
          </c:tx>
          <c:spPr>
            <a:ln w="3175">
              <a:solidFill>
                <a:srgbClr val="000000"/>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0.034</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D-A593-453B-BC1F-36AD82F17BF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-10.178000000000001</c:v>
              </c:pt>
              <c:pt idx="1">
                <c:v>50.8</c:v>
              </c:pt>
            </c:numLit>
          </c:xVal>
          <c:yVal>
            <c:numLit>
              <c:formatCode>General</c:formatCode>
              <c:ptCount val="2"/>
              <c:pt idx="0">
                <c:v>3.4000000000000002E-2</c:v>
              </c:pt>
              <c:pt idx="1">
                <c:v>3.4000000000000002E-2</c:v>
              </c:pt>
            </c:numLit>
          </c:yVal>
          <c:smooth val="0"/>
          <c:extLst>
            <c:ext xmlns:c16="http://schemas.microsoft.com/office/drawing/2014/chart" uri="{C3380CC4-5D6E-409C-BE32-E72D297353CC}">
              <c16:uniqueId val="{000000CE-A593-453B-BC1F-36AD82F17BFD}"/>
            </c:ext>
          </c:extLst>
        </c:ser>
        <c:ser>
          <c:idx val="172"/>
          <c:order val="172"/>
          <c:tx>
            <c:v>絶対湿度座標軸ラベル</c:v>
          </c:tx>
          <c:spPr>
            <a:ln w="3175">
              <a:solidFill>
                <a:srgbClr val="000000"/>
              </a:solidFill>
              <a:prstDash val="solid"/>
            </a:ln>
          </c:spPr>
          <c:marker>
            <c:symbol val="none"/>
          </c:marker>
          <c:dLbls>
            <c:dLbl>
              <c:idx val="0"/>
              <c:layout>
                <c:manualLayout>
                  <c:x val="3.8194444444444448E-2"/>
                  <c:y val="0"/>
                </c:manualLayout>
              </c:layout>
              <c:tx>
                <c:rich>
                  <a:bodyPr rot="-540000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絶対湿度 </a:t>
                    </a:r>
                    <a:r>
                      <a:rPr lang="en-US"/>
                      <a:t>x[kg/kg(DA)]</a:t>
                    </a:r>
                  </a:p>
                </c:rich>
              </c:tx>
              <c:spPr>
                <a:solidFill>
                  <a:srgbClr val="FFFFFF"/>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CF-A593-453B-BC1F-36AD82F17BF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50.8</c:v>
              </c:pt>
            </c:numLit>
          </c:xVal>
          <c:yVal>
            <c:numLit>
              <c:formatCode>General</c:formatCode>
              <c:ptCount val="1"/>
              <c:pt idx="0">
                <c:v>1.7000000000000001E-2</c:v>
              </c:pt>
            </c:numLit>
          </c:yVal>
          <c:smooth val="0"/>
          <c:extLst>
            <c:ext xmlns:c16="http://schemas.microsoft.com/office/drawing/2014/chart" uri="{C3380CC4-5D6E-409C-BE32-E72D297353CC}">
              <c16:uniqueId val="{000000D0-A593-453B-BC1F-36AD82F17BFD}"/>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33ED-42C7-8A6A-F0E309358ADF}"/>
            </c:ext>
          </c:extLst>
        </c:ser>
        <c:ser>
          <c:idx val="1"/>
          <c:order val="1"/>
          <c:spPr>
            <a:ln w="3175">
              <a:solidFill>
                <a:srgbClr val="000000"/>
              </a:solidFill>
              <a:prstDash val="solid"/>
            </a:ln>
          </c:spPr>
          <c:marker>
            <c:symbol val="none"/>
          </c:marker>
          <c:xVal>
            <c:numLit>
              <c:formatCode>General</c:formatCode>
              <c:ptCount val="2"/>
              <c:pt idx="0">
                <c:v>-3.758</c:v>
              </c:pt>
              <c:pt idx="1">
                <c:v>-4.3579999999999997</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01-33ED-42C7-8A6A-F0E309358ADF}"/>
            </c:ext>
          </c:extLst>
        </c:ser>
        <c:ser>
          <c:idx val="2"/>
          <c:order val="2"/>
          <c:spPr>
            <a:ln w="3175">
              <a:solidFill>
                <a:srgbClr val="000000"/>
              </a:solidFill>
              <a:prstDash val="solid"/>
            </a:ln>
          </c:spPr>
          <c:marker>
            <c:symbol val="none"/>
          </c:marker>
          <c:dLbls>
            <c:dLbl>
              <c:idx val="0"/>
              <c:tx>
                <c:rich>
                  <a:bodyPr rot="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3ED-42C7-8A6A-F0E309358AD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-5.1180000000000012</c:v>
              </c:pt>
            </c:numLit>
          </c:xVal>
          <c:yVal>
            <c:numLit>
              <c:formatCode>General</c:formatCode>
              <c:ptCount val="1"/>
              <c:pt idx="0">
                <c:v>2.0930000000000001E-2</c:v>
              </c:pt>
            </c:numLit>
          </c:yVal>
          <c:smooth val="0"/>
          <c:extLst>
            <c:ext xmlns:c16="http://schemas.microsoft.com/office/drawing/2014/chart" uri="{C3380CC4-5D6E-409C-BE32-E72D297353CC}">
              <c16:uniqueId val="{00000003-33ED-42C7-8A6A-F0E309358ADF}"/>
            </c:ext>
          </c:extLst>
        </c:ser>
        <c:ser>
          <c:idx val="3"/>
          <c:order val="3"/>
          <c:spPr>
            <a:ln w="3175">
              <a:solidFill>
                <a:srgbClr val="000000"/>
              </a:solidFill>
              <a:prstDash val="solid"/>
            </a:ln>
          </c:spPr>
          <c:marker>
            <c:symbol val="none"/>
          </c:marker>
          <c:xVal>
            <c:numLit>
              <c:formatCode>General</c:formatCode>
              <c:ptCount val="2"/>
              <c:pt idx="0">
                <c:v>-3.7573164307647193</c:v>
              </c:pt>
              <c:pt idx="1">
                <c:v>-4.0572985496633294</c:v>
              </c:pt>
            </c:numLit>
          </c:xVal>
          <c:yVal>
            <c:numLit>
              <c:formatCode>General</c:formatCode>
              <c:ptCount val="2"/>
              <c:pt idx="0">
                <c:v>2.0838150344721491E-2</c:v>
              </c:pt>
              <c:pt idx="1">
                <c:v>2.0835727619644421E-2</c:v>
              </c:pt>
            </c:numLit>
          </c:yVal>
          <c:smooth val="0"/>
          <c:extLst>
            <c:ext xmlns:c16="http://schemas.microsoft.com/office/drawing/2014/chart" uri="{C3380CC4-5D6E-409C-BE32-E72D297353CC}">
              <c16:uniqueId val="{00000004-33ED-42C7-8A6A-F0E309358ADF}"/>
            </c:ext>
          </c:extLst>
        </c:ser>
        <c:ser>
          <c:idx val="4"/>
          <c:order val="4"/>
          <c:spPr>
            <a:ln w="3175">
              <a:solidFill>
                <a:srgbClr val="000000"/>
              </a:solidFill>
              <a:prstDash val="solid"/>
            </a:ln>
          </c:spPr>
          <c:marker>
            <c:symbol val="none"/>
          </c:marker>
          <c:xVal>
            <c:numLit>
              <c:formatCode>General</c:formatCode>
              <c:ptCount val="2"/>
              <c:pt idx="0">
                <c:v>-3.7551514284703731</c:v>
              </c:pt>
              <c:pt idx="1">
                <c:v>-4.0550769139387679</c:v>
              </c:pt>
            </c:numLit>
          </c:xVal>
          <c:yVal>
            <c:numLit>
              <c:formatCode>General</c:formatCode>
              <c:ptCount val="2"/>
              <c:pt idx="0">
                <c:v>2.0742509615122581E-2</c:v>
              </c:pt>
              <c:pt idx="1">
                <c:v>2.0737564151791284E-2</c:v>
              </c:pt>
            </c:numLit>
          </c:yVal>
          <c:smooth val="0"/>
          <c:extLst>
            <c:ext xmlns:c16="http://schemas.microsoft.com/office/drawing/2014/chart" uri="{C3380CC4-5D6E-409C-BE32-E72D297353CC}">
              <c16:uniqueId val="{00000005-33ED-42C7-8A6A-F0E309358ADF}"/>
            </c:ext>
          </c:extLst>
        </c:ser>
        <c:ser>
          <c:idx val="5"/>
          <c:order val="5"/>
          <c:spPr>
            <a:ln w="3175">
              <a:solidFill>
                <a:srgbClr val="000000"/>
              </a:solidFill>
              <a:prstDash val="solid"/>
            </a:ln>
          </c:spPr>
          <c:marker>
            <c:symbol val="none"/>
          </c:marker>
          <c:xVal>
            <c:numLit>
              <c:formatCode>General</c:formatCode>
              <c:ptCount val="2"/>
              <c:pt idx="0">
                <c:v>-3.7513184851597101</c:v>
              </c:pt>
              <c:pt idx="1">
                <c:v>-4.0511437048590233</c:v>
              </c:pt>
            </c:numLit>
          </c:xVal>
          <c:yVal>
            <c:numLit>
              <c:formatCode>General</c:formatCode>
              <c:ptCount val="2"/>
              <c:pt idx="0">
                <c:v>2.0642878308754005E-2</c:v>
              </c:pt>
              <c:pt idx="1">
                <c:v>2.0635304812162952E-2</c:v>
              </c:pt>
            </c:numLit>
          </c:yVal>
          <c:smooth val="0"/>
          <c:extLst>
            <c:ext xmlns:c16="http://schemas.microsoft.com/office/drawing/2014/chart" uri="{C3380CC4-5D6E-409C-BE32-E72D297353CC}">
              <c16:uniqueId val="{00000006-33ED-42C7-8A6A-F0E309358ADF}"/>
            </c:ext>
          </c:extLst>
        </c:ser>
        <c:ser>
          <c:idx val="6"/>
          <c:order val="6"/>
          <c:spPr>
            <a:ln w="3175">
              <a:solidFill>
                <a:srgbClr val="000000"/>
              </a:solidFill>
              <a:prstDash val="solid"/>
            </a:ln>
          </c:spPr>
          <c:marker>
            <c:symbol val="none"/>
          </c:marker>
          <c:xVal>
            <c:numLit>
              <c:formatCode>General</c:formatCode>
              <c:ptCount val="2"/>
              <c:pt idx="0">
                <c:v>-3.7456091126033786</c:v>
              </c:pt>
              <c:pt idx="1">
                <c:v>-4.0452849779513329</c:v>
              </c:pt>
            </c:numLit>
          </c:xVal>
          <c:yVal>
            <c:numLit>
              <c:formatCode>General</c:formatCode>
              <c:ptCount val="2"/>
              <c:pt idx="0">
                <c:v>2.0539046809061261E-2</c:v>
              </c:pt>
              <c:pt idx="1">
                <c:v>2.0528734430821465E-2</c:v>
              </c:pt>
            </c:numLit>
          </c:yVal>
          <c:smooth val="0"/>
          <c:extLst>
            <c:ext xmlns:c16="http://schemas.microsoft.com/office/drawing/2014/chart" uri="{C3380CC4-5D6E-409C-BE32-E72D297353CC}">
              <c16:uniqueId val="{00000007-33ED-42C7-8A6A-F0E309358ADF}"/>
            </c:ext>
          </c:extLst>
        </c:ser>
        <c:ser>
          <c:idx val="7"/>
          <c:order val="7"/>
          <c:spPr>
            <a:ln w="3175">
              <a:solidFill>
                <a:srgbClr val="000000"/>
              </a:solidFill>
              <a:prstDash val="solid"/>
            </a:ln>
          </c:spPr>
          <c:marker>
            <c:symbol val="none"/>
          </c:marker>
          <c:xVal>
            <c:numLit>
              <c:formatCode>General</c:formatCode>
              <c:ptCount val="2"/>
              <c:pt idx="0">
                <c:v>-3.7377902586290985</c:v>
              </c:pt>
              <c:pt idx="1">
                <c:v>-4.3367333533434707</c:v>
              </c:pt>
            </c:numLit>
          </c:xVal>
          <c:yVal>
            <c:numLit>
              <c:formatCode>General</c:formatCode>
              <c:ptCount val="2"/>
              <c:pt idx="0">
                <c:v>2.0430795350641542E-2</c:v>
              </c:pt>
              <c:pt idx="1">
                <c:v>2.0404465069727713E-2</c:v>
              </c:pt>
            </c:numLit>
          </c:yVal>
          <c:smooth val="0"/>
          <c:extLst>
            <c:ext xmlns:c16="http://schemas.microsoft.com/office/drawing/2014/chart" uri="{C3380CC4-5D6E-409C-BE32-E72D297353CC}">
              <c16:uniqueId val="{00000008-33ED-42C7-8A6A-F0E309358ADF}"/>
            </c:ext>
          </c:extLst>
        </c:ser>
        <c:ser>
          <c:idx val="8"/>
          <c:order val="8"/>
          <c:spPr>
            <a:ln w="3175">
              <a:solidFill>
                <a:srgbClr val="000000"/>
              </a:solidFill>
              <a:prstDash val="solid"/>
            </a:ln>
          </c:spPr>
          <c:marker>
            <c:symbol val="none"/>
          </c:marker>
          <c:dLbls>
            <c:dLbl>
              <c:idx val="0"/>
              <c:tx>
                <c:rich>
                  <a:bodyPr rot="-1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0.90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3ED-42C7-8A6A-F0E309358AD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-5.0953971933505686</c:v>
              </c:pt>
            </c:numLit>
          </c:xVal>
          <c:yVal>
            <c:numLit>
              <c:formatCode>General</c:formatCode>
              <c:ptCount val="1"/>
              <c:pt idx="0">
                <c:v>2.037114545104227E-2</c:v>
              </c:pt>
            </c:numLit>
          </c:yVal>
          <c:smooth val="0"/>
          <c:extLst>
            <c:ext xmlns:c16="http://schemas.microsoft.com/office/drawing/2014/chart" uri="{C3380CC4-5D6E-409C-BE32-E72D297353CC}">
              <c16:uniqueId val="{0000000A-33ED-42C7-8A6A-F0E309358ADF}"/>
            </c:ext>
          </c:extLst>
        </c:ser>
        <c:ser>
          <c:idx val="9"/>
          <c:order val="9"/>
          <c:spPr>
            <a:ln w="3175">
              <a:solidFill>
                <a:srgbClr val="000000"/>
              </a:solidFill>
              <a:prstDash val="solid"/>
            </a:ln>
          </c:spPr>
          <c:marker>
            <c:symbol val="none"/>
          </c:marker>
          <c:xVal>
            <c:numLit>
              <c:formatCode>General</c:formatCode>
              <c:ptCount val="2"/>
              <c:pt idx="0">
                <c:v>-3.7276014439375182</c:v>
              </c:pt>
              <c:pt idx="1">
                <c:v>-4.0268062128221214</c:v>
              </c:pt>
            </c:numLit>
          </c:xVal>
          <c:yVal>
            <c:numLit>
              <c:formatCode>General</c:formatCode>
              <c:ptCount val="2"/>
              <c:pt idx="0">
                <c:v>2.0317894135552732E-2</c:v>
              </c:pt>
              <c:pt idx="1">
                <c:v>2.0301747870289474E-2</c:v>
              </c:pt>
            </c:numLit>
          </c:yVal>
          <c:smooth val="0"/>
          <c:extLst>
            <c:ext xmlns:c16="http://schemas.microsoft.com/office/drawing/2014/chart" uri="{C3380CC4-5D6E-409C-BE32-E72D297353CC}">
              <c16:uniqueId val="{0000000B-33ED-42C7-8A6A-F0E309358ADF}"/>
            </c:ext>
          </c:extLst>
        </c:ser>
        <c:ser>
          <c:idx val="10"/>
          <c:order val="10"/>
          <c:spPr>
            <a:ln w="3175">
              <a:solidFill>
                <a:srgbClr val="000000"/>
              </a:solidFill>
              <a:prstDash val="solid"/>
            </a:ln>
          </c:spPr>
          <c:marker>
            <c:symbol val="none"/>
          </c:marker>
          <c:xVal>
            <c:numLit>
              <c:formatCode>General</c:formatCode>
              <c:ptCount val="2"/>
              <c:pt idx="0">
                <c:v>-3.7147516008544463</c:v>
              </c:pt>
              <c:pt idx="1">
                <c:v>-4.0136201835408292</c:v>
              </c:pt>
            </c:numLit>
          </c:xVal>
          <c:yVal>
            <c:numLit>
              <c:formatCode>General</c:formatCode>
              <c:ptCount val="2"/>
              <c:pt idx="0">
                <c:v>2.0200103644625281E-2</c:v>
              </c:pt>
              <c:pt idx="1">
                <c:v>2.0180849913089945E-2</c:v>
              </c:pt>
            </c:numLit>
          </c:yVal>
          <c:smooth val="0"/>
          <c:extLst>
            <c:ext xmlns:c16="http://schemas.microsoft.com/office/drawing/2014/chart" uri="{C3380CC4-5D6E-409C-BE32-E72D297353CC}">
              <c16:uniqueId val="{0000000C-33ED-42C7-8A6A-F0E309358ADF}"/>
            </c:ext>
          </c:extLst>
        </c:ser>
        <c:ser>
          <c:idx val="11"/>
          <c:order val="11"/>
          <c:spPr>
            <a:ln w="3175">
              <a:solidFill>
                <a:srgbClr val="000000"/>
              </a:solidFill>
              <a:prstDash val="solid"/>
            </a:ln>
          </c:spPr>
          <c:marker>
            <c:symbol val="none"/>
          </c:marker>
          <c:xVal>
            <c:numLit>
              <c:formatCode>General</c:formatCode>
              <c:ptCount val="2"/>
              <c:pt idx="0">
                <c:v>-3.6989155989247418</c:v>
              </c:pt>
              <c:pt idx="1">
                <c:v>-3.9973698432209668</c:v>
              </c:pt>
            </c:numLit>
          </c:xVal>
          <c:yVal>
            <c:numLit>
              <c:formatCode>General</c:formatCode>
              <c:ptCount val="2"/>
              <c:pt idx="0">
                <c:v>2.0077175197246788E-2</c:v>
              </c:pt>
              <c:pt idx="1">
                <c:v>2.0054678249479638E-2</c:v>
              </c:pt>
            </c:numLit>
          </c:yVal>
          <c:smooth val="0"/>
          <c:extLst>
            <c:ext xmlns:c16="http://schemas.microsoft.com/office/drawing/2014/chart" uri="{C3380CC4-5D6E-409C-BE32-E72D297353CC}">
              <c16:uniqueId val="{0000000D-33ED-42C7-8A6A-F0E309358ADF}"/>
            </c:ext>
          </c:extLst>
        </c:ser>
        <c:ser>
          <c:idx val="12"/>
          <c:order val="12"/>
          <c:spPr>
            <a:ln w="3175">
              <a:solidFill>
                <a:srgbClr val="000000"/>
              </a:solidFill>
              <a:prstDash val="solid"/>
            </a:ln>
          </c:spPr>
          <c:marker>
            <c:symbol val="none"/>
          </c:marker>
          <c:xVal>
            <c:numLit>
              <c:formatCode>General</c:formatCode>
              <c:ptCount val="2"/>
              <c:pt idx="0">
                <c:v>-3.6797304479524238</c:v>
              </c:pt>
              <c:pt idx="1">
                <c:v>-3.9776826867646431</c:v>
              </c:pt>
            </c:numLit>
          </c:xVal>
          <c:yVal>
            <c:numLit>
              <c:formatCode>General</c:formatCode>
              <c:ptCount val="2"/>
              <c:pt idx="0">
                <c:v>1.9948851824198272E-2</c:v>
              </c:pt>
              <c:pt idx="1">
                <c:v>1.9922969066463295E-2</c:v>
              </c:pt>
            </c:numLit>
          </c:yVal>
          <c:smooth val="0"/>
          <c:extLst>
            <c:ext xmlns:c16="http://schemas.microsoft.com/office/drawing/2014/chart" uri="{C3380CC4-5D6E-409C-BE32-E72D297353CC}">
              <c16:uniqueId val="{0000000E-33ED-42C7-8A6A-F0E309358ADF}"/>
            </c:ext>
          </c:extLst>
        </c:ser>
        <c:ser>
          <c:idx val="13"/>
          <c:order val="13"/>
          <c:spPr>
            <a:ln w="3175">
              <a:solidFill>
                <a:srgbClr val="000000"/>
              </a:solidFill>
              <a:prstDash val="solid"/>
            </a:ln>
          </c:spPr>
          <c:marker>
            <c:symbol val="none"/>
          </c:marker>
          <c:xVal>
            <c:numLit>
              <c:formatCode>General</c:formatCode>
              <c:ptCount val="2"/>
              <c:pt idx="0">
                <c:v>-3.6567911778075404</c:v>
              </c:pt>
              <c:pt idx="1">
                <c:v>-4.2514973042485202</c:v>
              </c:pt>
            </c:numLit>
          </c:xVal>
          <c:yVal>
            <c:numLit>
              <c:formatCode>General</c:formatCode>
              <c:ptCount val="2"/>
              <c:pt idx="0">
                <c:v>1.9814869530917118E-2</c:v>
              </c:pt>
              <c:pt idx="1">
                <c:v>1.9756045431995016E-2</c:v>
              </c:pt>
            </c:numLit>
          </c:yVal>
          <c:smooth val="0"/>
          <c:extLst>
            <c:ext xmlns:c16="http://schemas.microsoft.com/office/drawing/2014/chart" uri="{C3380CC4-5D6E-409C-BE32-E72D297353CC}">
              <c16:uniqueId val="{0000000F-33ED-42C7-8A6A-F0E309358ADF}"/>
            </c:ext>
          </c:extLst>
        </c:ser>
        <c:ser>
          <c:idx val="14"/>
          <c:order val="14"/>
          <c:spPr>
            <a:ln w="3175">
              <a:solidFill>
                <a:srgbClr val="000000"/>
              </a:solidFill>
              <a:prstDash val="solid"/>
            </a:ln>
          </c:spPr>
          <c:marker>
            <c:symbol val="none"/>
          </c:marker>
          <c:dLbls>
            <c:dLbl>
              <c:idx val="0"/>
              <c:tx>
                <c:rich>
                  <a:bodyPr rot="-4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0.80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3ED-42C7-8A6A-F0E309358AD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-5.0048045482834356</c:v>
              </c:pt>
            </c:numLit>
          </c:xVal>
          <c:yVal>
            <c:numLit>
              <c:formatCode>General</c:formatCode>
              <c:ptCount val="1"/>
              <c:pt idx="0">
                <c:v>1.9681605533496679E-2</c:v>
              </c:pt>
            </c:numLit>
          </c:yVal>
          <c:smooth val="0"/>
          <c:extLst>
            <c:ext xmlns:c16="http://schemas.microsoft.com/office/drawing/2014/chart" uri="{C3380CC4-5D6E-409C-BE32-E72D297353CC}">
              <c16:uniqueId val="{00000011-33ED-42C7-8A6A-F0E309358ADF}"/>
            </c:ext>
          </c:extLst>
        </c:ser>
        <c:ser>
          <c:idx val="15"/>
          <c:order val="15"/>
          <c:spPr>
            <a:ln w="3175">
              <a:solidFill>
                <a:srgbClr val="000000"/>
              </a:solidFill>
              <a:prstDash val="solid"/>
            </a:ln>
          </c:spPr>
          <c:marker>
            <c:symbol val="none"/>
          </c:marker>
          <c:xVal>
            <c:numLit>
              <c:formatCode>General</c:formatCode>
              <c:ptCount val="2"/>
              <c:pt idx="0">
                <c:v>-3.6296464070240311</c:v>
              </c:pt>
              <c:pt idx="1">
                <c:v>-3.9262879289068784</c:v>
              </c:pt>
            </c:numLit>
          </c:xVal>
          <c:yVal>
            <c:numLit>
              <c:formatCode>General</c:formatCode>
              <c:ptCount val="2"/>
              <c:pt idx="0">
                <c:v>1.9674959043059544E-2</c:v>
              </c:pt>
              <c:pt idx="1">
                <c:v>1.9641848560224669E-2</c:v>
              </c:pt>
            </c:numLit>
          </c:yVal>
          <c:smooth val="0"/>
          <c:extLst>
            <c:ext xmlns:c16="http://schemas.microsoft.com/office/drawing/2014/chart" uri="{C3380CC4-5D6E-409C-BE32-E72D297353CC}">
              <c16:uniqueId val="{00000012-33ED-42C7-8A6A-F0E309358ADF}"/>
            </c:ext>
          </c:extLst>
        </c:ser>
        <c:ser>
          <c:idx val="16"/>
          <c:order val="16"/>
          <c:spPr>
            <a:ln w="3175">
              <a:solidFill>
                <a:srgbClr val="000000"/>
              </a:solidFill>
              <a:prstDash val="solid"/>
            </a:ln>
          </c:spPr>
          <c:marker>
            <c:symbol val="none"/>
          </c:marker>
          <c:xVal>
            <c:numLit>
              <c:formatCode>General</c:formatCode>
              <c:ptCount val="2"/>
              <c:pt idx="0">
                <c:v>-3.5977936301001021</c:v>
              </c:pt>
              <c:pt idx="1">
                <c:v>-3.8936014035493267</c:v>
              </c:pt>
            </c:numLit>
          </c:xVal>
          <c:yVal>
            <c:numLit>
              <c:formatCode>General</c:formatCode>
              <c:ptCount val="2"/>
              <c:pt idx="0">
                <c:v>1.9528848142313003E-2</c:v>
              </c:pt>
              <c:pt idx="1">
                <c:v>1.9491881254637813E-2</c:v>
              </c:pt>
            </c:numLit>
          </c:yVal>
          <c:smooth val="0"/>
          <c:extLst>
            <c:ext xmlns:c16="http://schemas.microsoft.com/office/drawing/2014/chart" uri="{C3380CC4-5D6E-409C-BE32-E72D297353CC}">
              <c16:uniqueId val="{00000013-33ED-42C7-8A6A-F0E309358ADF}"/>
            </c:ext>
          </c:extLst>
        </c:ser>
        <c:ser>
          <c:idx val="17"/>
          <c:order val="17"/>
          <c:spPr>
            <a:ln w="3175">
              <a:solidFill>
                <a:srgbClr val="000000"/>
              </a:solidFill>
              <a:prstDash val="solid"/>
            </a:ln>
          </c:spPr>
          <c:marker>
            <c:symbol val="none"/>
          </c:marker>
          <c:xVal>
            <c:numLit>
              <c:formatCode>General</c:formatCode>
              <c:ptCount val="2"/>
              <c:pt idx="0">
                <c:v>-3.5606742779232401</c:v>
              </c:pt>
              <c:pt idx="1">
                <c:v>-3.8555103033006843</c:v>
              </c:pt>
            </c:numLit>
          </c:xVal>
          <c:yVal>
            <c:numLit>
              <c:formatCode>General</c:formatCode>
              <c:ptCount val="2"/>
              <c:pt idx="0">
                <c:v>1.9376264717732728E-2</c:v>
              </c:pt>
              <c:pt idx="1">
                <c:v>1.9335269988825475E-2</c:v>
              </c:pt>
            </c:numLit>
          </c:yVal>
          <c:smooth val="0"/>
          <c:extLst>
            <c:ext xmlns:c16="http://schemas.microsoft.com/office/drawing/2014/chart" uri="{C3380CC4-5D6E-409C-BE32-E72D297353CC}">
              <c16:uniqueId val="{00000014-33ED-42C7-8A6A-F0E309358ADF}"/>
            </c:ext>
          </c:extLst>
        </c:ser>
        <c:ser>
          <c:idx val="18"/>
          <c:order val="18"/>
          <c:spPr>
            <a:ln w="3175">
              <a:solidFill>
                <a:srgbClr val="000000"/>
              </a:solidFill>
              <a:prstDash val="solid"/>
            </a:ln>
          </c:spPr>
          <c:marker>
            <c:symbol val="none"/>
          </c:marker>
          <c:xVal>
            <c:numLit>
              <c:formatCode>General</c:formatCode>
              <c:ptCount val="2"/>
              <c:pt idx="0">
                <c:v>-3.517668638557927</c:v>
              </c:pt>
              <c:pt idx="1">
                <c:v>-3.8113786218780392</c:v>
              </c:pt>
            </c:numLit>
          </c:xVal>
          <c:yVal>
            <c:numLit>
              <c:formatCode>General</c:formatCode>
              <c:ptCount val="2"/>
              <c:pt idx="0">
                <c:v>1.921694067579767E-2</c:v>
              </c:pt>
              <c:pt idx="1">
                <c:v>1.917173944071374E-2</c:v>
              </c:pt>
            </c:numLit>
          </c:yVal>
          <c:smooth val="0"/>
          <c:extLst>
            <c:ext xmlns:c16="http://schemas.microsoft.com/office/drawing/2014/chart" uri="{C3380CC4-5D6E-409C-BE32-E72D297353CC}">
              <c16:uniqueId val="{00000015-33ED-42C7-8A6A-F0E309358ADF}"/>
            </c:ext>
          </c:extLst>
        </c:ser>
        <c:ser>
          <c:idx val="19"/>
          <c:order val="19"/>
          <c:spPr>
            <a:ln w="3175">
              <a:solidFill>
                <a:srgbClr val="000000"/>
              </a:solidFill>
              <a:prstDash val="solid"/>
            </a:ln>
          </c:spPr>
          <c:marker>
            <c:symbol val="none"/>
          </c:marker>
          <c:xVal>
            <c:numLit>
              <c:formatCode>General</c:formatCode>
              <c:ptCount val="2"/>
              <c:pt idx="0">
                <c:v>-3.4680907686435161</c:v>
              </c:pt>
              <c:pt idx="1">
                <c:v>-4.0529202023993429</c:v>
              </c:pt>
            </c:numLit>
          </c:xVal>
          <c:yVal>
            <c:numLit>
              <c:formatCode>General</c:formatCode>
              <c:ptCount val="2"/>
              <c:pt idx="0">
                <c:v>1.905061686979987E-2</c:v>
              </c:pt>
              <c:pt idx="1">
                <c:v>1.8951450076302702E-2</c:v>
              </c:pt>
            </c:numLit>
          </c:yVal>
          <c:smooth val="0"/>
          <c:extLst>
            <c:ext xmlns:c16="http://schemas.microsoft.com/office/drawing/2014/chart" uri="{C3380CC4-5D6E-409C-BE32-E72D297353CC}">
              <c16:uniqueId val="{00000016-33ED-42C7-8A6A-F0E309358ADF}"/>
            </c:ext>
          </c:extLst>
        </c:ser>
        <c:ser>
          <c:idx val="20"/>
          <c:order val="20"/>
          <c:spPr>
            <a:ln w="3175">
              <a:solidFill>
                <a:srgbClr val="000000"/>
              </a:solidFill>
              <a:prstDash val="solid"/>
            </a:ln>
          </c:spPr>
          <c:marker>
            <c:symbol val="none"/>
          </c:marker>
          <c:dLbls>
            <c:dLbl>
              <c:idx val="0"/>
              <c:tx>
                <c:rich>
                  <a:bodyPr rot="-7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0.70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3ED-42C7-8A6A-F0E309358AD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-4.7937399600325126</c:v>
              </c:pt>
            </c:numLit>
          </c:xVal>
          <c:yVal>
            <c:numLit>
              <c:formatCode>General</c:formatCode>
              <c:ptCount val="1"/>
              <c:pt idx="0">
                <c:v>1.8825953904367372E-2</c:v>
              </c:pt>
            </c:numLit>
          </c:yVal>
          <c:smooth val="0"/>
          <c:extLst>
            <c:ext xmlns:c16="http://schemas.microsoft.com/office/drawing/2014/chart" uri="{C3380CC4-5D6E-409C-BE32-E72D297353CC}">
              <c16:uniqueId val="{00000018-33ED-42C7-8A6A-F0E309358ADF}"/>
            </c:ext>
          </c:extLst>
        </c:ser>
        <c:ser>
          <c:idx val="21"/>
          <c:order val="21"/>
          <c:spPr>
            <a:ln w="3175">
              <a:solidFill>
                <a:srgbClr val="000000"/>
              </a:solidFill>
              <a:prstDash val="solid"/>
            </a:ln>
          </c:spPr>
          <c:marker>
            <c:symbol val="none"/>
          </c:marker>
          <c:xVal>
            <c:numLit>
              <c:formatCode>General</c:formatCode>
              <c:ptCount val="2"/>
              <c:pt idx="0">
                <c:v>-3.4406035633560976</c:v>
              </c:pt>
              <c:pt idx="1">
                <c:v>-3.7322951803470819</c:v>
              </c:pt>
            </c:numLit>
          </c:xVal>
          <c:yVal>
            <c:numLit>
              <c:formatCode>General</c:formatCode>
              <c:ptCount val="2"/>
              <c:pt idx="0">
                <c:v>1.8964752998040003E-2</c:v>
              </c:pt>
              <c:pt idx="1">
                <c:v>1.891289174648661E-2</c:v>
              </c:pt>
            </c:numLit>
          </c:yVal>
          <c:smooth val="0"/>
          <c:extLst>
            <c:ext xmlns:c16="http://schemas.microsoft.com/office/drawing/2014/chart" uri="{C3380CC4-5D6E-409C-BE32-E72D297353CC}">
              <c16:uniqueId val="{00000019-33ED-42C7-8A6A-F0E309358ADF}"/>
            </c:ext>
          </c:extLst>
        </c:ser>
        <c:ser>
          <c:idx val="22"/>
          <c:order val="22"/>
          <c:spPr>
            <a:ln w="3175">
              <a:solidFill>
                <a:srgbClr val="000000"/>
              </a:solidFill>
              <a:prstDash val="solid"/>
            </a:ln>
          </c:spPr>
          <c:marker>
            <c:symbol val="none"/>
          </c:marker>
          <c:xVal>
            <c:numLit>
              <c:formatCode>General</c:formatCode>
              <c:ptCount val="2"/>
              <c:pt idx="0">
                <c:v>-3.4111835808515791</c:v>
              </c:pt>
              <c:pt idx="1">
                <c:v>-3.7021044990194212</c:v>
              </c:pt>
            </c:numLit>
          </c:xVal>
          <c:yVal>
            <c:numLit>
              <c:formatCode>General</c:formatCode>
              <c:ptCount val="2"/>
              <c:pt idx="0">
                <c:v>1.8877049224379265E-2</c:v>
              </c:pt>
              <c:pt idx="1">
                <c:v>1.8822871269990157E-2</c:v>
              </c:pt>
            </c:numLit>
          </c:yVal>
          <c:smooth val="0"/>
          <c:extLst>
            <c:ext xmlns:c16="http://schemas.microsoft.com/office/drawing/2014/chart" uri="{C3380CC4-5D6E-409C-BE32-E72D297353CC}">
              <c16:uniqueId val="{0000001A-33ED-42C7-8A6A-F0E309358ADF}"/>
            </c:ext>
          </c:extLst>
        </c:ser>
        <c:ser>
          <c:idx val="23"/>
          <c:order val="23"/>
          <c:spPr>
            <a:ln w="3175">
              <a:solidFill>
                <a:srgbClr val="000000"/>
              </a:solidFill>
              <a:prstDash val="solid"/>
            </a:ln>
          </c:spPr>
          <c:marker>
            <c:symbol val="none"/>
          </c:marker>
          <c:xVal>
            <c:numLit>
              <c:formatCode>General</c:formatCode>
              <c:ptCount val="2"/>
              <c:pt idx="0">
                <c:v>-3.3797243325935047</c:v>
              </c:pt>
              <c:pt idx="1">
                <c:v>-3.6698210225191046</c:v>
              </c:pt>
            </c:numLit>
          </c:xVal>
          <c:yVal>
            <c:numLit>
              <c:formatCode>General</c:formatCode>
              <c:ptCount val="2"/>
              <c:pt idx="0">
                <c:v>1.8787478625185268E-2</c:v>
              </c:pt>
              <c:pt idx="1">
                <c:v>1.8730934348336725E-2</c:v>
              </c:pt>
            </c:numLit>
          </c:yVal>
          <c:smooth val="0"/>
          <c:extLst>
            <c:ext xmlns:c16="http://schemas.microsoft.com/office/drawing/2014/chart" uri="{C3380CC4-5D6E-409C-BE32-E72D297353CC}">
              <c16:uniqueId val="{0000001B-33ED-42C7-8A6A-F0E309358ADF}"/>
            </c:ext>
          </c:extLst>
        </c:ser>
        <c:ser>
          <c:idx val="24"/>
          <c:order val="24"/>
          <c:spPr>
            <a:ln w="3175">
              <a:solidFill>
                <a:srgbClr val="000000"/>
              </a:solidFill>
              <a:prstDash val="solid"/>
            </a:ln>
          </c:spPr>
          <c:marker>
            <c:symbol val="none"/>
          </c:marker>
          <c:xVal>
            <c:numLit>
              <c:formatCode>General</c:formatCode>
              <c:ptCount val="2"/>
              <c:pt idx="0">
                <c:v>-3.3461143621710736</c:v>
              </c:pt>
              <c:pt idx="1">
                <c:v>-3.6353303523381379</c:v>
              </c:pt>
            </c:numLit>
          </c:xVal>
          <c:yVal>
            <c:numLit>
              <c:formatCode>General</c:formatCode>
              <c:ptCount val="2"/>
              <c:pt idx="0">
                <c:v>1.8696016241449256E-2</c:v>
              </c:pt>
              <c:pt idx="1">
                <c:v>1.8637055329613312E-2</c:v>
              </c:pt>
            </c:numLit>
          </c:yVal>
          <c:smooth val="0"/>
          <c:extLst>
            <c:ext xmlns:c16="http://schemas.microsoft.com/office/drawing/2014/chart" uri="{C3380CC4-5D6E-409C-BE32-E72D297353CC}">
              <c16:uniqueId val="{0000001C-33ED-42C7-8A6A-F0E309358ADF}"/>
            </c:ext>
          </c:extLst>
        </c:ser>
        <c:ser>
          <c:idx val="25"/>
          <c:order val="25"/>
          <c:spPr>
            <a:ln w="3175">
              <a:solidFill>
                <a:srgbClr val="000000"/>
              </a:solidFill>
              <a:prstDash val="solid"/>
            </a:ln>
          </c:spPr>
          <c:marker>
            <c:symbol val="none"/>
          </c:marker>
          <c:xVal>
            <c:numLit>
              <c:formatCode>General</c:formatCode>
              <c:ptCount val="2"/>
              <c:pt idx="0">
                <c:v>-3.3102371536754234</c:v>
              </c:pt>
              <c:pt idx="1">
                <c:v>-3.8867980751786924</c:v>
              </c:pt>
            </c:numLit>
          </c:xVal>
          <c:yVal>
            <c:numLit>
              <c:formatCode>General</c:formatCode>
              <c:ptCount val="2"/>
              <c:pt idx="0">
                <c:v>1.8602639402078635E-2</c:v>
              </c:pt>
              <c:pt idx="1">
                <c:v>1.8479806553120048E-2</c:v>
              </c:pt>
            </c:numLit>
          </c:yVal>
          <c:smooth val="0"/>
          <c:extLst>
            <c:ext xmlns:c16="http://schemas.microsoft.com/office/drawing/2014/chart" uri="{C3380CC4-5D6E-409C-BE32-E72D297353CC}">
              <c16:uniqueId val="{0000001D-33ED-42C7-8A6A-F0E309358ADF}"/>
            </c:ext>
          </c:extLst>
        </c:ser>
        <c:ser>
          <c:idx val="26"/>
          <c:order val="26"/>
          <c:spPr>
            <a:ln w="3175">
              <a:solidFill>
                <a:srgbClr val="000000"/>
              </a:solidFill>
              <a:prstDash val="solid"/>
            </a:ln>
          </c:spPr>
          <c:marker>
            <c:symbol val="none"/>
          </c:marker>
          <c:xVal>
            <c:numLit>
              <c:formatCode>General</c:formatCode>
              <c:ptCount val="2"/>
              <c:pt idx="0">
                <c:v>-3.2719710627580656</c:v>
              </c:pt>
              <c:pt idx="1">
                <c:v>-3.5592437900382992</c:v>
              </c:pt>
            </c:numLit>
          </c:xVal>
          <c:yVal>
            <c:numLit>
              <c:formatCode>General</c:formatCode>
              <c:ptCount val="2"/>
              <c:pt idx="0">
                <c:v>1.85073280758347E-2</c:v>
              </c:pt>
              <c:pt idx="1">
                <c:v>1.8443380483584921E-2</c:v>
              </c:pt>
            </c:numLit>
          </c:yVal>
          <c:smooth val="0"/>
          <c:extLst>
            <c:ext xmlns:c16="http://schemas.microsoft.com/office/drawing/2014/chart" uri="{C3380CC4-5D6E-409C-BE32-E72D297353CC}">
              <c16:uniqueId val="{0000001E-33ED-42C7-8A6A-F0E309358ADF}"/>
            </c:ext>
          </c:extLst>
        </c:ser>
        <c:ser>
          <c:idx val="27"/>
          <c:order val="27"/>
          <c:spPr>
            <a:ln w="3175">
              <a:solidFill>
                <a:srgbClr val="000000"/>
              </a:solidFill>
              <a:prstDash val="solid"/>
            </a:ln>
          </c:spPr>
          <c:marker>
            <c:symbol val="none"/>
          </c:marker>
          <c:xVal>
            <c:numLit>
              <c:formatCode>General</c:formatCode>
              <c:ptCount val="2"/>
              <c:pt idx="0">
                <c:v>-3.2311892749519693</c:v>
              </c:pt>
              <c:pt idx="1">
                <c:v>-3.5173928687057834</c:v>
              </c:pt>
            </c:numLit>
          </c:xVal>
          <c:yVal>
            <c:numLit>
              <c:formatCode>General</c:formatCode>
              <c:ptCount val="2"/>
              <c:pt idx="0">
                <c:v>1.8410065253019303E-2</c:v>
              </c:pt>
              <c:pt idx="1">
                <c:v>1.8343546556689797E-2</c:v>
              </c:pt>
            </c:numLit>
          </c:yVal>
          <c:smooth val="0"/>
          <c:extLst>
            <c:ext xmlns:c16="http://schemas.microsoft.com/office/drawing/2014/chart" uri="{C3380CC4-5D6E-409C-BE32-E72D297353CC}">
              <c16:uniqueId val="{0000001F-33ED-42C7-8A6A-F0E309358ADF}"/>
            </c:ext>
          </c:extLst>
        </c:ser>
        <c:ser>
          <c:idx val="28"/>
          <c:order val="28"/>
          <c:spPr>
            <a:ln w="3175">
              <a:solidFill>
                <a:srgbClr val="000000"/>
              </a:solidFill>
              <a:prstDash val="solid"/>
            </a:ln>
          </c:spPr>
          <c:marker>
            <c:symbol val="none"/>
          </c:marker>
          <c:xVal>
            <c:numLit>
              <c:formatCode>General</c:formatCode>
              <c:ptCount val="2"/>
              <c:pt idx="0">
                <c:v>-3.1877597963437578</c:v>
              </c:pt>
              <c:pt idx="1">
                <c:v>-3.4728246421453663</c:v>
              </c:pt>
            </c:numLit>
          </c:xVal>
          <c:yVal>
            <c:numLit>
              <c:formatCode>General</c:formatCode>
              <c:ptCount val="2"/>
              <c:pt idx="0">
                <c:v>1.8310837357796605E-2</c:v>
              </c:pt>
              <c:pt idx="1">
                <c:v>1.8241695148370509E-2</c:v>
              </c:pt>
            </c:numLit>
          </c:yVal>
          <c:smooth val="0"/>
          <c:extLst>
            <c:ext xmlns:c16="http://schemas.microsoft.com/office/drawing/2014/chart" uri="{C3380CC4-5D6E-409C-BE32-E72D297353CC}">
              <c16:uniqueId val="{00000020-33ED-42C7-8A6A-F0E309358ADF}"/>
            </c:ext>
          </c:extLst>
        </c:ser>
        <c:ser>
          <c:idx val="29"/>
          <c:order val="29"/>
          <c:spPr>
            <a:ln w="3175">
              <a:solidFill>
                <a:srgbClr val="000000"/>
              </a:solidFill>
              <a:prstDash val="solid"/>
            </a:ln>
          </c:spPr>
          <c:marker>
            <c:symbol val="none"/>
          </c:marker>
          <c:xVal>
            <c:numLit>
              <c:formatCode>General</c:formatCode>
              <c:ptCount val="2"/>
              <c:pt idx="0">
                <c:v>-3.1415454822086812</c:v>
              </c:pt>
              <c:pt idx="1">
                <c:v>-3.4253983312720453</c:v>
              </c:pt>
            </c:numLit>
          </c:xVal>
          <c:yVal>
            <c:numLit>
              <c:formatCode>General</c:formatCode>
              <c:ptCount val="2"/>
              <c:pt idx="0">
                <c:v>1.820963469175254E-2</c:v>
              </c:pt>
              <c:pt idx="1">
                <c:v>1.8137816256964326E-2</c:v>
              </c:pt>
            </c:numLit>
          </c:yVal>
          <c:smooth val="0"/>
          <c:extLst>
            <c:ext xmlns:c16="http://schemas.microsoft.com/office/drawing/2014/chart" uri="{C3380CC4-5D6E-409C-BE32-E72D297353CC}">
              <c16:uniqueId val="{00000021-33ED-42C7-8A6A-F0E309358ADF}"/>
            </c:ext>
          </c:extLst>
        </c:ser>
        <c:ser>
          <c:idx val="30"/>
          <c:order val="30"/>
          <c:spPr>
            <a:ln w="3175">
              <a:solidFill>
                <a:srgbClr val="000000"/>
              </a:solidFill>
              <a:prstDash val="solid"/>
            </a:ln>
          </c:spPr>
          <c:marker>
            <c:symbol val="none"/>
          </c:marker>
          <c:xVal>
            <c:numLit>
              <c:formatCode>General</c:formatCode>
              <c:ptCount val="2"/>
              <c:pt idx="0">
                <c:v>-3.0924041097491268</c:v>
              </c:pt>
              <c:pt idx="1">
                <c:v>-3.6575453920736818</c:v>
              </c:pt>
            </c:numLit>
          </c:xVal>
          <c:yVal>
            <c:numLit>
              <c:formatCode>General</c:formatCode>
              <c:ptCount val="2"/>
              <c:pt idx="0">
                <c:v>1.8106451908935582E-2</c:v>
              </c:pt>
              <c:pt idx="1">
                <c:v>1.7957384915551974E-2</c:v>
              </c:pt>
            </c:numLit>
          </c:yVal>
          <c:smooth val="0"/>
          <c:extLst>
            <c:ext xmlns:c16="http://schemas.microsoft.com/office/drawing/2014/chart" uri="{C3380CC4-5D6E-409C-BE32-E72D297353CC}">
              <c16:uniqueId val="{00000022-33ED-42C7-8A6A-F0E309358ADF}"/>
            </c:ext>
          </c:extLst>
        </c:ser>
        <c:ser>
          <c:idx val="31"/>
          <c:order val="31"/>
          <c:spPr>
            <a:ln w="3175">
              <a:solidFill>
                <a:srgbClr val="000000"/>
              </a:solidFill>
              <a:prstDash val="solid"/>
            </a:ln>
          </c:spPr>
          <c:marker>
            <c:symbol val="none"/>
          </c:marker>
          <c:dLbls>
            <c:dLbl>
              <c:idx val="0"/>
              <c:tx>
                <c:rich>
                  <a:bodyPr rot="-12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0.60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3-33ED-42C7-8A6A-F0E309358AD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-4.3734691487420454</c:v>
              </c:pt>
            </c:numLit>
          </c:xVal>
          <c:yVal>
            <c:numLit>
              <c:formatCode>General</c:formatCode>
              <c:ptCount val="1"/>
              <c:pt idx="0">
                <c:v>1.7768728173225303E-2</c:v>
              </c:pt>
            </c:numLit>
          </c:yVal>
          <c:smooth val="0"/>
          <c:extLst>
            <c:ext xmlns:c16="http://schemas.microsoft.com/office/drawing/2014/chart" uri="{C3380CC4-5D6E-409C-BE32-E72D297353CC}">
              <c16:uniqueId val="{00000024-33ED-42C7-8A6A-F0E309358ADF}"/>
            </c:ext>
          </c:extLst>
        </c:ser>
        <c:ser>
          <c:idx val="32"/>
          <c:order val="32"/>
          <c:spPr>
            <a:ln w="3175">
              <a:solidFill>
                <a:srgbClr val="000000"/>
              </a:solidFill>
              <a:prstDash val="solid"/>
            </a:ln>
          </c:spPr>
          <c:marker>
            <c:symbol val="none"/>
          </c:marker>
          <c:xVal>
            <c:numLit>
              <c:formatCode>General</c:formatCode>
              <c:ptCount val="2"/>
              <c:pt idx="0">
                <c:v>-3.0401885016002286</c:v>
              </c:pt>
              <c:pt idx="1">
                <c:v>-3.3213823853739761</c:v>
              </c:pt>
            </c:numLit>
          </c:xVal>
          <c:yVal>
            <c:numLit>
              <c:formatCode>General</c:formatCode>
              <c:ptCount val="2"/>
              <c:pt idx="0">
                <c:v>1.8001288522178398E-2</c:v>
              </c:pt>
              <c:pt idx="1">
                <c:v>1.79239588608462E-2</c:v>
              </c:pt>
            </c:numLit>
          </c:yVal>
          <c:smooth val="0"/>
          <c:extLst>
            <c:ext xmlns:c16="http://schemas.microsoft.com/office/drawing/2014/chart" uri="{C3380CC4-5D6E-409C-BE32-E72D297353CC}">
              <c16:uniqueId val="{00000025-33ED-42C7-8A6A-F0E309358ADF}"/>
            </c:ext>
          </c:extLst>
        </c:ser>
        <c:ser>
          <c:idx val="33"/>
          <c:order val="33"/>
          <c:spPr>
            <a:ln w="3175">
              <a:solidFill>
                <a:srgbClr val="000000"/>
              </a:solidFill>
              <a:prstDash val="solid"/>
            </a:ln>
          </c:spPr>
          <c:marker>
            <c:symbol val="none"/>
          </c:marker>
          <c:xVal>
            <c:numLit>
              <c:formatCode>General</c:formatCode>
              <c:ptCount val="2"/>
              <c:pt idx="0">
                <c:v>-2.9847467072668263</c:v>
              </c:pt>
              <c:pt idx="1">
                <c:v>-3.2644856755106595</c:v>
              </c:pt>
            </c:numLit>
          </c:xVal>
          <c:yVal>
            <c:numLit>
              <c:formatCode>General</c:formatCode>
              <c:ptCount val="2"/>
              <c:pt idx="0">
                <c:v>1.7894149439960622E-2</c:v>
              </c:pt>
              <c:pt idx="1">
                <c:v>1.7813984785902574E-2</c:v>
              </c:pt>
            </c:numLit>
          </c:yVal>
          <c:smooth val="0"/>
          <c:extLst>
            <c:ext xmlns:c16="http://schemas.microsoft.com/office/drawing/2014/chart" uri="{C3380CC4-5D6E-409C-BE32-E72D297353CC}">
              <c16:uniqueId val="{00000026-33ED-42C7-8A6A-F0E309358ADF}"/>
            </c:ext>
          </c:extLst>
        </c:ser>
        <c:ser>
          <c:idx val="34"/>
          <c:order val="34"/>
          <c:spPr>
            <a:ln w="3175">
              <a:solidFill>
                <a:srgbClr val="000000"/>
              </a:solidFill>
              <a:prstDash val="solid"/>
            </a:ln>
          </c:spPr>
          <c:marker>
            <c:symbol val="none"/>
          </c:marker>
          <c:xVal>
            <c:numLit>
              <c:formatCode>General</c:formatCode>
              <c:ptCount val="2"/>
              <c:pt idx="0">
                <c:v>-2.9259222501155961</c:v>
              </c:pt>
              <c:pt idx="1">
                <c:v>-3.2041171702836717</c:v>
              </c:pt>
            </c:numLit>
          </c:xVal>
          <c:yVal>
            <c:numLit>
              <c:formatCode>General</c:formatCode>
              <c:ptCount val="2"/>
              <c:pt idx="0">
                <c:v>1.7785045532430037E-2</c:v>
              </c:pt>
              <c:pt idx="1">
                <c:v>1.7701993219551154E-2</c:v>
              </c:pt>
            </c:numLit>
          </c:yVal>
          <c:smooth val="0"/>
          <c:extLst>
            <c:ext xmlns:c16="http://schemas.microsoft.com/office/drawing/2014/chart" uri="{C3380CC4-5D6E-409C-BE32-E72D297353CC}">
              <c16:uniqueId val="{00000027-33ED-42C7-8A6A-F0E309358ADF}"/>
            </c:ext>
          </c:extLst>
        </c:ser>
        <c:ser>
          <c:idx val="35"/>
          <c:order val="35"/>
          <c:spPr>
            <a:ln w="3175">
              <a:solidFill>
                <a:srgbClr val="000000"/>
              </a:solidFill>
              <a:prstDash val="solid"/>
            </a:ln>
          </c:spPr>
          <c:marker>
            <c:symbol val="none"/>
          </c:marker>
          <c:xVal>
            <c:numLit>
              <c:formatCode>General</c:formatCode>
              <c:ptCount val="2"/>
              <c:pt idx="0">
                <c:v>-2.8635544479409476</c:v>
              </c:pt>
              <c:pt idx="1">
                <c:v>-3.1401119058801523</c:v>
              </c:pt>
            </c:numLit>
          </c:xVal>
          <c:yVal>
            <c:numLit>
              <c:formatCode>General</c:formatCode>
              <c:ptCount val="2"/>
              <c:pt idx="0">
                <c:v>1.7673994224443108E-2</c:v>
              </c:pt>
              <c:pt idx="1">
                <c:v>1.7588001986049255E-2</c:v>
              </c:pt>
            </c:numLit>
          </c:yVal>
          <c:smooth val="0"/>
          <c:extLst>
            <c:ext xmlns:c16="http://schemas.microsoft.com/office/drawing/2014/chart" uri="{C3380CC4-5D6E-409C-BE32-E72D297353CC}">
              <c16:uniqueId val="{00000028-33ED-42C7-8A6A-F0E309358ADF}"/>
            </c:ext>
          </c:extLst>
        </c:ser>
        <c:ser>
          <c:idx val="36"/>
          <c:order val="36"/>
          <c:spPr>
            <a:ln w="3175">
              <a:solidFill>
                <a:srgbClr val="000000"/>
              </a:solidFill>
              <a:prstDash val="solid"/>
            </a:ln>
          </c:spPr>
          <c:marker>
            <c:symbol val="none"/>
          </c:marker>
          <c:xVal>
            <c:numLit>
              <c:formatCode>General</c:formatCode>
              <c:ptCount val="2"/>
              <c:pt idx="0">
                <c:v>-2.7974788154258228</c:v>
              </c:pt>
              <c:pt idx="1">
                <c:v>-3.347142064510721</c:v>
              </c:pt>
            </c:numLit>
          </c:xVal>
          <c:yVal>
            <c:numLit>
              <c:formatCode>General</c:formatCode>
              <c:ptCount val="2"/>
              <c:pt idx="0">
                <c:v>1.7561020112610893E-2</c:v>
              </c:pt>
              <c:pt idx="1">
                <c:v>1.7383084173262529E-2</c:v>
              </c:pt>
            </c:numLit>
          </c:yVal>
          <c:smooth val="0"/>
          <c:extLst>
            <c:ext xmlns:c16="http://schemas.microsoft.com/office/drawing/2014/chart" uri="{C3380CC4-5D6E-409C-BE32-E72D297353CC}">
              <c16:uniqueId val="{00000029-33ED-42C7-8A6A-F0E309358ADF}"/>
            </c:ext>
          </c:extLst>
        </c:ser>
        <c:ser>
          <c:idx val="37"/>
          <c:order val="37"/>
          <c:spPr>
            <a:ln w="3175">
              <a:solidFill>
                <a:srgbClr val="000000"/>
              </a:solidFill>
              <a:prstDash val="solid"/>
            </a:ln>
          </c:spPr>
          <c:marker>
            <c:symbol val="none"/>
          </c:marker>
          <c:xVal>
            <c:numLit>
              <c:formatCode>General</c:formatCode>
              <c:ptCount val="2"/>
              <c:pt idx="0">
                <c:v>-2.7275275569962796</c:v>
              </c:pt>
              <c:pt idx="1">
                <c:v>-3.000512197277649</c:v>
              </c:pt>
            </c:numLit>
          </c:xVal>
          <c:yVal>
            <c:numLit>
              <c:formatCode>General</c:formatCode>
              <c:ptCount val="2"/>
              <c:pt idx="0">
                <c:v>1.7446155602337338E-2</c:v>
              </c:pt>
              <c:pt idx="1">
                <c:v>1.7354129262755674E-2</c:v>
              </c:pt>
            </c:numLit>
          </c:yVal>
          <c:smooth val="0"/>
          <c:extLst>
            <c:ext xmlns:c16="http://schemas.microsoft.com/office/drawing/2014/chart" uri="{C3380CC4-5D6E-409C-BE32-E72D297353CC}">
              <c16:uniqueId val="{0000002A-33ED-42C7-8A6A-F0E309358ADF}"/>
            </c:ext>
          </c:extLst>
        </c:ser>
        <c:ser>
          <c:idx val="38"/>
          <c:order val="38"/>
          <c:spPr>
            <a:ln w="3175">
              <a:solidFill>
                <a:srgbClr val="000000"/>
              </a:solidFill>
              <a:prstDash val="solid"/>
            </a:ln>
          </c:spPr>
          <c:marker>
            <c:symbol val="none"/>
          </c:marker>
          <c:xVal>
            <c:numLit>
              <c:formatCode>General</c:formatCode>
              <c:ptCount val="2"/>
              <c:pt idx="0">
                <c:v>-2.6535301585852245</c:v>
              </c:pt>
              <c:pt idx="1">
                <c:v>-2.9245703956378155</c:v>
              </c:pt>
            </c:numLit>
          </c:xVal>
          <c:yVal>
            <c:numLit>
              <c:formatCode>General</c:formatCode>
              <c:ptCount val="2"/>
              <c:pt idx="0">
                <c:v>1.7329441559713527E-2</c:v>
              </c:pt>
              <c:pt idx="1">
                <c:v>1.7234322847302124E-2</c:v>
              </c:pt>
            </c:numLit>
          </c:yVal>
          <c:smooth val="0"/>
          <c:extLst>
            <c:ext xmlns:c16="http://schemas.microsoft.com/office/drawing/2014/chart" uri="{C3380CC4-5D6E-409C-BE32-E72D297353CC}">
              <c16:uniqueId val="{0000002B-33ED-42C7-8A6A-F0E309358ADF}"/>
            </c:ext>
          </c:extLst>
        </c:ser>
        <c:ser>
          <c:idx val="39"/>
          <c:order val="39"/>
          <c:spPr>
            <a:ln w="3175">
              <a:solidFill>
                <a:srgbClr val="000000"/>
              </a:solidFill>
              <a:prstDash val="solid"/>
            </a:ln>
          </c:spPr>
          <c:marker>
            <c:symbol val="none"/>
          </c:marker>
          <c:xVal>
            <c:numLit>
              <c:formatCode>General</c:formatCode>
              <c:ptCount val="2"/>
              <c:pt idx="0">
                <c:v>-2.575314086634803</c:v>
              </c:pt>
              <c:pt idx="1">
                <c:v>-2.8442984434997114</c:v>
              </c:pt>
            </c:numLit>
          </c:xVal>
          <c:yVal>
            <c:numLit>
              <c:formatCode>General</c:formatCode>
              <c:ptCount val="2"/>
              <c:pt idx="0">
                <c:v>1.7210927971887027E-2</c:v>
              </c:pt>
              <c:pt idx="1">
                <c:v>1.7112668261044767E-2</c:v>
              </c:pt>
            </c:numLit>
          </c:yVal>
          <c:smooth val="0"/>
          <c:extLst>
            <c:ext xmlns:c16="http://schemas.microsoft.com/office/drawing/2014/chart" uri="{C3380CC4-5D6E-409C-BE32-E72D297353CC}">
              <c16:uniqueId val="{0000002C-33ED-42C7-8A6A-F0E309358ADF}"/>
            </c:ext>
          </c:extLst>
        </c:ser>
        <c:ser>
          <c:idx val="40"/>
          <c:order val="40"/>
          <c:spPr>
            <a:ln w="3175">
              <a:solidFill>
                <a:srgbClr val="000000"/>
              </a:solidFill>
              <a:prstDash val="solid"/>
            </a:ln>
          </c:spPr>
          <c:marker>
            <c:symbol val="none"/>
          </c:marker>
          <c:xVal>
            <c:numLit>
              <c:formatCode>General</c:formatCode>
              <c:ptCount val="2"/>
              <c:pt idx="0">
                <c:v>-2.4927056022343019</c:v>
              </c:pt>
              <c:pt idx="1">
                <c:v>-2.7595179345950451</c:v>
              </c:pt>
            </c:numLit>
          </c:xVal>
          <c:yVal>
            <c:numLit>
              <c:formatCode>General</c:formatCode>
              <c:ptCount val="2"/>
              <c:pt idx="0">
                <c:v>1.7090674608169102E-2</c:v>
              </c:pt>
              <c:pt idx="1">
                <c:v>1.6989226782600338E-2</c:v>
              </c:pt>
            </c:numLit>
          </c:yVal>
          <c:smooth val="0"/>
          <c:extLst>
            <c:ext xmlns:c16="http://schemas.microsoft.com/office/drawing/2014/chart" uri="{C3380CC4-5D6E-409C-BE32-E72D297353CC}">
              <c16:uniqueId val="{0000002D-33ED-42C7-8A6A-F0E309358ADF}"/>
            </c:ext>
          </c:extLst>
        </c:ser>
        <c:ser>
          <c:idx val="41"/>
          <c:order val="41"/>
          <c:spPr>
            <a:ln w="3175">
              <a:solidFill>
                <a:srgbClr val="000000"/>
              </a:solidFill>
              <a:prstDash val="solid"/>
            </a:ln>
          </c:spPr>
          <c:marker>
            <c:symbol val="none"/>
          </c:marker>
          <c:xVal>
            <c:numLit>
              <c:formatCode>General</c:formatCode>
              <c:ptCount val="2"/>
              <c:pt idx="0">
                <c:v>-2.4055306975638757</c:v>
              </c:pt>
              <c:pt idx="1">
                <c:v>-2.9345947649926489</c:v>
              </c:pt>
            </c:numLit>
          </c:xVal>
          <c:yVal>
            <c:numLit>
              <c:formatCode>General</c:formatCode>
              <c:ptCount val="2"/>
              <c:pt idx="0">
                <c:v>1.6968751672690126E-2</c:v>
              </c:pt>
              <c:pt idx="1">
                <c:v>1.6759423705491334E-2</c:v>
              </c:pt>
            </c:numLit>
          </c:yVal>
          <c:smooth val="0"/>
          <c:extLst>
            <c:ext xmlns:c16="http://schemas.microsoft.com/office/drawing/2014/chart" uri="{C3380CC4-5D6E-409C-BE32-E72D297353CC}">
              <c16:uniqueId val="{0000002E-33ED-42C7-8A6A-F0E309358ADF}"/>
            </c:ext>
          </c:extLst>
        </c:ser>
        <c:ser>
          <c:idx val="42"/>
          <c:order val="42"/>
          <c:spPr>
            <a:ln w="3175">
              <a:solidFill>
                <a:srgbClr val="000000"/>
              </a:solidFill>
              <a:prstDash val="solid"/>
            </a:ln>
          </c:spPr>
          <c:marker>
            <c:symbol val="none"/>
          </c:marker>
          <c:dLbls>
            <c:dLbl>
              <c:idx val="0"/>
              <c:tx>
                <c:rich>
                  <a:bodyPr rot="-16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0.50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F-33ED-42C7-8A6A-F0E309358AD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-3.6048866411471585</c:v>
              </c:pt>
            </c:numLit>
          </c:xVal>
          <c:yVal>
            <c:numLit>
              <c:formatCode>General</c:formatCode>
              <c:ptCount val="1"/>
              <c:pt idx="0">
                <c:v>1.649447339505386E-2</c:v>
              </c:pt>
            </c:numLit>
          </c:yVal>
          <c:smooth val="0"/>
          <c:extLst>
            <c:ext xmlns:c16="http://schemas.microsoft.com/office/drawing/2014/chart" uri="{C3380CC4-5D6E-409C-BE32-E72D297353CC}">
              <c16:uniqueId val="{00000030-33ED-42C7-8A6A-F0E309358ADF}"/>
            </c:ext>
          </c:extLst>
        </c:ser>
        <c:ser>
          <c:idx val="43"/>
          <c:order val="43"/>
          <c:spPr>
            <a:ln w="3175">
              <a:solidFill>
                <a:srgbClr val="000000"/>
              </a:solidFill>
              <a:prstDash val="solid"/>
            </a:ln>
          </c:spPr>
          <c:marker>
            <c:symbol val="none"/>
          </c:marker>
          <c:xVal>
            <c:numLit>
              <c:formatCode>General</c:formatCode>
              <c:ptCount val="2"/>
              <c:pt idx="0">
                <c:v>-2.313616160746133</c:v>
              </c:pt>
              <c:pt idx="1">
                <c:v>-2.5757172835089825</c:v>
              </c:pt>
            </c:numLit>
          </c:xVal>
          <c:yVal>
            <c:numLit>
              <c:formatCode>General</c:formatCode>
              <c:ptCount val="2"/>
              <c:pt idx="0">
                <c:v>1.6845240437890034E-2</c:v>
              </c:pt>
              <c:pt idx="1">
                <c:v>1.6737282465345154E-2</c:v>
              </c:pt>
            </c:numLit>
          </c:yVal>
          <c:smooth val="0"/>
          <c:extLst>
            <c:ext xmlns:c16="http://schemas.microsoft.com/office/drawing/2014/chart" uri="{C3380CC4-5D6E-409C-BE32-E72D297353CC}">
              <c16:uniqueId val="{00000031-33ED-42C7-8A6A-F0E309358ADF}"/>
            </c:ext>
          </c:extLst>
        </c:ser>
        <c:ser>
          <c:idx val="44"/>
          <c:order val="44"/>
          <c:spPr>
            <a:ln w="3175">
              <a:solidFill>
                <a:srgbClr val="000000"/>
              </a:solidFill>
              <a:prstDash val="solid"/>
            </a:ln>
          </c:spPr>
          <c:marker>
            <c:symbol val="none"/>
          </c:marker>
          <c:xVal>
            <c:numLit>
              <c:formatCode>General</c:formatCode>
              <c:ptCount val="2"/>
              <c:pt idx="0">
                <c:v>-2.216790773750446</c:v>
              </c:pt>
              <c:pt idx="1">
                <c:v>-2.4763434048290445</c:v>
              </c:pt>
            </c:numLit>
          </c:xVal>
          <c:yVal>
            <c:numLit>
              <c:formatCode>General</c:formatCode>
              <c:ptCount val="2"/>
              <c:pt idx="0">
                <c:v>1.6720233846569021E-2</c:v>
              </c:pt>
              <c:pt idx="1">
                <c:v>1.6608958306105915E-2</c:v>
              </c:pt>
            </c:numLit>
          </c:yVal>
          <c:smooth val="0"/>
          <c:extLst>
            <c:ext xmlns:c16="http://schemas.microsoft.com/office/drawing/2014/chart" uri="{C3380CC4-5D6E-409C-BE32-E72D297353CC}">
              <c16:uniqueId val="{00000032-33ED-42C7-8A6A-F0E309358ADF}"/>
            </c:ext>
          </c:extLst>
        </c:ser>
        <c:ser>
          <c:idx val="45"/>
          <c:order val="45"/>
          <c:spPr>
            <a:ln w="3175">
              <a:solidFill>
                <a:srgbClr val="000000"/>
              </a:solidFill>
              <a:prstDash val="solid"/>
            </a:ln>
          </c:spPr>
          <c:marker>
            <c:symbol val="none"/>
          </c:marker>
          <c:xVal>
            <c:numLit>
              <c:formatCode>General</c:formatCode>
              <c:ptCount val="2"/>
              <c:pt idx="0">
                <c:v>-2.1148866461057976</c:v>
              </c:pt>
              <c:pt idx="1">
                <c:v>-2.3717560940296778</c:v>
              </c:pt>
            </c:numLit>
          </c:xVal>
          <c:yVal>
            <c:numLit>
              <c:formatCode>General</c:formatCode>
              <c:ptCount val="2"/>
              <c:pt idx="0">
                <c:v>1.6593837068668817E-2</c:v>
              </c:pt>
              <c:pt idx="1">
                <c:v>1.6479205804989291E-2</c:v>
              </c:pt>
            </c:numLit>
          </c:yVal>
          <c:smooth val="0"/>
          <c:extLst>
            <c:ext xmlns:c16="http://schemas.microsoft.com/office/drawing/2014/chart" uri="{C3380CC4-5D6E-409C-BE32-E72D297353CC}">
              <c16:uniqueId val="{00000033-33ED-42C7-8A6A-F0E309358ADF}"/>
            </c:ext>
          </c:extLst>
        </c:ser>
        <c:ser>
          <c:idx val="46"/>
          <c:order val="46"/>
          <c:spPr>
            <a:ln w="3175">
              <a:solidFill>
                <a:srgbClr val="000000"/>
              </a:solidFill>
              <a:prstDash val="solid"/>
            </a:ln>
          </c:spPr>
          <c:marker>
            <c:symbol val="none"/>
          </c:marker>
          <c:xVal>
            <c:numLit>
              <c:formatCode>General</c:formatCode>
              <c:ptCount val="2"/>
              <c:pt idx="0">
                <c:v>-2.0077406848213544</c:v>
              </c:pt>
              <c:pt idx="1">
                <c:v>-2.2617878171027579</c:v>
              </c:pt>
            </c:numLit>
          </c:xVal>
          <c:yVal>
            <c:numLit>
              <c:formatCode>General</c:formatCode>
              <c:ptCount val="2"/>
              <c:pt idx="0">
                <c:v>1.6466167997462634E-2</c:v>
              </c:pt>
              <c:pt idx="1">
                <c:v>1.6348145906530984E-2</c:v>
              </c:pt>
            </c:numLit>
          </c:yVal>
          <c:smooth val="0"/>
          <c:extLst>
            <c:ext xmlns:c16="http://schemas.microsoft.com/office/drawing/2014/chart" uri="{C3380CC4-5D6E-409C-BE32-E72D297353CC}">
              <c16:uniqueId val="{00000034-33ED-42C7-8A6A-F0E309358ADF}"/>
            </c:ext>
          </c:extLst>
        </c:ser>
        <c:ser>
          <c:idx val="47"/>
          <c:order val="47"/>
          <c:spPr>
            <a:ln w="3175">
              <a:solidFill>
                <a:srgbClr val="000000"/>
              </a:solidFill>
              <a:prstDash val="solid"/>
            </a:ln>
          </c:spPr>
          <c:marker>
            <c:symbol val="none"/>
          </c:marker>
          <c:xVal>
            <c:numLit>
              <c:formatCode>General</c:formatCode>
              <c:ptCount val="2"/>
              <c:pt idx="0">
                <c:v>-1.8951961980647147</c:v>
              </c:pt>
              <c:pt idx="1">
                <c:v>-2.3973910482134464</c:v>
              </c:pt>
            </c:numLit>
          </c:xVal>
          <c:yVal>
            <c:numLit>
              <c:formatCode>General</c:formatCode>
              <c:ptCount val="2"/>
              <c:pt idx="0">
                <c:v>1.6337357668468857E-2</c:v>
              </c:pt>
              <c:pt idx="1">
                <c:v>1.6094504538306124E-2</c:v>
              </c:pt>
            </c:numLit>
          </c:yVal>
          <c:smooth val="0"/>
          <c:extLst>
            <c:ext xmlns:c16="http://schemas.microsoft.com/office/drawing/2014/chart" uri="{C3380CC4-5D6E-409C-BE32-E72D297353CC}">
              <c16:uniqueId val="{00000035-33ED-42C7-8A6A-F0E309358ADF}"/>
            </c:ext>
          </c:extLst>
        </c:ser>
        <c:ser>
          <c:idx val="48"/>
          <c:order val="48"/>
          <c:spPr>
            <a:ln w="3175">
              <a:solidFill>
                <a:srgbClr val="000000"/>
              </a:solidFill>
              <a:prstDash val="solid"/>
            </a:ln>
          </c:spPr>
          <c:marker>
            <c:symbol val="none"/>
          </c:marker>
          <c:xVal>
            <c:numLit>
              <c:formatCode>General</c:formatCode>
              <c:ptCount val="2"/>
              <c:pt idx="0">
                <c:v>-1.7771046267974688</c:v>
              </c:pt>
              <c:pt idx="1">
                <c:v>-2.0250727985773351</c:v>
              </c:pt>
            </c:numLit>
          </c:xVal>
          <c:yVal>
            <c:numLit>
              <c:formatCode>General</c:formatCode>
              <c:ptCount val="2"/>
              <c:pt idx="0">
                <c:v>1.6207550583249328E-2</c:v>
              </c:pt>
              <c:pt idx="1">
                <c:v>1.60826554977502E-2</c:v>
              </c:pt>
            </c:numLit>
          </c:yVal>
          <c:smooth val="0"/>
          <c:extLst>
            <c:ext xmlns:c16="http://schemas.microsoft.com/office/drawing/2014/chart" uri="{C3380CC4-5D6E-409C-BE32-E72D297353CC}">
              <c16:uniqueId val="{00000036-33ED-42C7-8A6A-F0E309358ADF}"/>
            </c:ext>
          </c:extLst>
        </c:ser>
        <c:ser>
          <c:idx val="49"/>
          <c:order val="49"/>
          <c:spPr>
            <a:ln w="3175">
              <a:solidFill>
                <a:srgbClr val="000000"/>
              </a:solidFill>
              <a:prstDash val="solid"/>
            </a:ln>
          </c:spPr>
          <c:marker>
            <c:symbol val="none"/>
          </c:marker>
          <c:xVal>
            <c:numLit>
              <c:formatCode>General</c:formatCode>
              <c:ptCount val="2"/>
              <c:pt idx="0">
                <c:v>-1.6533273947279199</c:v>
              </c:pt>
              <c:pt idx="1">
                <c:v>-1.8980310127626514</c:v>
              </c:pt>
            </c:numLit>
          </c:xVal>
          <c:yVal>
            <c:numLit>
              <c:formatCode>General</c:formatCode>
              <c:ptCount val="2"/>
              <c:pt idx="0">
                <c:v>1.6076904919395639E-2</c:v>
              </c:pt>
              <c:pt idx="1">
                <c:v>1.5948535562537603E-2</c:v>
              </c:pt>
            </c:numLit>
          </c:yVal>
          <c:smooth val="0"/>
          <c:extLst>
            <c:ext xmlns:c16="http://schemas.microsoft.com/office/drawing/2014/chart" uri="{C3380CC4-5D6E-409C-BE32-E72D297353CC}">
              <c16:uniqueId val="{00000037-33ED-42C7-8A6A-F0E309358ADF}"/>
            </c:ext>
          </c:extLst>
        </c:ser>
        <c:ser>
          <c:idx val="50"/>
          <c:order val="50"/>
          <c:spPr>
            <a:ln w="3175">
              <a:solidFill>
                <a:srgbClr val="000000"/>
              </a:solidFill>
              <a:prstDash val="solid"/>
            </a:ln>
          </c:spPr>
          <c:marker>
            <c:symbol val="none"/>
          </c:marker>
          <c:xVal>
            <c:numLit>
              <c:formatCode>General</c:formatCode>
              <c:ptCount val="2"/>
              <c:pt idx="0">
                <c:v>-1.5237378626491505</c:v>
              </c:pt>
              <c:pt idx="1">
                <c:v>-1.7650220780229187</c:v>
              </c:pt>
            </c:numLit>
          </c:xVal>
          <c:yVal>
            <c:numLit>
              <c:formatCode>General</c:formatCode>
              <c:ptCount val="2"/>
              <c:pt idx="0">
                <c:v>1.5945592607543146E-2</c:v>
              </c:pt>
              <c:pt idx="1">
                <c:v>1.5813729677496932E-2</c:v>
              </c:pt>
            </c:numLit>
          </c:yVal>
          <c:smooth val="0"/>
          <c:extLst>
            <c:ext xmlns:c16="http://schemas.microsoft.com/office/drawing/2014/chart" uri="{C3380CC4-5D6E-409C-BE32-E72D297353CC}">
              <c16:uniqueId val="{00000038-33ED-42C7-8A6A-F0E309358ADF}"/>
            </c:ext>
          </c:extLst>
        </c:ser>
        <c:ser>
          <c:idx val="51"/>
          <c:order val="51"/>
          <c:spPr>
            <a:ln w="3175">
              <a:solidFill>
                <a:srgbClr val="000000"/>
              </a:solidFill>
              <a:prstDash val="solid"/>
            </a:ln>
          </c:spPr>
          <c:marker>
            <c:symbol val="none"/>
          </c:marker>
          <c:xVal>
            <c:numLit>
              <c:formatCode>General</c:formatCode>
              <c:ptCount val="2"/>
              <c:pt idx="0">
                <c:v>-1.388223368555124</c:v>
              </c:pt>
              <c:pt idx="1">
                <c:v>-1.6259301677145295</c:v>
              </c:pt>
            </c:numLit>
          </c:xVal>
          <c:yVal>
            <c:numLit>
              <c:formatCode>General</c:formatCode>
              <c:ptCount val="2"/>
              <c:pt idx="0">
                <c:v>1.5813799256283002E-2</c:v>
              </c:pt>
              <c:pt idx="1">
                <c:v>1.5678428325744984E-2</c:v>
              </c:pt>
            </c:numLit>
          </c:yVal>
          <c:smooth val="0"/>
          <c:extLst>
            <c:ext xmlns:c16="http://schemas.microsoft.com/office/drawing/2014/chart" uri="{C3380CC4-5D6E-409C-BE32-E72D297353CC}">
              <c16:uniqueId val="{00000039-33ED-42C7-8A6A-F0E309358ADF}"/>
            </c:ext>
          </c:extLst>
        </c:ser>
        <c:ser>
          <c:idx val="52"/>
          <c:order val="52"/>
          <c:spPr>
            <a:ln w="3175">
              <a:solidFill>
                <a:srgbClr val="000000"/>
              </a:solidFill>
              <a:prstDash val="solid"/>
            </a:ln>
          </c:spPr>
          <c:marker>
            <c:symbol val="none"/>
          </c:marker>
          <c:xVal>
            <c:numLit>
              <c:formatCode>General</c:formatCode>
              <c:ptCount val="2"/>
              <c:pt idx="0">
                <c:v>-1.2466873299709398</c:v>
              </c:pt>
              <c:pt idx="1">
                <c:v>-1.7146635892116067</c:v>
              </c:pt>
            </c:numLit>
          </c:xVal>
          <c:yVal>
            <c:numLit>
              <c:formatCode>General</c:formatCode>
              <c:ptCount val="2"/>
              <c:pt idx="0">
                <c:v>1.5681723906468353E-2</c:v>
              </c:pt>
              <c:pt idx="1">
                <c:v>1.540398349013896E-2</c:v>
              </c:pt>
            </c:numLit>
          </c:yVal>
          <c:smooth val="0"/>
          <c:extLst>
            <c:ext xmlns:c16="http://schemas.microsoft.com/office/drawing/2014/chart" uri="{C3380CC4-5D6E-409C-BE32-E72D297353CC}">
              <c16:uniqueId val="{0000003A-33ED-42C7-8A6A-F0E309358ADF}"/>
            </c:ext>
          </c:extLst>
        </c:ser>
        <c:ser>
          <c:idx val="53"/>
          <c:order val="53"/>
          <c:spPr>
            <a:ln w="3175">
              <a:solidFill>
                <a:srgbClr val="000000"/>
              </a:solidFill>
              <a:prstDash val="solid"/>
            </a:ln>
          </c:spPr>
          <c:marker>
            <c:symbol val="none"/>
          </c:marker>
          <c:dLbls>
            <c:dLbl>
              <c:idx val="0"/>
              <c:tx>
                <c:rich>
                  <a:bodyPr rot="-23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0.40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B-33ED-42C7-8A6A-F0E309358AD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-2.3076574148248494</c:v>
              </c:pt>
            </c:numLit>
          </c:xVal>
          <c:yVal>
            <c:numLit>
              <c:formatCode>General</c:formatCode>
              <c:ptCount val="1"/>
              <c:pt idx="0">
                <c:v>1.5052384582440575E-2</c:v>
              </c:pt>
            </c:numLit>
          </c:yVal>
          <c:smooth val="0"/>
          <c:extLst>
            <c:ext xmlns:c16="http://schemas.microsoft.com/office/drawing/2014/chart" uri="{C3380CC4-5D6E-409C-BE32-E72D297353CC}">
              <c16:uniqueId val="{0000003C-33ED-42C7-8A6A-F0E309358ADF}"/>
            </c:ext>
          </c:extLst>
        </c:ser>
        <c:ser>
          <c:idx val="54"/>
          <c:order val="54"/>
          <c:spPr>
            <a:ln w="3175">
              <a:solidFill>
                <a:srgbClr val="000000"/>
              </a:solidFill>
              <a:prstDash val="solid"/>
            </a:ln>
          </c:spPr>
          <c:marker>
            <c:symbol val="none"/>
          </c:marker>
          <c:xVal>
            <c:numLit>
              <c:formatCode>General</c:formatCode>
              <c:ptCount val="2"/>
              <c:pt idx="0">
                <c:v>-1.0990513798353114</c:v>
              </c:pt>
              <c:pt idx="1">
                <c:v>-1.3291187844030128</c:v>
              </c:pt>
            </c:numLit>
          </c:xVal>
          <c:yVal>
            <c:numLit>
              <c:formatCode>General</c:formatCode>
              <c:ptCount val="2"/>
              <c:pt idx="0">
                <c:v>1.5549578597725369E-2</c:v>
              </c:pt>
              <c:pt idx="1">
                <c:v>1.5407169702183561E-2</c:v>
              </c:pt>
            </c:numLit>
          </c:yVal>
          <c:smooth val="0"/>
          <c:extLst>
            <c:ext xmlns:c16="http://schemas.microsoft.com/office/drawing/2014/chart" uri="{C3380CC4-5D6E-409C-BE32-E72D297353CC}">
              <c16:uniqueId val="{0000003D-33ED-42C7-8A6A-F0E309358ADF}"/>
            </c:ext>
          </c:extLst>
        </c:ser>
        <c:ser>
          <c:idx val="55"/>
          <c:order val="55"/>
          <c:spPr>
            <a:ln w="3175">
              <a:solidFill>
                <a:srgbClr val="000000"/>
              </a:solidFill>
              <a:prstDash val="solid"/>
            </a:ln>
          </c:spPr>
          <c:marker>
            <c:symbol val="none"/>
          </c:marker>
          <c:xVal>
            <c:numLit>
              <c:formatCode>General</c:formatCode>
              <c:ptCount val="2"/>
              <c:pt idx="0">
                <c:v>-0.94525750221214544</c:v>
              </c:pt>
              <c:pt idx="1">
                <c:v>-1.171258910076004</c:v>
              </c:pt>
            </c:numLit>
          </c:xVal>
          <c:yVal>
            <c:numLit>
              <c:formatCode>General</c:formatCode>
              <c:ptCount val="2"/>
              <c:pt idx="0">
                <c:v>1.5417587732063727E-2</c:v>
              </c:pt>
              <c:pt idx="1">
                <c:v>1.5271660405463735E-2</c:v>
              </c:pt>
            </c:numLit>
          </c:yVal>
          <c:smooth val="0"/>
          <c:extLst>
            <c:ext xmlns:c16="http://schemas.microsoft.com/office/drawing/2014/chart" uri="{C3380CC4-5D6E-409C-BE32-E72D297353CC}">
              <c16:uniqueId val="{0000003E-33ED-42C7-8A6A-F0E309358ADF}"/>
            </c:ext>
          </c:extLst>
        </c:ser>
        <c:ser>
          <c:idx val="56"/>
          <c:order val="56"/>
          <c:spPr>
            <a:ln w="3175">
              <a:solidFill>
                <a:srgbClr val="000000"/>
              </a:solidFill>
              <a:prstDash val="solid"/>
            </a:ln>
          </c:spPr>
          <c:marker>
            <c:symbol val="none"/>
          </c:marker>
          <c:xVal>
            <c:numLit>
              <c:formatCode>General</c:formatCode>
              <c:ptCount val="2"/>
              <c:pt idx="0">
                <c:v>-0.78527012929796181</c:v>
              </c:pt>
              <c:pt idx="1">
                <c:v>-1.0070396059342881</c:v>
              </c:pt>
            </c:numLit>
          </c:xVal>
          <c:yVal>
            <c:numLit>
              <c:formatCode>General</c:formatCode>
              <c:ptCount val="2"/>
              <c:pt idx="0">
                <c:v>1.5285987222392702E-2</c:v>
              </c:pt>
              <c:pt idx="1">
                <c:v>1.5136550067768871E-2</c:v>
              </c:pt>
            </c:numLit>
          </c:yVal>
          <c:smooth val="0"/>
          <c:extLst>
            <c:ext xmlns:c16="http://schemas.microsoft.com/office/drawing/2014/chart" uri="{C3380CC4-5D6E-409C-BE32-E72D297353CC}">
              <c16:uniqueId val="{0000003F-33ED-42C7-8A6A-F0E309358ADF}"/>
            </c:ext>
          </c:extLst>
        </c:ser>
        <c:ser>
          <c:idx val="57"/>
          <c:order val="57"/>
          <c:spPr>
            <a:ln w="3175">
              <a:solidFill>
                <a:srgbClr val="000000"/>
              </a:solidFill>
              <a:prstDash val="solid"/>
            </a:ln>
          </c:spPr>
          <c:marker>
            <c:symbol val="none"/>
          </c:marker>
          <c:xVal>
            <c:numLit>
              <c:formatCode>General</c:formatCode>
              <c:ptCount val="2"/>
              <c:pt idx="0">
                <c:v>-0.61907815687851919</c:v>
              </c:pt>
              <c:pt idx="1">
                <c:v>-0.83644925897128908</c:v>
              </c:pt>
            </c:numLit>
          </c:xVal>
          <c:yVal>
            <c:numLit>
              <c:formatCode>General</c:formatCode>
              <c:ptCount val="2"/>
              <c:pt idx="0">
                <c:v>1.5155023417515526E-2</c:v>
              </c:pt>
              <c:pt idx="1">
                <c:v>1.5002091586488069E-2</c:v>
              </c:pt>
            </c:numLit>
          </c:yVal>
          <c:smooth val="0"/>
          <c:extLst>
            <c:ext xmlns:c16="http://schemas.microsoft.com/office/drawing/2014/chart" uri="{C3380CC4-5D6E-409C-BE32-E72D297353CC}">
              <c16:uniqueId val="{00000040-33ED-42C7-8A6A-F0E309358ADF}"/>
            </c:ext>
          </c:extLst>
        </c:ser>
        <c:ser>
          <c:idx val="58"/>
          <c:order val="58"/>
          <c:spPr>
            <a:ln w="3175">
              <a:solidFill>
                <a:srgbClr val="000000"/>
              </a:solidFill>
              <a:prstDash val="solid"/>
            </a:ln>
          </c:spPr>
          <c:marker>
            <c:symbol val="none"/>
          </c:marker>
          <c:xVal>
            <c:numLit>
              <c:formatCode>General</c:formatCode>
              <c:ptCount val="2"/>
              <c:pt idx="0">
                <c:v>-0.44669683184065456</c:v>
              </c:pt>
              <c:pt idx="1">
                <c:v>-0.87235472792758506</c:v>
              </c:pt>
            </c:numLit>
          </c:xVal>
          <c:yVal>
            <c:numLit>
              <c:formatCode>General</c:formatCode>
              <c:ptCount val="2"/>
              <c:pt idx="0">
                <c:v>1.5024951799785189E-2</c:v>
              </c:pt>
              <c:pt idx="1">
                <c:v>1.4712176032084051E-2</c:v>
              </c:pt>
            </c:numLit>
          </c:yVal>
          <c:smooth val="0"/>
          <c:extLst>
            <c:ext xmlns:c16="http://schemas.microsoft.com/office/drawing/2014/chart" uri="{C3380CC4-5D6E-409C-BE32-E72D297353CC}">
              <c16:uniqueId val="{00000041-33ED-42C7-8A6A-F0E309358ADF}"/>
            </c:ext>
          </c:extLst>
        </c:ser>
        <c:ser>
          <c:idx val="59"/>
          <c:order val="59"/>
          <c:spPr>
            <a:ln w="3175">
              <a:solidFill>
                <a:srgbClr val="000000"/>
              </a:solidFill>
              <a:prstDash val="solid"/>
            </a:ln>
          </c:spPr>
          <c:marker>
            <c:symbol val="none"/>
          </c:marker>
          <c:xVal>
            <c:numLit>
              <c:formatCode>General</c:formatCode>
              <c:ptCount val="2"/>
              <c:pt idx="0">
                <c:v>-0.26816946284299165</c:v>
              </c:pt>
              <c:pt idx="1">
                <c:v>-0.47624598722283679</c:v>
              </c:pt>
            </c:numLit>
          </c:xVal>
          <c:yVal>
            <c:numLit>
              <c:formatCode>General</c:formatCode>
              <c:ptCount val="2"/>
              <c:pt idx="0">
                <c:v>1.4896035457000568E-2</c:v>
              </c:pt>
              <c:pt idx="1">
                <c:v>1.4736187176696662E-2</c:v>
              </c:pt>
            </c:numLit>
          </c:yVal>
          <c:smooth val="0"/>
          <c:extLst>
            <c:ext xmlns:c16="http://schemas.microsoft.com/office/drawing/2014/chart" uri="{C3380CC4-5D6E-409C-BE32-E72D297353CC}">
              <c16:uniqueId val="{00000042-33ED-42C7-8A6A-F0E309358ADF}"/>
            </c:ext>
          </c:extLst>
        </c:ser>
        <c:ser>
          <c:idx val="60"/>
          <c:order val="60"/>
          <c:spPr>
            <a:ln w="3175">
              <a:solidFill>
                <a:srgbClr val="000000"/>
              </a:solidFill>
              <a:prstDash val="solid"/>
            </a:ln>
          </c:spPr>
          <c:marker>
            <c:symbol val="none"/>
          </c:marker>
          <c:xVal>
            <c:numLit>
              <c:formatCode>General</c:formatCode>
              <c:ptCount val="2"/>
              <c:pt idx="0">
                <c:v>-8.3568904066706209E-2</c:v>
              </c:pt>
              <c:pt idx="1">
                <c:v>-0.28675188305885801</c:v>
              </c:pt>
            </c:numLit>
          </c:xVal>
          <c:yVal>
            <c:numLit>
              <c:formatCode>General</c:formatCode>
              <c:ptCount val="2"/>
              <c:pt idx="0">
                <c:v>1.4768543336192361E-2</c:v>
              </c:pt>
              <c:pt idx="1">
                <c:v>1.4605287509683575E-2</c:v>
              </c:pt>
            </c:numLit>
          </c:yVal>
          <c:smooth val="0"/>
          <c:extLst>
            <c:ext xmlns:c16="http://schemas.microsoft.com/office/drawing/2014/chart" uri="{C3380CC4-5D6E-409C-BE32-E72D297353CC}">
              <c16:uniqueId val="{00000043-33ED-42C7-8A6A-F0E309358ADF}"/>
            </c:ext>
          </c:extLst>
        </c:ser>
        <c:ser>
          <c:idx val="61"/>
          <c:order val="61"/>
          <c:spPr>
            <a:ln w="3175">
              <a:solidFill>
                <a:srgbClr val="000000"/>
              </a:solidFill>
              <a:prstDash val="solid"/>
            </a:ln>
          </c:spPr>
          <c:marker>
            <c:symbol val="none"/>
          </c:marker>
          <c:xVal>
            <c:numLit>
              <c:formatCode>General</c:formatCode>
              <c:ptCount val="2"/>
              <c:pt idx="0">
                <c:v>0.10700123764518008</c:v>
              </c:pt>
              <c:pt idx="1">
                <c:v>-9.1127145974432305E-2</c:v>
              </c:pt>
            </c:numLit>
          </c:xVal>
          <c:yVal>
            <c:numLit>
              <c:formatCode>General</c:formatCode>
              <c:ptCount val="2"/>
              <c:pt idx="0">
                <c:v>1.4642748293527812E-2</c:v>
              </c:pt>
              <c:pt idx="1">
                <c:v>1.4476128428781763E-2</c:v>
              </c:pt>
            </c:numLit>
          </c:yVal>
          <c:smooth val="0"/>
          <c:extLst>
            <c:ext xmlns:c16="http://schemas.microsoft.com/office/drawing/2014/chart" uri="{C3380CC4-5D6E-409C-BE32-E72D297353CC}">
              <c16:uniqueId val="{00000044-33ED-42C7-8A6A-F0E309358ADF}"/>
            </c:ext>
          </c:extLst>
        </c:ser>
        <c:ser>
          <c:idx val="62"/>
          <c:order val="62"/>
          <c:spPr>
            <a:ln w="3175">
              <a:solidFill>
                <a:srgbClr val="000000"/>
              </a:solidFill>
              <a:prstDash val="solid"/>
            </a:ln>
          </c:spPr>
          <c:marker>
            <c:symbol val="none"/>
          </c:marker>
          <c:xVal>
            <c:numLit>
              <c:formatCode>General</c:formatCode>
              <c:ptCount val="2"/>
              <c:pt idx="0">
                <c:v>0.30340571978893238</c:v>
              </c:pt>
              <c:pt idx="1">
                <c:v>0.11048958435157942</c:v>
              </c:pt>
            </c:numLit>
          </c:xVal>
          <c:yVal>
            <c:numLit>
              <c:formatCode>General</c:formatCode>
              <c:ptCount val="2"/>
              <c:pt idx="0">
                <c:v>1.4518924961431453E-2</c:v>
              </c:pt>
              <c:pt idx="1">
                <c:v>1.4348991954383022E-2</c:v>
              </c:pt>
            </c:numLit>
          </c:yVal>
          <c:smooth val="0"/>
          <c:extLst>
            <c:ext xmlns:c16="http://schemas.microsoft.com/office/drawing/2014/chart" uri="{C3380CC4-5D6E-409C-BE32-E72D297353CC}">
              <c16:uniqueId val="{00000045-33ED-42C7-8A6A-F0E309358ADF}"/>
            </c:ext>
          </c:extLst>
        </c:ser>
        <c:ser>
          <c:idx val="63"/>
          <c:order val="63"/>
          <c:spPr>
            <a:ln w="3175">
              <a:solidFill>
                <a:srgbClr val="000000"/>
              </a:solidFill>
              <a:prstDash val="solid"/>
            </a:ln>
          </c:spPr>
          <c:marker>
            <c:symbol val="none"/>
          </c:marker>
          <c:xVal>
            <c:numLit>
              <c:formatCode>General</c:formatCode>
              <c:ptCount val="2"/>
              <c:pt idx="0">
                <c:v>0.5054771487943629</c:v>
              </c:pt>
              <c:pt idx="1">
                <c:v>0.13032764032617034</c:v>
              </c:pt>
            </c:numLit>
          </c:xVal>
          <c:yVal>
            <c:numLit>
              <c:formatCode>General</c:formatCode>
              <c:ptCount val="2"/>
              <c:pt idx="0">
                <c:v>1.439734746090714E-2</c:v>
              </c:pt>
              <c:pt idx="1">
                <c:v>1.4051000367389811E-2</c:v>
              </c:pt>
            </c:numLit>
          </c:yVal>
          <c:smooth val="0"/>
          <c:extLst>
            <c:ext xmlns:c16="http://schemas.microsoft.com/office/drawing/2014/chart" uri="{C3380CC4-5D6E-409C-BE32-E72D297353CC}">
              <c16:uniqueId val="{00000046-33ED-42C7-8A6A-F0E309358ADF}"/>
            </c:ext>
          </c:extLst>
        </c:ser>
        <c:ser>
          <c:idx val="64"/>
          <c:order val="64"/>
          <c:spPr>
            <a:ln w="3175">
              <a:solidFill>
                <a:srgbClr val="000000"/>
              </a:solidFill>
              <a:prstDash val="solid"/>
            </a:ln>
          </c:spPr>
          <c:marker>
            <c:symbol val="none"/>
          </c:marker>
          <c:dLbls>
            <c:dLbl>
              <c:idx val="0"/>
              <c:tx>
                <c:rich>
                  <a:bodyPr rot="-31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0.30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7-33ED-42C7-8A6A-F0E309358AD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-0.34514016993581637</c:v>
              </c:pt>
            </c:numLit>
          </c:xVal>
          <c:yVal>
            <c:numLit>
              <c:formatCode>General</c:formatCode>
              <c:ptCount val="1"/>
              <c:pt idx="0">
                <c:v>1.3612458427713661E-2</c:v>
              </c:pt>
            </c:numLit>
          </c:yVal>
          <c:smooth val="0"/>
          <c:extLst>
            <c:ext xmlns:c16="http://schemas.microsoft.com/office/drawing/2014/chart" uri="{C3380CC4-5D6E-409C-BE32-E72D297353CC}">
              <c16:uniqueId val="{00000048-33ED-42C7-8A6A-F0E309358ADF}"/>
            </c:ext>
          </c:extLst>
        </c:ser>
        <c:ser>
          <c:idx val="65"/>
          <c:order val="65"/>
          <c:spPr>
            <a:ln w="3175">
              <a:solidFill>
                <a:srgbClr val="000000"/>
              </a:solidFill>
              <a:prstDash val="solid"/>
            </a:ln>
          </c:spPr>
          <c:marker>
            <c:symbol val="none"/>
          </c:marker>
          <c:xVal>
            <c:numLit>
              <c:formatCode>General</c:formatCode>
              <c:ptCount val="56"/>
              <c:pt idx="0">
                <c:v>-3.758</c:v>
              </c:pt>
              <c:pt idx="1">
                <c:v>-3.7573164307647193</c:v>
              </c:pt>
              <c:pt idx="2">
                <c:v>-3.7551514284703731</c:v>
              </c:pt>
              <c:pt idx="3">
                <c:v>-3.7513184851597101</c:v>
              </c:pt>
              <c:pt idx="4">
                <c:v>-3.7456091126033786</c:v>
              </c:pt>
              <c:pt idx="5">
                <c:v>-3.7377902586290985</c:v>
              </c:pt>
              <c:pt idx="6">
                <c:v>-3.7276014439375182</c:v>
              </c:pt>
              <c:pt idx="7">
                <c:v>-3.7147516008544463</c:v>
              </c:pt>
              <c:pt idx="8">
                <c:v>-3.6989155989247418</c:v>
              </c:pt>
              <c:pt idx="9">
                <c:v>-3.6797304479524238</c:v>
              </c:pt>
              <c:pt idx="10">
                <c:v>-3.6567911778075404</c:v>
              </c:pt>
              <c:pt idx="11">
                <c:v>-3.6296464070240311</c:v>
              </c:pt>
              <c:pt idx="12">
                <c:v>-3.5977936301001021</c:v>
              </c:pt>
              <c:pt idx="13">
                <c:v>-3.5606742779232401</c:v>
              </c:pt>
              <c:pt idx="14">
                <c:v>-3.517668638557927</c:v>
              </c:pt>
              <c:pt idx="15">
                <c:v>-3.4680907686435161</c:v>
              </c:pt>
              <c:pt idx="16">
                <c:v>-3.4406035633560976</c:v>
              </c:pt>
              <c:pt idx="17">
                <c:v>-3.4111835808515791</c:v>
              </c:pt>
              <c:pt idx="18">
                <c:v>-3.3797243325935047</c:v>
              </c:pt>
              <c:pt idx="19">
                <c:v>-3.3461143621710736</c:v>
              </c:pt>
              <c:pt idx="20">
                <c:v>-3.3102371536754234</c:v>
              </c:pt>
              <c:pt idx="21">
                <c:v>-3.2719710627580656</c:v>
              </c:pt>
              <c:pt idx="22">
                <c:v>-3.2311892749519693</c:v>
              </c:pt>
              <c:pt idx="23">
                <c:v>-3.1877597963437578</c:v>
              </c:pt>
              <c:pt idx="24">
                <c:v>-3.1415454822086812</c:v>
              </c:pt>
              <c:pt idx="25">
                <c:v>-3.0924041097491268</c:v>
              </c:pt>
              <c:pt idx="26">
                <c:v>-3.0401885016002286</c:v>
              </c:pt>
              <c:pt idx="27">
                <c:v>-2.9847467072668263</c:v>
              </c:pt>
              <c:pt idx="28">
                <c:v>-2.9259222501155961</c:v>
              </c:pt>
              <c:pt idx="29">
                <c:v>-2.8635544479409476</c:v>
              </c:pt>
              <c:pt idx="30">
                <c:v>-2.7974788154258228</c:v>
              </c:pt>
              <c:pt idx="31">
                <c:v>-2.7275275569962796</c:v>
              </c:pt>
              <c:pt idx="32">
                <c:v>-2.6535301585852245</c:v>
              </c:pt>
              <c:pt idx="33">
                <c:v>-2.575314086634803</c:v>
              </c:pt>
              <c:pt idx="34">
                <c:v>-2.4927056022343019</c:v>
              </c:pt>
              <c:pt idx="35">
                <c:v>-2.4055306975638757</c:v>
              </c:pt>
              <c:pt idx="36">
                <c:v>-2.313616160746133</c:v>
              </c:pt>
              <c:pt idx="37">
                <c:v>-2.216790773750446</c:v>
              </c:pt>
              <c:pt idx="38">
                <c:v>-2.1148866461057976</c:v>
              </c:pt>
              <c:pt idx="39">
                <c:v>-2.0077406848213544</c:v>
              </c:pt>
              <c:pt idx="40">
                <c:v>-1.8951961980647147</c:v>
              </c:pt>
              <c:pt idx="41">
                <c:v>-1.7771046267974688</c:v>
              </c:pt>
              <c:pt idx="42">
                <c:v>-1.6533273947279199</c:v>
              </c:pt>
              <c:pt idx="43">
                <c:v>-1.5237378626491505</c:v>
              </c:pt>
              <c:pt idx="44">
                <c:v>-1.388223368555124</c:v>
              </c:pt>
              <c:pt idx="45">
                <c:v>-1.2466873299709398</c:v>
              </c:pt>
              <c:pt idx="46">
                <c:v>-1.0990513798353114</c:v>
              </c:pt>
              <c:pt idx="47">
                <c:v>-0.94525750221214544</c:v>
              </c:pt>
              <c:pt idx="48">
                <c:v>-0.78527012929796181</c:v>
              </c:pt>
              <c:pt idx="49">
                <c:v>-0.61907815687851919</c:v>
              </c:pt>
              <c:pt idx="50">
                <c:v>-0.44669683184065456</c:v>
              </c:pt>
              <c:pt idx="51">
                <c:v>-0.26816946284299165</c:v>
              </c:pt>
              <c:pt idx="52">
                <c:v>-8.3568904066706209E-2</c:v>
              </c:pt>
              <c:pt idx="53">
                <c:v>0.10700123764518008</c:v>
              </c:pt>
              <c:pt idx="54">
                <c:v>0.30340571978893238</c:v>
              </c:pt>
              <c:pt idx="55">
                <c:v>0.5054771487943629</c:v>
              </c:pt>
            </c:numLit>
          </c:xVal>
          <c:yVal>
            <c:numLit>
              <c:formatCode>General</c:formatCode>
              <c:ptCount val="56"/>
              <c:pt idx="0">
                <c:v>2.0930000000000001E-2</c:v>
              </c:pt>
              <c:pt idx="1">
                <c:v>2.0838150344721491E-2</c:v>
              </c:pt>
              <c:pt idx="2">
                <c:v>2.0742509615122581E-2</c:v>
              </c:pt>
              <c:pt idx="3">
                <c:v>2.0642878308754005E-2</c:v>
              </c:pt>
              <c:pt idx="4">
                <c:v>2.0539046809061261E-2</c:v>
              </c:pt>
              <c:pt idx="5">
                <c:v>2.0430795350641542E-2</c:v>
              </c:pt>
              <c:pt idx="6">
                <c:v>2.0317894135552732E-2</c:v>
              </c:pt>
              <c:pt idx="7">
                <c:v>2.0200103644625281E-2</c:v>
              </c:pt>
              <c:pt idx="8">
                <c:v>2.0077175197246788E-2</c:v>
              </c:pt>
              <c:pt idx="9">
                <c:v>1.9948851824198272E-2</c:v>
              </c:pt>
              <c:pt idx="10">
                <c:v>1.9814869530917118E-2</c:v>
              </c:pt>
              <c:pt idx="11">
                <c:v>1.9674959043059544E-2</c:v>
              </c:pt>
              <c:pt idx="12">
                <c:v>1.9528848142313003E-2</c:v>
              </c:pt>
              <c:pt idx="13">
                <c:v>1.9376264717732728E-2</c:v>
              </c:pt>
              <c:pt idx="14">
                <c:v>1.921694067579767E-2</c:v>
              </c:pt>
              <c:pt idx="15">
                <c:v>1.905061686979987E-2</c:v>
              </c:pt>
              <c:pt idx="16">
                <c:v>1.8964752998040003E-2</c:v>
              </c:pt>
              <c:pt idx="17">
                <c:v>1.8877049224379265E-2</c:v>
              </c:pt>
              <c:pt idx="18">
                <c:v>1.8787478625185268E-2</c:v>
              </c:pt>
              <c:pt idx="19">
                <c:v>1.8696016241449256E-2</c:v>
              </c:pt>
              <c:pt idx="20">
                <c:v>1.8602639402078635E-2</c:v>
              </c:pt>
              <c:pt idx="21">
                <c:v>1.85073280758347E-2</c:v>
              </c:pt>
              <c:pt idx="22">
                <c:v>1.8410065253019303E-2</c:v>
              </c:pt>
              <c:pt idx="23">
                <c:v>1.8310837357796605E-2</c:v>
              </c:pt>
              <c:pt idx="24">
                <c:v>1.820963469175254E-2</c:v>
              </c:pt>
              <c:pt idx="25">
                <c:v>1.8106451908935582E-2</c:v>
              </c:pt>
              <c:pt idx="26">
                <c:v>1.8001288522178398E-2</c:v>
              </c:pt>
              <c:pt idx="27">
                <c:v>1.7894149439960622E-2</c:v>
              </c:pt>
              <c:pt idx="28">
                <c:v>1.7785045532430037E-2</c:v>
              </c:pt>
              <c:pt idx="29">
                <c:v>1.7673994224443108E-2</c:v>
              </c:pt>
              <c:pt idx="30">
                <c:v>1.7561020112610893E-2</c:v>
              </c:pt>
              <c:pt idx="31">
                <c:v>1.7446155602337338E-2</c:v>
              </c:pt>
              <c:pt idx="32">
                <c:v>1.7329441559713527E-2</c:v>
              </c:pt>
              <c:pt idx="33">
                <c:v>1.7210927971887027E-2</c:v>
              </c:pt>
              <c:pt idx="34">
                <c:v>1.7090674608169102E-2</c:v>
              </c:pt>
              <c:pt idx="35">
                <c:v>1.6968751672690126E-2</c:v>
              </c:pt>
              <c:pt idx="36">
                <c:v>1.6845240437890034E-2</c:v>
              </c:pt>
              <c:pt idx="37">
                <c:v>1.6720233846569021E-2</c:v>
              </c:pt>
              <c:pt idx="38">
                <c:v>1.6593837068668817E-2</c:v>
              </c:pt>
              <c:pt idx="39">
                <c:v>1.6466167997462634E-2</c:v>
              </c:pt>
              <c:pt idx="40">
                <c:v>1.6337357668468857E-2</c:v>
              </c:pt>
              <c:pt idx="41">
                <c:v>1.6207550583249328E-2</c:v>
              </c:pt>
              <c:pt idx="42">
                <c:v>1.6076904919395639E-2</c:v>
              </c:pt>
              <c:pt idx="43">
                <c:v>1.5945592607543146E-2</c:v>
              </c:pt>
              <c:pt idx="44">
                <c:v>1.5813799256283002E-2</c:v>
              </c:pt>
              <c:pt idx="45">
                <c:v>1.5681723906468353E-2</c:v>
              </c:pt>
              <c:pt idx="46">
                <c:v>1.5549578597725369E-2</c:v>
              </c:pt>
              <c:pt idx="47">
                <c:v>1.5417587732063727E-2</c:v>
              </c:pt>
              <c:pt idx="48">
                <c:v>1.5285987222392702E-2</c:v>
              </c:pt>
              <c:pt idx="49">
                <c:v>1.5155023417515526E-2</c:v>
              </c:pt>
              <c:pt idx="50">
                <c:v>1.5024951799785189E-2</c:v>
              </c:pt>
              <c:pt idx="51">
                <c:v>1.4896035457000568E-2</c:v>
              </c:pt>
              <c:pt idx="52">
                <c:v>1.4768543336192361E-2</c:v>
              </c:pt>
              <c:pt idx="53">
                <c:v>1.4642748293527812E-2</c:v>
              </c:pt>
              <c:pt idx="54">
                <c:v>1.4518924961431453E-2</c:v>
              </c:pt>
              <c:pt idx="55">
                <c:v>1.439734746090714E-2</c:v>
              </c:pt>
            </c:numLit>
          </c:yVal>
          <c:smooth val="1"/>
          <c:extLst>
            <c:ext xmlns:c16="http://schemas.microsoft.com/office/drawing/2014/chart" uri="{C3380CC4-5D6E-409C-BE32-E72D297353CC}">
              <c16:uniqueId val="{00000049-33ED-42C7-8A6A-F0E309358ADF}"/>
            </c:ext>
          </c:extLst>
        </c:ser>
        <c:ser>
          <c:idx val="66"/>
          <c:order val="66"/>
          <c:spPr>
            <a:ln w="3175">
              <a:solidFill>
                <a:srgbClr val="000000"/>
              </a:solidFill>
              <a:prstDash val="solid"/>
            </a:ln>
          </c:spPr>
          <c:marker>
            <c:symbol val="none"/>
          </c:marker>
          <c:xVal>
            <c:numLit>
              <c:formatCode>General</c:formatCode>
              <c:ptCount val="2"/>
              <c:pt idx="0">
                <c:v>-6.4780000000000006</c:v>
              </c:pt>
              <c:pt idx="1">
                <c:v>-5.878000000000001</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4A-33ED-42C7-8A6A-F0E309358ADF}"/>
            </c:ext>
          </c:extLst>
        </c:ser>
        <c:ser>
          <c:idx val="67"/>
          <c:order val="67"/>
          <c:spPr>
            <a:ln w="3175">
              <a:solidFill>
                <a:srgbClr val="000000"/>
              </a:solidFill>
              <a:prstDash val="solid"/>
            </a:ln>
          </c:spPr>
          <c:marker>
            <c:symbol val="none"/>
          </c:marker>
          <c:xVal>
            <c:numLit>
              <c:formatCode>General</c:formatCode>
              <c:ptCount val="2"/>
              <c:pt idx="0">
                <c:v>-6.4771548667567451</c:v>
              </c:pt>
              <c:pt idx="1">
                <c:v>-6.1771726249136609</c:v>
              </c:pt>
            </c:numLit>
          </c:xVal>
          <c:yVal>
            <c:numLit>
              <c:formatCode>General</c:formatCode>
              <c:ptCount val="2"/>
              <c:pt idx="0">
                <c:v>2.0816221982499338E-2</c:v>
              </c:pt>
              <c:pt idx="1">
                <c:v>2.0818636402393346E-2</c:v>
              </c:pt>
            </c:numLit>
          </c:yVal>
          <c:smooth val="0"/>
          <c:extLst>
            <c:ext xmlns:c16="http://schemas.microsoft.com/office/drawing/2014/chart" uri="{C3380CC4-5D6E-409C-BE32-E72D297353CC}">
              <c16:uniqueId val="{0000004B-33ED-42C7-8A6A-F0E309358ADF}"/>
            </c:ext>
          </c:extLst>
        </c:ser>
        <c:ser>
          <c:idx val="68"/>
          <c:order val="68"/>
          <c:spPr>
            <a:ln w="3175">
              <a:solidFill>
                <a:srgbClr val="000000"/>
              </a:solidFill>
              <a:prstDash val="solid"/>
            </a:ln>
          </c:spPr>
          <c:marker>
            <c:symbol val="none"/>
          </c:marker>
          <c:xVal>
            <c:numLit>
              <c:formatCode>General</c:formatCode>
              <c:ptCount val="2"/>
              <c:pt idx="0">
                <c:v>-6.4744781546020507</c:v>
              </c:pt>
              <c:pt idx="1">
                <c:v>-6.1745521569433741</c:v>
              </c:pt>
            </c:numLit>
          </c:xVal>
          <c:yVal>
            <c:numLit>
              <c:formatCode>General</c:formatCode>
              <c:ptCount val="2"/>
              <c:pt idx="0">
                <c:v>2.0697747630638599E-2</c:v>
              </c:pt>
              <c:pt idx="1">
                <c:v>2.0702676147209751E-2</c:v>
              </c:pt>
            </c:numLit>
          </c:yVal>
          <c:smooth val="0"/>
          <c:extLst>
            <c:ext xmlns:c16="http://schemas.microsoft.com/office/drawing/2014/chart" uri="{C3380CC4-5D6E-409C-BE32-E72D297353CC}">
              <c16:uniqueId val="{0000004C-33ED-42C7-8A6A-F0E309358ADF}"/>
            </c:ext>
          </c:extLst>
        </c:ser>
        <c:ser>
          <c:idx val="69"/>
          <c:order val="69"/>
          <c:spPr>
            <a:ln w="3175">
              <a:solidFill>
                <a:srgbClr val="000000"/>
              </a:solidFill>
              <a:prstDash val="solid"/>
            </a:ln>
          </c:spPr>
          <c:marker>
            <c:symbol val="none"/>
          </c:marker>
          <c:xVal>
            <c:numLit>
              <c:formatCode>General</c:formatCode>
              <c:ptCount val="2"/>
              <c:pt idx="0">
                <c:v>-6.4697392601020702</c:v>
              </c:pt>
              <c:pt idx="1">
                <c:v>-6.169912839625173</c:v>
              </c:pt>
            </c:numLit>
          </c:xVal>
          <c:yVal>
            <c:numLit>
              <c:formatCode>General</c:formatCode>
              <c:ptCount val="2"/>
              <c:pt idx="0">
                <c:v>2.0574329599127333E-2</c:v>
              </c:pt>
              <c:pt idx="1">
                <c:v>2.0581877160896857E-2</c:v>
              </c:pt>
            </c:numLit>
          </c:yVal>
          <c:smooth val="0"/>
          <c:extLst>
            <c:ext xmlns:c16="http://schemas.microsoft.com/office/drawing/2014/chart" uri="{C3380CC4-5D6E-409C-BE32-E72D297353CC}">
              <c16:uniqueId val="{0000004D-33ED-42C7-8A6A-F0E309358ADF}"/>
            </c:ext>
          </c:extLst>
        </c:ser>
        <c:ser>
          <c:idx val="70"/>
          <c:order val="70"/>
          <c:spPr>
            <a:ln w="3175">
              <a:solidFill>
                <a:srgbClr val="000000"/>
              </a:solidFill>
              <a:prstDash val="solid"/>
            </a:ln>
          </c:spPr>
          <c:marker>
            <c:symbol val="none"/>
          </c:marker>
          <c:xVal>
            <c:numLit>
              <c:formatCode>General</c:formatCode>
              <c:ptCount val="2"/>
              <c:pt idx="0">
                <c:v>-6.4626803906648105</c:v>
              </c:pt>
              <c:pt idx="1">
                <c:v>-6.163002300125668</c:v>
              </c:pt>
            </c:numLit>
          </c:xVal>
          <c:yVal>
            <c:numLit>
              <c:formatCode>General</c:formatCode>
              <c:ptCount val="2"/>
              <c:pt idx="0">
                <c:v>2.0445707961793541E-2</c:v>
              </c:pt>
              <c:pt idx="1">
                <c:v>2.0455985061604547E-2</c:v>
              </c:pt>
            </c:numLit>
          </c:yVal>
          <c:smooth val="0"/>
          <c:extLst>
            <c:ext xmlns:c16="http://schemas.microsoft.com/office/drawing/2014/chart" uri="{C3380CC4-5D6E-409C-BE32-E72D297353CC}">
              <c16:uniqueId val="{0000004E-33ED-42C7-8A6A-F0E309358ADF}"/>
            </c:ext>
          </c:extLst>
        </c:ser>
        <c:ser>
          <c:idx val="71"/>
          <c:order val="71"/>
          <c:spPr>
            <a:ln w="3175">
              <a:solidFill>
                <a:srgbClr val="000000"/>
              </a:solidFill>
              <a:prstDash val="solid"/>
            </a:ln>
          </c:spPr>
          <c:marker>
            <c:symbol val="none"/>
          </c:marker>
          <c:xVal>
            <c:numLit>
              <c:formatCode>General</c:formatCode>
              <c:ptCount val="2"/>
              <c:pt idx="0">
                <c:v>-6.4530133649286947</c:v>
              </c:pt>
              <c:pt idx="1">
                <c:v>-5.8540639178741065</c:v>
              </c:pt>
            </c:numLit>
          </c:xVal>
          <c:yVal>
            <c:numLit>
              <c:formatCode>General</c:formatCode>
              <c:ptCount val="2"/>
              <c:pt idx="0">
                <c:v>2.0311610158401223E-2</c:v>
              </c:pt>
              <c:pt idx="1">
                <c:v>2.033786162222339E-2</c:v>
              </c:pt>
            </c:numLit>
          </c:yVal>
          <c:smooth val="0"/>
          <c:extLst>
            <c:ext xmlns:c16="http://schemas.microsoft.com/office/drawing/2014/chart" uri="{C3380CC4-5D6E-409C-BE32-E72D297353CC}">
              <c16:uniqueId val="{0000004F-33ED-42C7-8A6A-F0E309358ADF}"/>
            </c:ext>
          </c:extLst>
        </c:ser>
        <c:ser>
          <c:idx val="72"/>
          <c:order val="72"/>
          <c:spPr>
            <a:ln w="3175">
              <a:solidFill>
                <a:srgbClr val="000000"/>
              </a:solidFill>
              <a:prstDash val="solid"/>
            </a:ln>
          </c:spPr>
          <c:marker>
            <c:symbol val="none"/>
          </c:marker>
          <c:xVal>
            <c:numLit>
              <c:formatCode>General</c:formatCode>
              <c:ptCount val="2"/>
              <c:pt idx="0">
                <c:v>-6.4404160659918741</c:v>
              </c:pt>
              <c:pt idx="1">
                <c:v>-6.1412058508383218</c:v>
              </c:pt>
            </c:numLit>
          </c:xVal>
          <c:yVal>
            <c:numLit>
              <c:formatCode>General</c:formatCode>
              <c:ptCount val="2"/>
              <c:pt idx="0">
                <c:v>2.0171751126828213E-2</c:v>
              </c:pt>
              <c:pt idx="1">
                <c:v>2.0187842331041393E-2</c:v>
              </c:pt>
            </c:numLit>
          </c:yVal>
          <c:smooth val="0"/>
          <c:extLst>
            <c:ext xmlns:c16="http://schemas.microsoft.com/office/drawing/2014/chart" uri="{C3380CC4-5D6E-409C-BE32-E72D297353CC}">
              <c16:uniqueId val="{00000050-33ED-42C7-8A6A-F0E309358ADF}"/>
            </c:ext>
          </c:extLst>
        </c:ser>
        <c:ser>
          <c:idx val="73"/>
          <c:order val="73"/>
          <c:spPr>
            <a:ln w="3175">
              <a:solidFill>
                <a:srgbClr val="000000"/>
              </a:solidFill>
              <a:prstDash val="solid"/>
            </a:ln>
          </c:spPr>
          <c:marker>
            <c:symbol val="none"/>
          </c:marker>
          <c:xVal>
            <c:numLit>
              <c:formatCode>General</c:formatCode>
              <c:ptCount val="2"/>
              <c:pt idx="0">
                <c:v>-6.4245285241259857</c:v>
              </c:pt>
              <c:pt idx="1">
                <c:v>-6.1256522059410843</c:v>
              </c:pt>
            </c:numLit>
          </c:xVal>
          <c:yVal>
            <c:numLit>
              <c:formatCode>General</c:formatCode>
              <c:ptCount val="2"/>
              <c:pt idx="0">
                <c:v>2.0025833674800028E-2</c:v>
              </c:pt>
              <c:pt idx="1">
                <c:v>2.0045021897082967E-2</c:v>
              </c:pt>
            </c:numLit>
          </c:yVal>
          <c:smooth val="0"/>
          <c:extLst>
            <c:ext xmlns:c16="http://schemas.microsoft.com/office/drawing/2014/chart" uri="{C3380CC4-5D6E-409C-BE32-E72D297353CC}">
              <c16:uniqueId val="{00000051-33ED-42C7-8A6A-F0E309358ADF}"/>
            </c:ext>
          </c:extLst>
        </c:ser>
        <c:ser>
          <c:idx val="74"/>
          <c:order val="74"/>
          <c:spPr>
            <a:ln w="3175">
              <a:solidFill>
                <a:srgbClr val="000000"/>
              </a:solidFill>
              <a:prstDash val="solid"/>
            </a:ln>
          </c:spPr>
          <c:marker>
            <c:symbol val="none"/>
          </c:marker>
          <c:xVal>
            <c:numLit>
              <c:formatCode>General</c:formatCode>
              <c:ptCount val="2"/>
              <c:pt idx="0">
                <c:v>-6.4049486097896127</c:v>
              </c:pt>
              <c:pt idx="1">
                <c:v>-6.1064838193638336</c:v>
              </c:pt>
            </c:numLit>
          </c:xVal>
          <c:yVal>
            <c:numLit>
              <c:formatCode>General</c:formatCode>
              <c:ptCount val="2"/>
              <c:pt idx="0">
                <c:v>1.9873549157153957E-2</c:v>
              </c:pt>
              <c:pt idx="1">
                <c:v>1.9895969774747002E-2</c:v>
              </c:pt>
            </c:numLit>
          </c:yVal>
          <c:smooth val="0"/>
          <c:extLst>
            <c:ext xmlns:c16="http://schemas.microsoft.com/office/drawing/2014/chart" uri="{C3380CC4-5D6E-409C-BE32-E72D297353CC}">
              <c16:uniqueId val="{00000052-33ED-42C7-8A6A-F0E309358ADF}"/>
            </c:ext>
          </c:extLst>
        </c:ser>
        <c:ser>
          <c:idx val="75"/>
          <c:order val="75"/>
          <c:spPr>
            <a:ln w="3175">
              <a:solidFill>
                <a:srgbClr val="000000"/>
              </a:solidFill>
              <a:prstDash val="solid"/>
            </a:ln>
          </c:spPr>
          <c:marker>
            <c:symbol val="none"/>
          </c:marker>
          <c:xVal>
            <c:numLit>
              <c:formatCode>General</c:formatCode>
              <c:ptCount val="2"/>
              <c:pt idx="0">
                <c:v>-6.3812273246822127</c:v>
              </c:pt>
              <c:pt idx="1">
                <c:v>-6.0832611503332013</c:v>
              </c:pt>
            </c:numLit>
          </c:xVal>
          <c:yVal>
            <c:numLit>
              <c:formatCode>General</c:formatCode>
              <c:ptCount val="2"/>
              <c:pt idx="0">
                <c:v>1.9714578538365699E-2</c:v>
              </c:pt>
              <c:pt idx="1">
                <c:v>1.9740373775798421E-2</c:v>
              </c:pt>
            </c:numLit>
          </c:yVal>
          <c:smooth val="0"/>
          <c:extLst>
            <c:ext xmlns:c16="http://schemas.microsoft.com/office/drawing/2014/chart" uri="{C3380CC4-5D6E-409C-BE32-E72D297353CC}">
              <c16:uniqueId val="{00000053-33ED-42C7-8A6A-F0E309358ADF}"/>
            </c:ext>
          </c:extLst>
        </c:ser>
        <c:ser>
          <c:idx val="76"/>
          <c:order val="76"/>
          <c:spPr>
            <a:ln w="3175">
              <a:solidFill>
                <a:srgbClr val="000000"/>
              </a:solidFill>
              <a:prstDash val="solid"/>
            </a:ln>
          </c:spPr>
          <c:marker>
            <c:symbol val="none"/>
          </c:marker>
          <c:xVal>
            <c:numLit>
              <c:formatCode>General</c:formatCode>
              <c:ptCount val="2"/>
              <c:pt idx="0">
                <c:v>-6.3528636892133203</c:v>
              </c:pt>
              <c:pt idx="1">
                <c:v>-5.7581260856691445</c:v>
              </c:pt>
            </c:numLit>
          </c:xVal>
          <c:yVal>
            <c:numLit>
              <c:formatCode>General</c:formatCode>
              <c:ptCount val="2"/>
              <c:pt idx="0">
                <c:v>1.9548593935935225E-2</c:v>
              </c:pt>
              <c:pt idx="1">
                <c:v>1.9607244455322151E-2</c:v>
              </c:pt>
            </c:numLit>
          </c:yVal>
          <c:smooth val="0"/>
          <c:extLst>
            <c:ext xmlns:c16="http://schemas.microsoft.com/office/drawing/2014/chart" uri="{C3380CC4-5D6E-409C-BE32-E72D297353CC}">
              <c16:uniqueId val="{00000054-33ED-42C7-8A6A-F0E309358ADF}"/>
            </c:ext>
          </c:extLst>
        </c:ser>
        <c:ser>
          <c:idx val="77"/>
          <c:order val="77"/>
          <c:spPr>
            <a:ln w="3175">
              <a:solidFill>
                <a:srgbClr val="000000"/>
              </a:solidFill>
              <a:prstDash val="solid"/>
            </a:ln>
          </c:spPr>
          <c:marker>
            <c:symbol val="none"/>
          </c:marker>
          <c:xVal>
            <c:numLit>
              <c:formatCode>General</c:formatCode>
              <c:ptCount val="2"/>
              <c:pt idx="0">
                <c:v>-6.3192992403036552</c:v>
              </c:pt>
              <c:pt idx="1">
                <c:v>-6.0226350152140311</c:v>
              </c:pt>
            </c:numLit>
          </c:xVal>
          <c:yVal>
            <c:numLit>
              <c:formatCode>General</c:formatCode>
              <c:ptCount val="2"/>
              <c:pt idx="0">
                <c:v>1.9375260758225134E-2</c:v>
              </c:pt>
              <c:pt idx="1">
                <c:v>1.94082602718086E-2</c:v>
              </c:pt>
            </c:numLit>
          </c:yVal>
          <c:smooth val="0"/>
          <c:extLst>
            <c:ext xmlns:c16="http://schemas.microsoft.com/office/drawing/2014/chart" uri="{C3380CC4-5D6E-409C-BE32-E72D297353CC}">
              <c16:uniqueId val="{00000055-33ED-42C7-8A6A-F0E309358ADF}"/>
            </c:ext>
          </c:extLst>
        </c:ser>
        <c:ser>
          <c:idx val="78"/>
          <c:order val="78"/>
          <c:spPr>
            <a:ln w="3175">
              <a:solidFill>
                <a:srgbClr val="000000"/>
              </a:solidFill>
              <a:prstDash val="solid"/>
            </a:ln>
          </c:spPr>
          <c:marker>
            <c:symbol val="none"/>
          </c:marker>
          <c:xVal>
            <c:numLit>
              <c:formatCode>General</c:formatCode>
              <c:ptCount val="2"/>
              <c:pt idx="0">
                <c:v>-6.2799121753649985</c:v>
              </c:pt>
              <c:pt idx="1">
                <c:v>-5.9840761830536753</c:v>
              </c:pt>
            </c:numLit>
          </c:xVal>
          <c:yVal>
            <c:numLit>
              <c:formatCode>General</c:formatCode>
              <c:ptCount val="2"/>
              <c:pt idx="0">
                <c:v>1.9194240570334139E-2</c:v>
              </c:pt>
              <c:pt idx="1">
                <c:v>1.9231084265235985E-2</c:v>
              </c:pt>
            </c:numLit>
          </c:yVal>
          <c:smooth val="0"/>
          <c:extLst>
            <c:ext xmlns:c16="http://schemas.microsoft.com/office/drawing/2014/chart" uri="{C3380CC4-5D6E-409C-BE32-E72D297353CC}">
              <c16:uniqueId val="{00000056-33ED-42C7-8A6A-F0E309358ADF}"/>
            </c:ext>
          </c:extLst>
        </c:ser>
        <c:ser>
          <c:idx val="79"/>
          <c:order val="79"/>
          <c:spPr>
            <a:ln w="3175">
              <a:solidFill>
                <a:srgbClr val="000000"/>
              </a:solidFill>
              <a:prstDash val="solid"/>
            </a:ln>
          </c:spPr>
          <c:marker>
            <c:symbol val="none"/>
          </c:marker>
          <c:xVal>
            <c:numLit>
              <c:formatCode>General</c:formatCode>
              <c:ptCount val="2"/>
              <c:pt idx="0">
                <c:v>-6.2340112084088908</c:v>
              </c:pt>
              <c:pt idx="1">
                <c:v>-5.9391405956743277</c:v>
              </c:pt>
            </c:numLit>
          </c:xVal>
          <c:yVal>
            <c:numLit>
              <c:formatCode>General</c:formatCode>
              <c:ptCount val="2"/>
              <c:pt idx="0">
                <c:v>1.900519484317249E-2</c:v>
              </c:pt>
              <c:pt idx="1">
                <c:v>1.9046053859856433E-2</c:v>
              </c:pt>
            </c:numLit>
          </c:yVal>
          <c:smooth val="0"/>
          <c:extLst>
            <c:ext xmlns:c16="http://schemas.microsoft.com/office/drawing/2014/chart" uri="{C3380CC4-5D6E-409C-BE32-E72D297353CC}">
              <c16:uniqueId val="{00000057-33ED-42C7-8A6A-F0E309358ADF}"/>
            </c:ext>
          </c:extLst>
        </c:ser>
        <c:ser>
          <c:idx val="80"/>
          <c:order val="80"/>
          <c:spPr>
            <a:ln w="3175">
              <a:solidFill>
                <a:srgbClr val="000000"/>
              </a:solidFill>
              <a:prstDash val="solid"/>
            </a:ln>
          </c:spPr>
          <c:marker>
            <c:symbol val="none"/>
          </c:marker>
          <c:xVal>
            <c:numLit>
              <c:formatCode>General</c:formatCode>
              <c:ptCount val="2"/>
              <c:pt idx="0">
                <c:v>-6.1808292446003525</c:v>
              </c:pt>
              <c:pt idx="1">
                <c:v>-5.8870773748687428</c:v>
              </c:pt>
            </c:numLit>
          </c:xVal>
          <c:yVal>
            <c:numLit>
              <c:formatCode>General</c:formatCode>
              <c:ptCount val="2"/>
              <c:pt idx="0">
                <c:v>1.8807789763299193E-2</c:v>
              </c:pt>
              <c:pt idx="1">
                <c:v>1.885284251062827E-2</c:v>
              </c:pt>
            </c:numLit>
          </c:yVal>
          <c:smooth val="0"/>
          <c:extLst>
            <c:ext xmlns:c16="http://schemas.microsoft.com/office/drawing/2014/chart" uri="{C3380CC4-5D6E-409C-BE32-E72D297353CC}">
              <c16:uniqueId val="{00000058-33ED-42C7-8A6A-F0E309358ADF}"/>
            </c:ext>
          </c:extLst>
        </c:ser>
        <c:ser>
          <c:idx val="81"/>
          <c:order val="81"/>
          <c:spPr>
            <a:ln w="3175">
              <a:solidFill>
                <a:srgbClr val="000000"/>
              </a:solidFill>
              <a:prstDash val="solid"/>
            </a:ln>
          </c:spPr>
          <c:marker>
            <c:symbol val="none"/>
          </c:marker>
          <c:xVal>
            <c:numLit>
              <c:formatCode>General</c:formatCode>
              <c:ptCount val="2"/>
              <c:pt idx="0">
                <c:v>-6.1195170325550308</c:v>
              </c:pt>
              <c:pt idx="1">
                <c:v>-5.534599652818355</c:v>
              </c:pt>
            </c:numLit>
          </c:xVal>
          <c:yVal>
            <c:numLit>
              <c:formatCode>General</c:formatCode>
              <c:ptCount val="2"/>
              <c:pt idx="0">
                <c:v>1.86017023029456E-2</c:v>
              </c:pt>
              <c:pt idx="1">
                <c:v>1.8700586194654339E-2</c:v>
              </c:pt>
            </c:numLit>
          </c:yVal>
          <c:smooth val="0"/>
          <c:extLst>
            <c:ext xmlns:c16="http://schemas.microsoft.com/office/drawing/2014/chart" uri="{C3380CC4-5D6E-409C-BE32-E72D297353CC}">
              <c16:uniqueId val="{00000059-33ED-42C7-8A6A-F0E309358ADF}"/>
            </c:ext>
          </c:extLst>
        </c:ser>
        <c:ser>
          <c:idx val="82"/>
          <c:order val="82"/>
          <c:spPr>
            <a:ln w="3175">
              <a:solidFill>
                <a:srgbClr val="000000"/>
              </a:solidFill>
              <a:prstDash val="solid"/>
            </a:ln>
          </c:spPr>
          <c:marker>
            <c:symbol val="none"/>
          </c:marker>
          <c:xVal>
            <c:numLit>
              <c:formatCode>General</c:formatCode>
              <c:ptCount val="2"/>
              <c:pt idx="0">
                <c:v>-6.085522707107951</c:v>
              </c:pt>
              <c:pt idx="1">
                <c:v>-5.7937763361296684</c:v>
              </c:pt>
            </c:numLit>
          </c:xVal>
          <c:yVal>
            <c:numLit>
              <c:formatCode>General</c:formatCode>
              <c:ptCount val="2"/>
              <c:pt idx="0">
                <c:v>1.8495306506800622E-2</c:v>
              </c:pt>
              <c:pt idx="1">
                <c:v>1.8546999744218709E-2</c:v>
              </c:pt>
            </c:numLit>
          </c:yVal>
          <c:smooth val="0"/>
          <c:extLst>
            <c:ext xmlns:c16="http://schemas.microsoft.com/office/drawing/2014/chart" uri="{C3380CC4-5D6E-409C-BE32-E72D297353CC}">
              <c16:uniqueId val="{0000005A-33ED-42C7-8A6A-F0E309358ADF}"/>
            </c:ext>
          </c:extLst>
        </c:ser>
        <c:ser>
          <c:idx val="83"/>
          <c:order val="83"/>
          <c:spPr>
            <a:ln w="3175">
              <a:solidFill>
                <a:srgbClr val="000000"/>
              </a:solidFill>
              <a:prstDash val="solid"/>
            </a:ln>
          </c:spPr>
          <c:marker>
            <c:symbol val="none"/>
          </c:marker>
          <c:xVal>
            <c:numLit>
              <c:formatCode>General</c:formatCode>
              <c:ptCount val="2"/>
              <c:pt idx="0">
                <c:v>-6.0491370217777725</c:v>
              </c:pt>
              <c:pt idx="1">
                <c:v>-5.7581565088975415</c:v>
              </c:pt>
            </c:numLit>
          </c:xVal>
          <c:yVal>
            <c:numLit>
              <c:formatCode>General</c:formatCode>
              <c:ptCount val="2"/>
              <c:pt idx="0">
                <c:v>1.8386627768883546E-2</c:v>
              </c:pt>
              <c:pt idx="1">
                <c:v>1.8440631137357402E-2</c:v>
              </c:pt>
            </c:numLit>
          </c:yVal>
          <c:smooth val="0"/>
          <c:extLst>
            <c:ext xmlns:c16="http://schemas.microsoft.com/office/drawing/2014/chart" uri="{C3380CC4-5D6E-409C-BE32-E72D297353CC}">
              <c16:uniqueId val="{0000005B-33ED-42C7-8A6A-F0E309358ADF}"/>
            </c:ext>
          </c:extLst>
        </c:ser>
        <c:ser>
          <c:idx val="84"/>
          <c:order val="84"/>
          <c:spPr>
            <a:ln w="3175">
              <a:solidFill>
                <a:srgbClr val="000000"/>
              </a:solidFill>
              <a:prstDash val="solid"/>
            </a:ln>
          </c:spPr>
          <c:marker>
            <c:symbol val="none"/>
          </c:marker>
          <c:xVal>
            <c:numLit>
              <c:formatCode>General</c:formatCode>
              <c:ptCount val="2"/>
              <c:pt idx="0">
                <c:v>-6.0102280619194612</c:v>
              </c:pt>
              <c:pt idx="1">
                <c:v>-5.7200666445882398</c:v>
              </c:pt>
            </c:numLit>
          </c:xVal>
          <c:yVal>
            <c:numLit>
              <c:formatCode>General</c:formatCode>
              <c:ptCount val="2"/>
              <c:pt idx="0">
                <c:v>1.8275632385817388E-2</c:v>
              </c:pt>
              <c:pt idx="1">
                <c:v>1.8331995490505258E-2</c:v>
              </c:pt>
            </c:numLit>
          </c:yVal>
          <c:smooth val="0"/>
          <c:extLst>
            <c:ext xmlns:c16="http://schemas.microsoft.com/office/drawing/2014/chart" uri="{C3380CC4-5D6E-409C-BE32-E72D297353CC}">
              <c16:uniqueId val="{0000005C-33ED-42C7-8A6A-F0E309358ADF}"/>
            </c:ext>
          </c:extLst>
        </c:ser>
        <c:ser>
          <c:idx val="85"/>
          <c:order val="85"/>
          <c:spPr>
            <a:ln w="3175">
              <a:solidFill>
                <a:srgbClr val="000000"/>
              </a:solidFill>
              <a:prstDash val="solid"/>
            </a:ln>
          </c:spPr>
          <c:marker>
            <c:symbol val="none"/>
          </c:marker>
          <c:xVal>
            <c:numLit>
              <c:formatCode>General</c:formatCode>
              <c:ptCount val="2"/>
              <c:pt idx="0">
                <c:v>-5.9686577382838752</c:v>
              </c:pt>
              <c:pt idx="1">
                <c:v>-5.6793715867435788</c:v>
              </c:pt>
            </c:numLit>
          </c:xVal>
          <c:yVal>
            <c:numLit>
              <c:formatCode>General</c:formatCode>
              <c:ptCount val="2"/>
              <c:pt idx="0">
                <c:v>1.8162289062279902E-2</c:v>
              </c:pt>
              <c:pt idx="1">
                <c:v>1.8221062213132893E-2</c:v>
              </c:pt>
            </c:numLit>
          </c:yVal>
          <c:smooth val="0"/>
          <c:extLst>
            <c:ext xmlns:c16="http://schemas.microsoft.com/office/drawing/2014/chart" uri="{C3380CC4-5D6E-409C-BE32-E72D297353CC}">
              <c16:uniqueId val="{0000005D-33ED-42C7-8A6A-F0E309358ADF}"/>
            </c:ext>
          </c:extLst>
        </c:ser>
        <c:ser>
          <c:idx val="86"/>
          <c:order val="86"/>
          <c:spPr>
            <a:ln w="3175">
              <a:solidFill>
                <a:srgbClr val="000000"/>
              </a:solidFill>
              <a:prstDash val="solid"/>
            </a:ln>
          </c:spPr>
          <c:marker>
            <c:symbol val="none"/>
          </c:marker>
          <c:xVal>
            <c:numLit>
              <c:formatCode>General</c:formatCode>
              <c:ptCount val="2"/>
              <c:pt idx="0">
                <c:v>-5.9242816702136096</c:v>
              </c:pt>
              <c:pt idx="1">
                <c:v>-5.3475877573340735</c:v>
              </c:pt>
            </c:numLit>
          </c:xVal>
          <c:yVal>
            <c:numLit>
              <c:formatCode>General</c:formatCode>
              <c:ptCount val="2"/>
              <c:pt idx="0">
                <c:v>1.8046569310441331E-2</c:v>
              </c:pt>
              <c:pt idx="1">
                <c:v>1.8169061664199238E-2</c:v>
              </c:pt>
            </c:numLit>
          </c:yVal>
          <c:smooth val="0"/>
          <c:extLst>
            <c:ext xmlns:c16="http://schemas.microsoft.com/office/drawing/2014/chart" uri="{C3380CC4-5D6E-409C-BE32-E72D297353CC}">
              <c16:uniqueId val="{0000005E-33ED-42C7-8A6A-F0E309358ADF}"/>
            </c:ext>
          </c:extLst>
        </c:ser>
        <c:ser>
          <c:idx val="87"/>
          <c:order val="87"/>
          <c:spPr>
            <a:ln w="3175">
              <a:solidFill>
                <a:srgbClr val="000000"/>
              </a:solidFill>
              <a:prstDash val="solid"/>
            </a:ln>
          </c:spPr>
          <c:marker>
            <c:symbol val="none"/>
          </c:marker>
          <c:xVal>
            <c:numLit>
              <c:formatCode>General</c:formatCode>
              <c:ptCount val="2"/>
              <c:pt idx="0">
                <c:v>-5.8769490965930213</c:v>
              </c:pt>
              <c:pt idx="1">
                <c:v>-5.5895944012428798</c:v>
              </c:pt>
            </c:numLit>
          </c:xVal>
          <c:yVal>
            <c:numLit>
              <c:formatCode>General</c:formatCode>
              <c:ptCount val="2"/>
              <c:pt idx="0">
                <c:v>1.7928447884993152E-2</c:v>
              </c:pt>
              <c:pt idx="1">
                <c:v>1.7992194584566659E-2</c:v>
              </c:pt>
            </c:numLit>
          </c:yVal>
          <c:smooth val="0"/>
          <c:extLst>
            <c:ext xmlns:c16="http://schemas.microsoft.com/office/drawing/2014/chart" uri="{C3380CC4-5D6E-409C-BE32-E72D297353CC}">
              <c16:uniqueId val="{0000005F-33ED-42C7-8A6A-F0E309358ADF}"/>
            </c:ext>
          </c:extLst>
        </c:ser>
        <c:ser>
          <c:idx val="88"/>
          <c:order val="88"/>
          <c:spPr>
            <a:ln w="3175">
              <a:solidFill>
                <a:srgbClr val="000000"/>
              </a:solidFill>
              <a:prstDash val="solid"/>
            </a:ln>
          </c:spPr>
          <c:marker>
            <c:symbol val="none"/>
          </c:marker>
          <c:xVal>
            <c:numLit>
              <c:formatCode>General</c:formatCode>
              <c:ptCount val="2"/>
              <c:pt idx="0">
                <c:v>-5.8265028202105924</c:v>
              </c:pt>
              <c:pt idx="1">
                <c:v>-5.5402108697385151</c:v>
              </c:pt>
            </c:numLit>
          </c:xVal>
          <c:yVal>
            <c:numLit>
              <c:formatCode>General</c:formatCode>
              <c:ptCount val="2"/>
              <c:pt idx="0">
                <c:v>1.780790325517077E-2</c:v>
              </c:pt>
              <c:pt idx="1">
                <c:v>1.7874214546059516E-2</c:v>
              </c:pt>
            </c:numLit>
          </c:yVal>
          <c:smooth val="0"/>
          <c:extLst>
            <c:ext xmlns:c16="http://schemas.microsoft.com/office/drawing/2014/chart" uri="{C3380CC4-5D6E-409C-BE32-E72D297353CC}">
              <c16:uniqueId val="{00000060-33ED-42C7-8A6A-F0E309358ADF}"/>
            </c:ext>
          </c:extLst>
        </c:ser>
        <c:ser>
          <c:idx val="89"/>
          <c:order val="89"/>
          <c:spPr>
            <a:ln w="3175">
              <a:solidFill>
                <a:srgbClr val="000000"/>
              </a:solidFill>
              <a:prstDash val="solid"/>
            </a:ln>
          </c:spPr>
          <c:marker>
            <c:symbol val="none"/>
          </c:marker>
          <c:xVal>
            <c:numLit>
              <c:formatCode>General</c:formatCode>
              <c:ptCount val="2"/>
              <c:pt idx="0">
                <c:v>-5.7727791918245215</c:v>
              </c:pt>
              <c:pt idx="1">
                <c:v>-5.4876192678528364</c:v>
              </c:pt>
            </c:numLit>
          </c:xVal>
          <c:yVal>
            <c:numLit>
              <c:formatCode>General</c:formatCode>
              <c:ptCount val="2"/>
              <c:pt idx="0">
                <c:v>1.7684918114909066E-2</c:v>
              </c:pt>
              <c:pt idx="1">
                <c:v>1.7753846463893632E-2</c:v>
              </c:pt>
            </c:numLit>
          </c:yVal>
          <c:smooth val="0"/>
          <c:extLst>
            <c:ext xmlns:c16="http://schemas.microsoft.com/office/drawing/2014/chart" uri="{C3380CC4-5D6E-409C-BE32-E72D297353CC}">
              <c16:uniqueId val="{00000061-33ED-42C7-8A6A-F0E309358ADF}"/>
            </c:ext>
          </c:extLst>
        </c:ser>
        <c:ser>
          <c:idx val="90"/>
          <c:order val="90"/>
          <c:spPr>
            <a:ln w="3175">
              <a:solidFill>
                <a:srgbClr val="000000"/>
              </a:solidFill>
              <a:prstDash val="solid"/>
            </a:ln>
          </c:spPr>
          <c:marker>
            <c:symbol val="none"/>
          </c:marker>
          <c:xVal>
            <c:numLit>
              <c:formatCode>General</c:formatCode>
              <c:ptCount val="2"/>
              <c:pt idx="0">
                <c:v>-5.7156081408752861</c:v>
              </c:pt>
              <c:pt idx="1">
                <c:v>-5.4316531537037873</c:v>
              </c:pt>
            </c:numLit>
          </c:xVal>
          <c:yVal>
            <c:numLit>
              <c:formatCode>General</c:formatCode>
              <c:ptCount val="2"/>
              <c:pt idx="0">
                <c:v>1.7559479931924228E-2</c:v>
              </c:pt>
              <c:pt idx="1">
                <c:v>1.7631078127631022E-2</c:v>
              </c:pt>
            </c:numLit>
          </c:yVal>
          <c:smooth val="0"/>
          <c:extLst>
            <c:ext xmlns:c16="http://schemas.microsoft.com/office/drawing/2014/chart" uri="{C3380CC4-5D6E-409C-BE32-E72D297353CC}">
              <c16:uniqueId val="{00000062-33ED-42C7-8A6A-F0E309358ADF}"/>
            </c:ext>
          </c:extLst>
        </c:ser>
        <c:ser>
          <c:idx val="91"/>
          <c:order val="91"/>
          <c:spPr>
            <a:ln w="3175">
              <a:solidFill>
                <a:srgbClr val="000000"/>
              </a:solidFill>
              <a:prstDash val="solid"/>
            </a:ln>
          </c:spPr>
          <c:marker>
            <c:symbol val="none"/>
          </c:marker>
          <c:xVal>
            <c:numLit>
              <c:formatCode>General</c:formatCode>
              <c:ptCount val="2"/>
              <c:pt idx="0">
                <c:v>-5.6548132604507</c:v>
              </c:pt>
              <c:pt idx="1">
                <c:v>-5.0894800551960175</c:v>
              </c:pt>
            </c:numLit>
          </c:xVal>
          <c:yVal>
            <c:numLit>
              <c:formatCode>General</c:formatCode>
              <c:ptCount val="2"/>
              <c:pt idx="0">
                <c:v>1.7431581536076757E-2</c:v>
              </c:pt>
              <c:pt idx="1">
                <c:v>1.7580251649321022E-2</c:v>
              </c:pt>
            </c:numLit>
          </c:yVal>
          <c:smooth val="0"/>
          <c:extLst>
            <c:ext xmlns:c16="http://schemas.microsoft.com/office/drawing/2014/chart" uri="{C3380CC4-5D6E-409C-BE32-E72D297353CC}">
              <c16:uniqueId val="{00000063-33ED-42C7-8A6A-F0E309358ADF}"/>
            </c:ext>
          </c:extLst>
        </c:ser>
        <c:ser>
          <c:idx val="92"/>
          <c:order val="92"/>
          <c:spPr>
            <a:ln w="3175">
              <a:solidFill>
                <a:srgbClr val="000000"/>
              </a:solidFill>
              <a:prstDash val="solid"/>
            </a:ln>
          </c:spPr>
          <c:marker>
            <c:symbol val="none"/>
          </c:marker>
          <c:xVal>
            <c:numLit>
              <c:formatCode>General</c:formatCode>
              <c:ptCount val="2"/>
              <c:pt idx="0">
                <c:v>-5.5902119547643538</c:v>
              </c:pt>
              <c:pt idx="1">
                <c:v>-5.3089007812936524</c:v>
              </c:pt>
            </c:numLit>
          </c:xVal>
          <c:yVal>
            <c:numLit>
              <c:formatCode>General</c:formatCode>
              <c:ptCount val="2"/>
              <c:pt idx="0">
                <c:v>1.730122174682644E-2</c:v>
              </c:pt>
              <c:pt idx="1">
                <c:v>1.7378318722868574E-2</c:v>
              </c:pt>
            </c:numLit>
          </c:yVal>
          <c:smooth val="0"/>
          <c:extLst>
            <c:ext xmlns:c16="http://schemas.microsoft.com/office/drawing/2014/chart" uri="{C3380CC4-5D6E-409C-BE32-E72D297353CC}">
              <c16:uniqueId val="{00000064-33ED-42C7-8A6A-F0E309358ADF}"/>
            </c:ext>
          </c:extLst>
        </c:ser>
        <c:ser>
          <c:idx val="93"/>
          <c:order val="93"/>
          <c:spPr>
            <a:ln w="3175">
              <a:solidFill>
                <a:srgbClr val="000000"/>
              </a:solidFill>
              <a:prstDash val="solid"/>
            </a:ln>
          </c:spPr>
          <c:marker>
            <c:symbol val="none"/>
          </c:marker>
          <c:xVal>
            <c:numLit>
              <c:formatCode>General</c:formatCode>
              <c:ptCount val="2"/>
              <c:pt idx="0">
                <c:v>-5.5216156580385984</c:v>
              </c:pt>
              <c:pt idx="1">
                <c:v>-5.2417513042334738</c:v>
              </c:pt>
            </c:numLit>
          </c:xVal>
          <c:yVal>
            <c:numLit>
              <c:formatCode>General</c:formatCode>
              <c:ptCount val="2"/>
              <c:pt idx="0">
                <c:v>1.7168406038928632E-2</c:v>
              </c:pt>
              <c:pt idx="1">
                <c:v>1.7248331985026011E-2</c:v>
              </c:pt>
            </c:numLit>
          </c:yVal>
          <c:smooth val="0"/>
          <c:extLst>
            <c:ext xmlns:c16="http://schemas.microsoft.com/office/drawing/2014/chart" uri="{C3380CC4-5D6E-409C-BE32-E72D297353CC}">
              <c16:uniqueId val="{00000065-33ED-42C7-8A6A-F0E309358ADF}"/>
            </c:ext>
          </c:extLst>
        </c:ser>
        <c:ser>
          <c:idx val="94"/>
          <c:order val="94"/>
          <c:spPr>
            <a:ln w="3175">
              <a:solidFill>
                <a:srgbClr val="000000"/>
              </a:solidFill>
              <a:prstDash val="solid"/>
            </a:ln>
          </c:spPr>
          <c:marker>
            <c:symbol val="none"/>
          </c:marker>
          <c:xVal>
            <c:numLit>
              <c:formatCode>General</c:formatCode>
              <c:ptCount val="2"/>
              <c:pt idx="0">
                <c:v>-5.4488301342643446</c:v>
              </c:pt>
              <c:pt idx="1">
                <c:v>-5.1705013862512814</c:v>
              </c:pt>
            </c:numLit>
          </c:xVal>
          <c:yVal>
            <c:numLit>
              <c:formatCode>General</c:formatCode>
              <c:ptCount val="2"/>
              <c:pt idx="0">
                <c:v>1.7033147244730054E-2</c:v>
              </c:pt>
              <c:pt idx="1">
                <c:v>1.7115954993172641E-2</c:v>
              </c:pt>
            </c:numLit>
          </c:yVal>
          <c:smooth val="0"/>
          <c:extLst>
            <c:ext xmlns:c16="http://schemas.microsoft.com/office/drawing/2014/chart" uri="{C3380CC4-5D6E-409C-BE32-E72D297353CC}">
              <c16:uniqueId val="{00000066-33ED-42C7-8A6A-F0E309358ADF}"/>
            </c:ext>
          </c:extLst>
        </c:ser>
        <c:ser>
          <c:idx val="95"/>
          <c:order val="95"/>
          <c:spPr>
            <a:ln w="3175">
              <a:solidFill>
                <a:srgbClr val="000000"/>
              </a:solidFill>
              <a:prstDash val="solid"/>
            </a:ln>
          </c:spPr>
          <c:marker>
            <c:symbol val="none"/>
          </c:marker>
          <c:xVal>
            <c:numLit>
              <c:formatCode>General</c:formatCode>
              <c:ptCount val="2"/>
              <c:pt idx="0">
                <c:v>-5.3716558678134341</c:v>
              </c:pt>
              <c:pt idx="1">
                <c:v>-5.0949557962763974</c:v>
              </c:pt>
            </c:numLit>
          </c:xVal>
          <c:yVal>
            <c:numLit>
              <c:formatCode>General</c:formatCode>
              <c:ptCount val="2"/>
              <c:pt idx="0">
                <c:v>1.6895466290491552E-2</c:v>
              </c:pt>
              <c:pt idx="1">
                <c:v>1.6981208300576808E-2</c:v>
              </c:pt>
            </c:numLit>
          </c:yVal>
          <c:smooth val="0"/>
          <c:extLst>
            <c:ext xmlns:c16="http://schemas.microsoft.com/office/drawing/2014/chart" uri="{C3380CC4-5D6E-409C-BE32-E72D297353CC}">
              <c16:uniqueId val="{00000067-33ED-42C7-8A6A-F0E309358ADF}"/>
            </c:ext>
          </c:extLst>
        </c:ser>
        <c:ser>
          <c:idx val="96"/>
          <c:order val="96"/>
          <c:spPr>
            <a:ln w="3175">
              <a:solidFill>
                <a:srgbClr val="000000"/>
              </a:solidFill>
              <a:prstDash val="solid"/>
            </a:ln>
          </c:spPr>
          <c:marker>
            <c:symbol val="none"/>
          </c:marker>
          <c:xVal>
            <c:numLit>
              <c:formatCode>General</c:formatCode>
              <c:ptCount val="2"/>
              <c:pt idx="0">
                <c:v>-5.2898885552707755</c:v>
              </c:pt>
              <c:pt idx="1">
                <c:v>-4.7399594524317035</c:v>
              </c:pt>
            </c:numLit>
          </c:xVal>
          <c:yVal>
            <c:numLit>
              <c:formatCode>General</c:formatCode>
              <c:ptCount val="2"/>
              <c:pt idx="0">
                <c:v>1.6755392963085362E-2</c:v>
              </c:pt>
              <c:pt idx="1">
                <c:v>1.6932880948920096E-2</c:v>
              </c:pt>
            </c:numLit>
          </c:yVal>
          <c:smooth val="0"/>
          <c:extLst>
            <c:ext xmlns:c16="http://schemas.microsoft.com/office/drawing/2014/chart" uri="{C3380CC4-5D6E-409C-BE32-E72D297353CC}">
              <c16:uniqueId val="{00000068-33ED-42C7-8A6A-F0E309358ADF}"/>
            </c:ext>
          </c:extLst>
        </c:ser>
        <c:ser>
          <c:idx val="97"/>
          <c:order val="97"/>
          <c:spPr>
            <a:ln w="3175">
              <a:solidFill>
                <a:srgbClr val="000000"/>
              </a:solidFill>
              <a:prstDash val="solid"/>
            </a:ln>
          </c:spPr>
          <c:marker>
            <c:symbol val="none"/>
          </c:marker>
          <c:xVal>
            <c:numLit>
              <c:formatCode>General</c:formatCode>
              <c:ptCount val="2"/>
              <c:pt idx="0">
                <c:v>-5.2033197090931331</c:v>
              </c:pt>
              <c:pt idx="1">
                <c:v>-4.930173878055025</c:v>
              </c:pt>
            </c:numLit>
          </c:xVal>
          <c:yVal>
            <c:numLit>
              <c:formatCode>General</c:formatCode>
              <c:ptCount val="2"/>
              <c:pt idx="0">
                <c:v>1.6612966702180775E-2</c:v>
              </c:pt>
              <c:pt idx="1">
                <c:v>1.6704732176865585E-2</c:v>
              </c:pt>
            </c:numLit>
          </c:yVal>
          <c:smooth val="0"/>
          <c:extLst>
            <c:ext xmlns:c16="http://schemas.microsoft.com/office/drawing/2014/chart" uri="{C3380CC4-5D6E-409C-BE32-E72D297353CC}">
              <c16:uniqueId val="{00000069-33ED-42C7-8A6A-F0E309358ADF}"/>
            </c:ext>
          </c:extLst>
        </c:ser>
        <c:ser>
          <c:idx val="98"/>
          <c:order val="98"/>
          <c:spPr>
            <a:ln w="3175">
              <a:solidFill>
                <a:srgbClr val="000000"/>
              </a:solidFill>
              <a:prstDash val="solid"/>
            </a:ln>
          </c:spPr>
          <c:marker>
            <c:symbol val="none"/>
          </c:marker>
          <c:xVal>
            <c:numLit>
              <c:formatCode>General</c:formatCode>
              <c:ptCount val="2"/>
              <c:pt idx="0">
                <c:v>-5.1117373837437654</c:v>
              </c:pt>
              <c:pt idx="1">
                <c:v>-4.8405261843098577</c:v>
              </c:pt>
            </c:numLit>
          </c:xVal>
          <c:yVal>
            <c:numLit>
              <c:formatCode>General</c:formatCode>
              <c:ptCount val="2"/>
              <c:pt idx="0">
                <c:v>1.6468237411641461E-2</c:v>
              </c:pt>
              <c:pt idx="1">
                <c:v>1.6563090346779514E-2</c:v>
              </c:pt>
            </c:numLit>
          </c:yVal>
          <c:smooth val="0"/>
          <c:extLst>
            <c:ext xmlns:c16="http://schemas.microsoft.com/office/drawing/2014/chart" uri="{C3380CC4-5D6E-409C-BE32-E72D297353CC}">
              <c16:uniqueId val="{0000006A-33ED-42C7-8A6A-F0E309358ADF}"/>
            </c:ext>
          </c:extLst>
        </c:ser>
        <c:ser>
          <c:idx val="99"/>
          <c:order val="99"/>
          <c:spPr>
            <a:ln w="3175">
              <a:solidFill>
                <a:srgbClr val="000000"/>
              </a:solidFill>
              <a:prstDash val="solid"/>
            </a:ln>
          </c:spPr>
          <c:marker>
            <c:symbol val="none"/>
          </c:marker>
          <c:xVal>
            <c:numLit>
              <c:formatCode>General</c:formatCode>
              <c:ptCount val="2"/>
              <c:pt idx="0">
                <c:v>-5.0149270347463339</c:v>
              </c:pt>
              <c:pt idx="1">
                <c:v>-4.7457616406108887</c:v>
              </c:pt>
            </c:numLit>
          </c:xVal>
          <c:yVal>
            <c:numLit>
              <c:formatCode>General</c:formatCode>
              <c:ptCount val="2"/>
              <c:pt idx="0">
                <c:v>1.6321266282315831E-2</c:v>
              </c:pt>
              <c:pt idx="1">
                <c:v>1.6419255616592431E-2</c:v>
              </c:pt>
            </c:numLit>
          </c:yVal>
          <c:smooth val="0"/>
          <c:extLst>
            <c:ext xmlns:c16="http://schemas.microsoft.com/office/drawing/2014/chart" uri="{C3380CC4-5D6E-409C-BE32-E72D297353CC}">
              <c16:uniqueId val="{0000006B-33ED-42C7-8A6A-F0E309358ADF}"/>
            </c:ext>
          </c:extLst>
        </c:ser>
        <c:ser>
          <c:idx val="100"/>
          <c:order val="100"/>
          <c:spPr>
            <a:ln w="3175">
              <a:solidFill>
                <a:srgbClr val="000000"/>
              </a:solidFill>
              <a:prstDash val="solid"/>
            </a:ln>
          </c:spPr>
          <c:marker>
            <c:symbol val="none"/>
          </c:marker>
          <c:xVal>
            <c:numLit>
              <c:formatCode>General</c:formatCode>
              <c:ptCount val="2"/>
              <c:pt idx="0">
                <c:v>-4.9126725205921735</c:v>
              </c:pt>
              <c:pt idx="1">
                <c:v>-4.6456687915541259</c:v>
              </c:pt>
            </c:numLit>
          </c:xVal>
          <c:yVal>
            <c:numLit>
              <c:formatCode>General</c:formatCode>
              <c:ptCount val="2"/>
              <c:pt idx="0">
                <c:v>1.6172126616717374E-2</c:v>
              </c:pt>
              <c:pt idx="1">
                <c:v>1.6273299812841348E-2</c:v>
              </c:pt>
            </c:numLit>
          </c:yVal>
          <c:smooth val="0"/>
          <c:extLst>
            <c:ext xmlns:c16="http://schemas.microsoft.com/office/drawing/2014/chart" uri="{C3380CC4-5D6E-409C-BE32-E72D297353CC}">
              <c16:uniqueId val="{0000006C-33ED-42C7-8A6A-F0E309358ADF}"/>
            </c:ext>
          </c:extLst>
        </c:ser>
        <c:ser>
          <c:idx val="101"/>
          <c:order val="101"/>
          <c:spPr>
            <a:ln w="3175">
              <a:solidFill>
                <a:srgbClr val="000000"/>
              </a:solidFill>
              <a:prstDash val="solid"/>
            </a:ln>
          </c:spPr>
          <c:marker>
            <c:symbol val="none"/>
          </c:marker>
          <c:xVal>
            <c:numLit>
              <c:formatCode>General</c:formatCode>
              <c:ptCount val="2"/>
              <c:pt idx="0">
                <c:v>-4.8047572565634464</c:v>
              </c:pt>
              <c:pt idx="1">
                <c:v>-4.2753392408300135</c:v>
              </c:pt>
            </c:numLit>
          </c:xVal>
          <c:yVal>
            <c:numLit>
              <c:formatCode>General</c:formatCode>
              <c:ptCount val="2"/>
              <c:pt idx="0">
                <c:v>1.602090464428578E-2</c:v>
              </c:pt>
              <c:pt idx="1">
                <c:v>1.6229744658270026E-2</c:v>
              </c:pt>
            </c:numLit>
          </c:yVal>
          <c:smooth val="0"/>
          <c:extLst>
            <c:ext xmlns:c16="http://schemas.microsoft.com/office/drawing/2014/chart" uri="{C3380CC4-5D6E-409C-BE32-E72D297353CC}">
              <c16:uniqueId val="{0000006D-33ED-42C7-8A6A-F0E309358ADF}"/>
            </c:ext>
          </c:extLst>
        </c:ser>
        <c:ser>
          <c:idx val="102"/>
          <c:order val="102"/>
          <c:spPr>
            <a:ln w="3175">
              <a:solidFill>
                <a:srgbClr val="000000"/>
              </a:solidFill>
              <a:prstDash val="solid"/>
            </a:ln>
          </c:spPr>
          <c:marker>
            <c:symbol val="none"/>
          </c:marker>
          <c:xVal>
            <c:numLit>
              <c:formatCode>General</c:formatCode>
              <c:ptCount val="2"/>
              <c:pt idx="0">
                <c:v>-4.6909655282406417</c:v>
              </c:pt>
              <c:pt idx="1">
                <c:v>-4.4286515323763824</c:v>
              </c:pt>
            </c:numLit>
          </c:xVal>
          <c:yVal>
            <c:numLit>
              <c:formatCode>General</c:formatCode>
              <c:ptCount val="2"/>
              <c:pt idx="0">
                <c:v>1.5867700314020336E-2</c:v>
              </c:pt>
              <c:pt idx="1">
                <c:v>1.5975376328465341E-2</c:v>
              </c:pt>
            </c:numLit>
          </c:yVal>
          <c:smooth val="0"/>
          <c:extLst>
            <c:ext xmlns:c16="http://schemas.microsoft.com/office/drawing/2014/chart" uri="{C3380CC4-5D6E-409C-BE32-E72D297353CC}">
              <c16:uniqueId val="{0000006E-33ED-42C7-8A6A-F0E309358ADF}"/>
            </c:ext>
          </c:extLst>
        </c:ser>
        <c:ser>
          <c:idx val="103"/>
          <c:order val="103"/>
          <c:spPr>
            <a:ln w="3175">
              <a:solidFill>
                <a:srgbClr val="000000"/>
              </a:solidFill>
              <a:prstDash val="solid"/>
            </a:ln>
          </c:spPr>
          <c:marker>
            <c:symbol val="none"/>
          </c:marker>
          <c:xVal>
            <c:numLit>
              <c:formatCode>General</c:formatCode>
              <c:ptCount val="2"/>
              <c:pt idx="0">
                <c:v>-4.5710839706874209</c:v>
              </c:pt>
              <c:pt idx="1">
                <c:v>-4.3113074088595988</c:v>
              </c:pt>
            </c:numLit>
          </c:xVal>
          <c:yVal>
            <c:numLit>
              <c:formatCode>General</c:formatCode>
              <c:ptCount val="2"/>
              <c:pt idx="0">
                <c:v>1.5712628049326046E-2</c:v>
              </c:pt>
              <c:pt idx="1">
                <c:v>1.5823618626362695E-2</c:v>
              </c:pt>
            </c:numLit>
          </c:yVal>
          <c:smooth val="0"/>
          <c:extLst>
            <c:ext xmlns:c16="http://schemas.microsoft.com/office/drawing/2014/chart" uri="{C3380CC4-5D6E-409C-BE32-E72D297353CC}">
              <c16:uniqueId val="{0000006F-33ED-42C7-8A6A-F0E309358ADF}"/>
            </c:ext>
          </c:extLst>
        </c:ser>
        <c:ser>
          <c:idx val="104"/>
          <c:order val="104"/>
          <c:spPr>
            <a:ln w="3175">
              <a:solidFill>
                <a:srgbClr val="000000"/>
              </a:solidFill>
              <a:prstDash val="solid"/>
            </a:ln>
          </c:spPr>
          <c:marker>
            <c:symbol val="none"/>
          </c:marker>
          <c:xVal>
            <c:numLit>
              <c:formatCode>General</c:formatCode>
              <c:ptCount val="2"/>
              <c:pt idx="0">
                <c:v>-4.4449032169939464</c:v>
              </c:pt>
              <c:pt idx="1">
                <c:v>-4.1877986154546427</c:v>
              </c:pt>
            </c:numLit>
          </c:xVal>
          <c:yVal>
            <c:numLit>
              <c:formatCode>General</c:formatCode>
              <c:ptCount val="2"/>
              <c:pt idx="0">
                <c:v>1.5555817447964507E-2</c:v>
              </c:pt>
              <c:pt idx="1">
                <c:v>1.5670161229587115E-2</c:v>
              </c:pt>
            </c:numLit>
          </c:yVal>
          <c:smooth val="0"/>
          <c:extLst>
            <c:ext xmlns:c16="http://schemas.microsoft.com/office/drawing/2014/chart" uri="{C3380CC4-5D6E-409C-BE32-E72D297353CC}">
              <c16:uniqueId val="{00000070-33ED-42C7-8A6A-F0E309358ADF}"/>
            </c:ext>
          </c:extLst>
        </c:ser>
        <c:ser>
          <c:idx val="105"/>
          <c:order val="105"/>
          <c:spPr>
            <a:ln w="3175">
              <a:solidFill>
                <a:srgbClr val="000000"/>
              </a:solidFill>
              <a:prstDash val="solid"/>
            </a:ln>
          </c:spPr>
          <c:marker>
            <c:symbol val="none"/>
          </c:marker>
          <c:xVal>
            <c:numLit>
              <c:formatCode>General</c:formatCode>
              <c:ptCount val="2"/>
              <c:pt idx="0">
                <c:v>-4.312219716966025</c:v>
              </c:pt>
              <c:pt idx="1">
                <c:v>-4.0579260852665504</c:v>
              </c:pt>
            </c:numLit>
          </c:xVal>
          <c:yVal>
            <c:numLit>
              <c:formatCode>General</c:formatCode>
              <c:ptCount val="2"/>
              <c:pt idx="0">
                <c:v>1.5397413908124226E-2</c:v>
              </c:pt>
              <c:pt idx="1">
                <c:v>1.5515146520333783E-2</c:v>
              </c:pt>
            </c:numLit>
          </c:yVal>
          <c:smooth val="0"/>
          <c:extLst>
            <c:ext xmlns:c16="http://schemas.microsoft.com/office/drawing/2014/chart" uri="{C3380CC4-5D6E-409C-BE32-E72D297353CC}">
              <c16:uniqueId val="{00000071-33ED-42C7-8A6A-F0E309358ADF}"/>
            </c:ext>
          </c:extLst>
        </c:ser>
        <c:ser>
          <c:idx val="106"/>
          <c:order val="106"/>
          <c:spPr>
            <a:ln w="3175">
              <a:solidFill>
                <a:srgbClr val="000000"/>
              </a:solidFill>
              <a:prstDash val="solid"/>
            </a:ln>
          </c:spPr>
          <c:marker>
            <c:symbol val="none"/>
          </c:marker>
          <c:xVal>
            <c:numLit>
              <c:formatCode>General</c:formatCode>
              <c:ptCount val="2"/>
              <c:pt idx="0">
                <c:v>-4.1728377232389242</c:v>
              </c:pt>
              <c:pt idx="1">
                <c:v>-3.6701909794749938</c:v>
              </c:pt>
            </c:numLit>
          </c:xVal>
          <c:yVal>
            <c:numLit>
              <c:formatCode>General</c:formatCode>
              <c:ptCount val="2"/>
              <c:pt idx="0">
                <c:v>1.5237579159901987E-2</c:v>
              </c:pt>
              <c:pt idx="1">
                <c:v>1.5479922581002253E-2</c:v>
              </c:pt>
            </c:numLit>
          </c:yVal>
          <c:smooth val="0"/>
          <c:extLst>
            <c:ext xmlns:c16="http://schemas.microsoft.com/office/drawing/2014/chart" uri="{C3380CC4-5D6E-409C-BE32-E72D297353CC}">
              <c16:uniqueId val="{00000072-33ED-42C7-8A6A-F0E309358ADF}"/>
            </c:ext>
          </c:extLst>
        </c:ser>
        <c:ser>
          <c:idx val="107"/>
          <c:order val="107"/>
          <c:spPr>
            <a:ln w="3175">
              <a:solidFill>
                <a:srgbClr val="000000"/>
              </a:solidFill>
              <a:prstDash val="solid"/>
            </a:ln>
          </c:spPr>
          <c:marker>
            <c:symbol val="none"/>
          </c:marker>
          <c:xVal>
            <c:numLit>
              <c:formatCode>General</c:formatCode>
              <c:ptCount val="2"/>
              <c:pt idx="0">
                <c:v>-4.026571437958375</c:v>
              </c:pt>
              <c:pt idx="1">
                <c:v>-3.778333902587538</c:v>
              </c:pt>
            </c:numLit>
          </c:xVal>
          <c:yVal>
            <c:numLit>
              <c:formatCode>General</c:formatCode>
              <c:ptCount val="2"/>
              <c:pt idx="0">
                <c:v>1.5076491680015076E-2</c:v>
              </c:pt>
              <c:pt idx="1">
                <c:v>1.5201094996387811E-2</c:v>
              </c:pt>
            </c:numLit>
          </c:yVal>
          <c:smooth val="0"/>
          <c:extLst>
            <c:ext xmlns:c16="http://schemas.microsoft.com/office/drawing/2014/chart" uri="{C3380CC4-5D6E-409C-BE32-E72D297353CC}">
              <c16:uniqueId val="{00000073-33ED-42C7-8A6A-F0E309358ADF}"/>
            </c:ext>
          </c:extLst>
        </c:ser>
        <c:ser>
          <c:idx val="108"/>
          <c:order val="108"/>
          <c:spPr>
            <a:ln w="3175">
              <a:solidFill>
                <a:srgbClr val="000000"/>
              </a:solidFill>
              <a:prstDash val="solid"/>
            </a:ln>
          </c:spPr>
          <c:marker>
            <c:symbol val="none"/>
          </c:marker>
          <c:xVal>
            <c:numLit>
              <c:formatCode>General</c:formatCode>
              <c:ptCount val="2"/>
              <c:pt idx="0">
                <c:v>-3.8732473084196117</c:v>
              </c:pt>
              <c:pt idx="1">
                <c:v>-3.6282629203486501</c:v>
              </c:pt>
            </c:numLit>
          </c:xVal>
          <c:yVal>
            <c:numLit>
              <c:formatCode>General</c:formatCode>
              <c:ptCount val="2"/>
              <c:pt idx="0">
                <c:v>1.4914346966454389E-2</c:v>
              </c:pt>
              <c:pt idx="1">
                <c:v>1.5042424325441343E-2</c:v>
              </c:pt>
            </c:numLit>
          </c:yVal>
          <c:smooth val="0"/>
          <c:extLst>
            <c:ext xmlns:c16="http://schemas.microsoft.com/office/drawing/2014/chart" uri="{C3380CC4-5D6E-409C-BE32-E72D297353CC}">
              <c16:uniqueId val="{00000074-33ED-42C7-8A6A-F0E309358ADF}"/>
            </c:ext>
          </c:extLst>
        </c:ser>
        <c:ser>
          <c:idx val="109"/>
          <c:order val="109"/>
          <c:spPr>
            <a:ln w="3175">
              <a:solidFill>
                <a:srgbClr val="000000"/>
              </a:solidFill>
              <a:prstDash val="solid"/>
            </a:ln>
          </c:spPr>
          <c:marker>
            <c:symbol val="none"/>
          </c:marker>
          <c:xVal>
            <c:numLit>
              <c:formatCode>General</c:formatCode>
              <c:ptCount val="2"/>
              <c:pt idx="0">
                <c:v>-3.7127064547319453</c:v>
              </c:pt>
              <c:pt idx="1">
                <c:v>-3.4711301637575316</c:v>
              </c:pt>
            </c:numLit>
          </c:xVal>
          <c:yVal>
            <c:numLit>
              <c:formatCode>General</c:formatCode>
              <c:ptCount val="2"/>
              <c:pt idx="0">
                <c:v>1.4751357649160357E-2</c:v>
              </c:pt>
              <c:pt idx="1">
                <c:v>1.4882929003442607E-2</c:v>
              </c:pt>
            </c:numLit>
          </c:yVal>
          <c:smooth val="0"/>
          <c:extLst>
            <c:ext xmlns:c16="http://schemas.microsoft.com/office/drawing/2014/chart" uri="{C3380CC4-5D6E-409C-BE32-E72D297353CC}">
              <c16:uniqueId val="{00000075-33ED-42C7-8A6A-F0E309358ADF}"/>
            </c:ext>
          </c:extLst>
        </c:ser>
        <c:ser>
          <c:idx val="110"/>
          <c:order val="110"/>
          <c:spPr>
            <a:ln w="3175">
              <a:solidFill>
                <a:srgbClr val="000000"/>
              </a:solidFill>
              <a:prstDash val="solid"/>
            </a:ln>
          </c:spPr>
          <c:marker>
            <c:symbol val="none"/>
          </c:marker>
          <c:xVal>
            <c:numLit>
              <c:formatCode>General</c:formatCode>
              <c:ptCount val="2"/>
              <c:pt idx="0">
                <c:v>-3.5448072067633123</c:v>
              </c:pt>
              <c:pt idx="1">
                <c:v>-3.3067971968373073</c:v>
              </c:pt>
            </c:numLit>
          </c:xVal>
          <c:yVal>
            <c:numLit>
              <c:formatCode>General</c:formatCode>
              <c:ptCount val="2"/>
              <c:pt idx="0">
                <c:v>1.458775341278396E-2</c:v>
              </c:pt>
              <c:pt idx="1">
                <c:v>1.4722833866947267E-2</c:v>
              </c:pt>
            </c:numLit>
          </c:yVal>
          <c:smooth val="0"/>
          <c:extLst>
            <c:ext xmlns:c16="http://schemas.microsoft.com/office/drawing/2014/chart" uri="{C3380CC4-5D6E-409C-BE32-E72D297353CC}">
              <c16:uniqueId val="{00000076-33ED-42C7-8A6A-F0E309358ADF}"/>
            </c:ext>
          </c:extLst>
        </c:ser>
        <c:ser>
          <c:idx val="111"/>
          <c:order val="111"/>
          <c:spPr>
            <a:ln w="3175">
              <a:solidFill>
                <a:srgbClr val="000000"/>
              </a:solidFill>
              <a:prstDash val="solid"/>
            </a:ln>
          </c:spPr>
          <c:marker>
            <c:symbol val="none"/>
          </c:marker>
          <c:xVal>
            <c:numLit>
              <c:formatCode>General</c:formatCode>
              <c:ptCount val="2"/>
              <c:pt idx="0">
                <c:v>-3.3694277214410562</c:v>
              </c:pt>
              <c:pt idx="1">
                <c:v>-2.9009011365821324</c:v>
              </c:pt>
            </c:numLit>
          </c:xVal>
          <c:yVal>
            <c:numLit>
              <c:formatCode>General</c:formatCode>
              <c:ptCount val="2"/>
              <c:pt idx="0">
                <c:v>1.4423780708309812E-2</c:v>
              </c:pt>
              <c:pt idx="1">
                <c:v>1.4701015343783125E-2</c:v>
              </c:pt>
            </c:numLit>
          </c:yVal>
          <c:smooth val="0"/>
          <c:extLst>
            <c:ext xmlns:c16="http://schemas.microsoft.com/office/drawing/2014/chart" uri="{C3380CC4-5D6E-409C-BE32-E72D297353CC}">
              <c16:uniqueId val="{00000077-33ED-42C7-8A6A-F0E309358ADF}"/>
            </c:ext>
          </c:extLst>
        </c:ser>
        <c:ser>
          <c:idx val="112"/>
          <c:order val="112"/>
          <c:spPr>
            <a:ln w="3175">
              <a:solidFill>
                <a:srgbClr val="000000"/>
              </a:solidFill>
              <a:prstDash val="solid"/>
            </a:ln>
          </c:spPr>
          <c:marker>
            <c:symbol val="none"/>
          </c:marker>
          <c:xVal>
            <c:numLit>
              <c:formatCode>General</c:formatCode>
              <c:ptCount val="2"/>
              <c:pt idx="0">
                <c:v>-3.1864686451132647</c:v>
              </c:pt>
              <c:pt idx="1">
                <c:v>-2.9560765734004115</c:v>
              </c:pt>
            </c:numLit>
          </c:xVal>
          <c:yVal>
            <c:numLit>
              <c:formatCode>General</c:formatCode>
              <c:ptCount val="2"/>
              <c:pt idx="0">
                <c:v>1.4259702231886499E-2</c:v>
              </c:pt>
              <c:pt idx="1">
                <c:v>1.4401824969069376E-2</c:v>
              </c:pt>
            </c:numLit>
          </c:yVal>
          <c:smooth val="0"/>
          <c:extLst>
            <c:ext xmlns:c16="http://schemas.microsoft.com/office/drawing/2014/chart" uri="{C3380CC4-5D6E-409C-BE32-E72D297353CC}">
              <c16:uniqueId val="{00000078-33ED-42C7-8A6A-F0E309358ADF}"/>
            </c:ext>
          </c:extLst>
        </c:ser>
        <c:ser>
          <c:idx val="113"/>
          <c:order val="113"/>
          <c:spPr>
            <a:ln w="3175">
              <a:solidFill>
                <a:srgbClr val="000000"/>
              </a:solidFill>
              <a:prstDash val="solid"/>
            </a:ln>
          </c:spPr>
          <c:marker>
            <c:symbol val="none"/>
          </c:marker>
          <c:xVal>
            <c:numLit>
              <c:formatCode>General</c:formatCode>
              <c:ptCount val="2"/>
              <c:pt idx="0">
                <c:v>-2.995855779328612</c:v>
              </c:pt>
              <c:pt idx="1">
                <c:v>-2.7695195454399149</c:v>
              </c:pt>
            </c:numLit>
          </c:xVal>
          <c:yVal>
            <c:numLit>
              <c:formatCode>General</c:formatCode>
              <c:ptCount val="2"/>
              <c:pt idx="0">
                <c:v>1.4095796151733538E-2</c:v>
              </c:pt>
              <c:pt idx="1">
                <c:v>1.4241440571197172E-2</c:v>
              </c:pt>
            </c:numLit>
          </c:yVal>
          <c:smooth val="0"/>
          <c:extLst>
            <c:ext xmlns:c16="http://schemas.microsoft.com/office/drawing/2014/chart" uri="{C3380CC4-5D6E-409C-BE32-E72D297353CC}">
              <c16:uniqueId val="{00000079-33ED-42C7-8A6A-F0E309358ADF}"/>
            </c:ext>
          </c:extLst>
        </c:ser>
        <c:ser>
          <c:idx val="114"/>
          <c:order val="114"/>
          <c:spPr>
            <a:ln w="3175">
              <a:solidFill>
                <a:srgbClr val="000000"/>
              </a:solidFill>
              <a:prstDash val="solid"/>
            </a:ln>
          </c:spPr>
          <c:marker>
            <c:symbol val="none"/>
          </c:marker>
          <c:xVal>
            <c:numLit>
              <c:formatCode>General</c:formatCode>
              <c:ptCount val="2"/>
              <c:pt idx="0">
                <c:v>-2.797542702336508</c:v>
              </c:pt>
              <c:pt idx="1">
                <c:v>-2.5754287346047877</c:v>
              </c:pt>
            </c:numLit>
          </c:xVal>
          <c:yVal>
            <c:numLit>
              <c:formatCode>General</c:formatCode>
              <c:ptCount val="2"/>
              <c:pt idx="0">
                <c:v>1.3932355067550029E-2</c:v>
              </c:pt>
              <c:pt idx="1">
                <c:v>1.4081513307464042E-2</c:v>
              </c:pt>
            </c:numLit>
          </c:yVal>
          <c:smooth val="0"/>
          <c:extLst>
            <c:ext xmlns:c16="http://schemas.microsoft.com/office/drawing/2014/chart" uri="{C3380CC4-5D6E-409C-BE32-E72D297353CC}">
              <c16:uniqueId val="{0000007A-33ED-42C7-8A6A-F0E309358ADF}"/>
            </c:ext>
          </c:extLst>
        </c:ser>
        <c:ser>
          <c:idx val="115"/>
          <c:order val="115"/>
          <c:spPr>
            <a:ln w="3175">
              <a:solidFill>
                <a:srgbClr val="000000"/>
              </a:solidFill>
              <a:prstDash val="solid"/>
            </a:ln>
          </c:spPr>
          <c:marker>
            <c:symbol val="none"/>
          </c:marker>
          <c:xVal>
            <c:numLit>
              <c:formatCode>General</c:formatCode>
              <c:ptCount val="2"/>
              <c:pt idx="0">
                <c:v>-2.5915132931495299</c:v>
              </c:pt>
              <c:pt idx="1">
                <c:v>-2.3737886177428424</c:v>
              </c:pt>
            </c:numLit>
          </c:xVal>
          <c:yVal>
            <c:numLit>
              <c:formatCode>General</c:formatCode>
              <c:ptCount val="2"/>
              <c:pt idx="0">
                <c:v>1.3769684691476037E-2</c:v>
              </c:pt>
              <c:pt idx="1">
                <c:v>1.3922342343814391E-2</c:v>
              </c:pt>
            </c:numLit>
          </c:yVal>
          <c:smooth val="0"/>
          <c:extLst>
            <c:ext xmlns:c16="http://schemas.microsoft.com/office/drawing/2014/chart" uri="{C3380CC4-5D6E-409C-BE32-E72D297353CC}">
              <c16:uniqueId val="{0000007B-33ED-42C7-8A6A-F0E309358ADF}"/>
            </c:ext>
          </c:extLst>
        </c:ser>
        <c:ser>
          <c:idx val="116"/>
          <c:order val="116"/>
          <c:spPr>
            <a:ln w="3175">
              <a:solidFill>
                <a:srgbClr val="000000"/>
              </a:solidFill>
              <a:prstDash val="solid"/>
            </a:ln>
          </c:spPr>
          <c:marker>
            <c:symbol val="none"/>
          </c:marker>
          <c:xVal>
            <c:numLit>
              <c:formatCode>General</c:formatCode>
              <c:ptCount val="2"/>
              <c:pt idx="0">
                <c:v>-2.3777841004811022</c:v>
              </c:pt>
              <c:pt idx="1">
                <c:v>-1.9514919878507884</c:v>
              </c:pt>
            </c:numLit>
          </c:xVal>
          <c:yVal>
            <c:numLit>
              <c:formatCode>General</c:formatCode>
              <c:ptCount val="2"/>
              <c:pt idx="0">
                <c:v>1.3608102245343555E-2</c:v>
              </c:pt>
              <c:pt idx="1">
                <c:v>1.3920407227151928E-2</c:v>
              </c:pt>
            </c:numLit>
          </c:yVal>
          <c:smooth val="0"/>
          <c:extLst>
            <c:ext xmlns:c16="http://schemas.microsoft.com/office/drawing/2014/chart" uri="{C3380CC4-5D6E-409C-BE32-E72D297353CC}">
              <c16:uniqueId val="{0000007C-33ED-42C7-8A6A-F0E309358ADF}"/>
            </c:ext>
          </c:extLst>
        </c:ser>
        <c:ser>
          <c:idx val="117"/>
          <c:order val="117"/>
          <c:spPr>
            <a:ln w="3175">
              <a:solidFill>
                <a:srgbClr val="000000"/>
              </a:solidFill>
              <a:prstDash val="solid"/>
            </a:ln>
          </c:spPr>
          <c:marker>
            <c:symbol val="none"/>
          </c:marker>
          <c:xVal>
            <c:numLit>
              <c:formatCode>General</c:formatCode>
              <c:ptCount val="2"/>
              <c:pt idx="0">
                <c:v>-2.156406495623691</c:v>
              </c:pt>
              <c:pt idx="1">
                <c:v>-1.9479603446816371</c:v>
              </c:pt>
            </c:numLit>
          </c:xVal>
          <c:yVal>
            <c:numLit>
              <c:formatCode>General</c:formatCode>
              <c:ptCount val="2"/>
              <c:pt idx="0">
                <c:v>1.3447934575631624E-2</c:v>
              </c:pt>
              <c:pt idx="1">
                <c:v>1.3607520356295923E-2</c:v>
              </c:pt>
            </c:numLit>
          </c:yVal>
          <c:smooth val="0"/>
          <c:extLst>
            <c:ext xmlns:c16="http://schemas.microsoft.com/office/drawing/2014/chart" uri="{C3380CC4-5D6E-409C-BE32-E72D297353CC}">
              <c16:uniqueId val="{0000007D-33ED-42C7-8A6A-F0E309358ADF}"/>
            </c:ext>
          </c:extLst>
        </c:ser>
        <c:ser>
          <c:idx val="118"/>
          <c:order val="118"/>
          <c:spPr>
            <a:ln w="3175">
              <a:solidFill>
                <a:srgbClr val="000000"/>
              </a:solidFill>
              <a:prstDash val="solid"/>
            </a:ln>
          </c:spPr>
          <c:marker>
            <c:symbol val="none"/>
          </c:marker>
          <c:xVal>
            <c:numLit>
              <c:formatCode>General</c:formatCode>
              <c:ptCount val="2"/>
              <c:pt idx="0">
                <c:v>-1.9274685467120087</c:v>
              </c:pt>
              <c:pt idx="1">
                <c:v>-1.723909151193072</c:v>
              </c:pt>
            </c:numLit>
          </c:xVal>
          <c:yVal>
            <c:numLit>
              <c:formatCode>General</c:formatCode>
              <c:ptCount val="2"/>
              <c:pt idx="0">
                <c:v>1.3289515995076896E-2</c:v>
              </c:pt>
              <c:pt idx="1">
                <c:v>1.3452516235149875E-2</c:v>
              </c:pt>
            </c:numLit>
          </c:yVal>
          <c:smooth val="0"/>
          <c:extLst>
            <c:ext xmlns:c16="http://schemas.microsoft.com/office/drawing/2014/chart" uri="{C3380CC4-5D6E-409C-BE32-E72D297353CC}">
              <c16:uniqueId val="{0000007E-33ED-42C7-8A6A-F0E309358ADF}"/>
            </c:ext>
          </c:extLst>
        </c:ser>
        <c:ser>
          <c:idx val="119"/>
          <c:order val="119"/>
          <c:spPr>
            <a:ln w="3175">
              <a:solidFill>
                <a:srgbClr val="000000"/>
              </a:solidFill>
              <a:prstDash val="solid"/>
            </a:ln>
          </c:spPr>
          <c:marker>
            <c:symbol val="none"/>
          </c:marker>
          <c:xVal>
            <c:numLit>
              <c:formatCode>General</c:formatCode>
              <c:ptCount val="2"/>
              <c:pt idx="0">
                <c:v>-1.6910965521384105</c:v>
              </c:pt>
              <c:pt idx="1">
                <c:v>-1.4925859044313796</c:v>
              </c:pt>
            </c:numLit>
          </c:xVal>
          <c:yVal>
            <c:numLit>
              <c:formatCode>General</c:formatCode>
              <c:ptCount val="2"/>
              <c:pt idx="0">
                <c:v>1.313318586808335E-2</c:v>
              </c:pt>
              <c:pt idx="1">
                <c:v>1.3299557742944548E-2</c:v>
              </c:pt>
            </c:numLit>
          </c:yVal>
          <c:smooth val="0"/>
          <c:extLst>
            <c:ext xmlns:c16="http://schemas.microsoft.com/office/drawing/2014/chart" uri="{C3380CC4-5D6E-409C-BE32-E72D297353CC}">
              <c16:uniqueId val="{0000007F-33ED-42C7-8A6A-F0E309358ADF}"/>
            </c:ext>
          </c:extLst>
        </c:ser>
        <c:ser>
          <c:idx val="120"/>
          <c:order val="120"/>
          <c:spPr>
            <a:ln w="3175">
              <a:solidFill>
                <a:srgbClr val="000000"/>
              </a:solidFill>
              <a:prstDash val="solid"/>
            </a:ln>
          </c:spPr>
          <c:marker>
            <c:symbol val="none"/>
          </c:marker>
          <c:xVal>
            <c:numLit>
              <c:formatCode>General</c:formatCode>
              <c:ptCount val="2"/>
              <c:pt idx="0">
                <c:v>-1.4474561734172946</c:v>
              </c:pt>
              <c:pt idx="1">
                <c:v>-1.2541529530699185</c:v>
              </c:pt>
            </c:numLit>
          </c:xVal>
          <c:yVal>
            <c:numLit>
              <c:formatCode>General</c:formatCode>
              <c:ptCount val="2"/>
              <c:pt idx="0">
                <c:v>1.2979285965653065E-2</c:v>
              </c:pt>
              <c:pt idx="1">
                <c:v>1.3148979228746737E-2</c:v>
              </c:pt>
            </c:numLit>
          </c:yVal>
          <c:smooth val="0"/>
          <c:extLst>
            <c:ext xmlns:c16="http://schemas.microsoft.com/office/drawing/2014/chart" uri="{C3380CC4-5D6E-409C-BE32-E72D297353CC}">
              <c16:uniqueId val="{00000080-33ED-42C7-8A6A-F0E309358ADF}"/>
            </c:ext>
          </c:extLst>
        </c:ser>
        <c:ser>
          <c:idx val="121"/>
          <c:order val="121"/>
          <c:spPr>
            <a:ln w="3175">
              <a:solidFill>
                <a:srgbClr val="000000"/>
              </a:solidFill>
              <a:prstDash val="solid"/>
            </a:ln>
          </c:spPr>
          <c:marker>
            <c:symbol val="none"/>
          </c:marker>
          <c:xVal>
            <c:numLit>
              <c:formatCode>General</c:formatCode>
              <c:ptCount val="2"/>
              <c:pt idx="0">
                <c:v>-1.1967531127124049</c:v>
              </c:pt>
              <c:pt idx="1">
                <c:v>-0.82091889735930601</c:v>
              </c:pt>
            </c:numLit>
          </c:xVal>
          <c:yVal>
            <c:numLit>
              <c:formatCode>General</c:formatCode>
              <c:ptCount val="2"/>
              <c:pt idx="0">
                <c:v>1.2828157624189995E-2</c:v>
              </c:pt>
              <c:pt idx="1">
                <c:v>1.3174100182621095E-2</c:v>
              </c:pt>
            </c:numLit>
          </c:yVal>
          <c:smooth val="0"/>
          <c:extLst>
            <c:ext xmlns:c16="http://schemas.microsoft.com/office/drawing/2014/chart" uri="{C3380CC4-5D6E-409C-BE32-E72D297353CC}">
              <c16:uniqueId val="{00000081-33ED-42C7-8A6A-F0E309358ADF}"/>
            </c:ext>
          </c:extLst>
        </c:ser>
        <c:ser>
          <c:idx val="122"/>
          <c:order val="122"/>
          <c:spPr>
            <a:ln w="3175">
              <a:solidFill>
                <a:srgbClr val="000000"/>
              </a:solidFill>
              <a:prstDash val="solid"/>
            </a:ln>
          </c:spPr>
          <c:marker>
            <c:symbol val="none"/>
          </c:marker>
          <c:xVal>
            <c:numLit>
              <c:formatCode>General</c:formatCode>
              <c:ptCount val="56"/>
              <c:pt idx="0">
                <c:v>-6.4780000000000006</c:v>
              </c:pt>
              <c:pt idx="1">
                <c:v>-6.4771548667567451</c:v>
              </c:pt>
              <c:pt idx="2">
                <c:v>-6.4744781546020507</c:v>
              </c:pt>
              <c:pt idx="3">
                <c:v>-6.4697392601020702</c:v>
              </c:pt>
              <c:pt idx="4">
                <c:v>-6.4626803906648105</c:v>
              </c:pt>
              <c:pt idx="5">
                <c:v>-6.4530133649286947</c:v>
              </c:pt>
              <c:pt idx="6">
                <c:v>-6.4404160659918741</c:v>
              </c:pt>
              <c:pt idx="7">
                <c:v>-6.4245285241259857</c:v>
              </c:pt>
              <c:pt idx="8">
                <c:v>-6.4049486097896127</c:v>
              </c:pt>
              <c:pt idx="9">
                <c:v>-6.3812273246822127</c:v>
              </c:pt>
              <c:pt idx="10">
                <c:v>-6.3528636892133203</c:v>
              </c:pt>
              <c:pt idx="11">
                <c:v>-6.3192992403036552</c:v>
              </c:pt>
              <c:pt idx="12">
                <c:v>-6.2799121753649985</c:v>
              </c:pt>
              <c:pt idx="13">
                <c:v>-6.2340112084088908</c:v>
              </c:pt>
              <c:pt idx="14">
                <c:v>-6.1808292446003525</c:v>
              </c:pt>
              <c:pt idx="15">
                <c:v>-6.1195170325550308</c:v>
              </c:pt>
              <c:pt idx="16">
                <c:v>-6.085522707107951</c:v>
              </c:pt>
              <c:pt idx="17">
                <c:v>-6.0491370217777725</c:v>
              </c:pt>
              <c:pt idx="18">
                <c:v>-6.0102280619194612</c:v>
              </c:pt>
              <c:pt idx="19">
                <c:v>-5.9686577382838752</c:v>
              </c:pt>
              <c:pt idx="20">
                <c:v>-5.9242816702136096</c:v>
              </c:pt>
              <c:pt idx="21">
                <c:v>-5.8769490965930213</c:v>
              </c:pt>
              <c:pt idx="22">
                <c:v>-5.8265028202105924</c:v>
              </c:pt>
              <c:pt idx="23">
                <c:v>-5.7727791918245215</c:v>
              </c:pt>
              <c:pt idx="24">
                <c:v>-5.7156081408752861</c:v>
              </c:pt>
              <c:pt idx="25">
                <c:v>-5.6548132604507</c:v>
              </c:pt>
              <c:pt idx="26">
                <c:v>-5.5902119547643538</c:v>
              </c:pt>
              <c:pt idx="27">
                <c:v>-5.5216156580385984</c:v>
              </c:pt>
              <c:pt idx="28">
                <c:v>-5.4488301342643446</c:v>
              </c:pt>
              <c:pt idx="29">
                <c:v>-5.3716558678134341</c:v>
              </c:pt>
              <c:pt idx="30">
                <c:v>-5.2898885552707755</c:v>
              </c:pt>
              <c:pt idx="31">
                <c:v>-5.2033197090931331</c:v>
              </c:pt>
              <c:pt idx="32">
                <c:v>-5.1117373837437654</c:v>
              </c:pt>
              <c:pt idx="33">
                <c:v>-5.0149270347463339</c:v>
              </c:pt>
              <c:pt idx="34">
                <c:v>-4.9126725205921735</c:v>
              </c:pt>
              <c:pt idx="35">
                <c:v>-4.8047572565634464</c:v>
              </c:pt>
              <c:pt idx="36">
                <c:v>-4.6909655282406417</c:v>
              </c:pt>
              <c:pt idx="37">
                <c:v>-4.5710839706874209</c:v>
              </c:pt>
              <c:pt idx="38">
                <c:v>-4.4449032169939464</c:v>
              </c:pt>
              <c:pt idx="39">
                <c:v>-4.312219716966025</c:v>
              </c:pt>
              <c:pt idx="40">
                <c:v>-4.1728377232389242</c:v>
              </c:pt>
              <c:pt idx="41">
                <c:v>-4.026571437958375</c:v>
              </c:pt>
              <c:pt idx="42">
                <c:v>-3.8732473084196117</c:v>
              </c:pt>
              <c:pt idx="43">
                <c:v>-3.7127064547319453</c:v>
              </c:pt>
              <c:pt idx="44">
                <c:v>-3.5448072067633123</c:v>
              </c:pt>
              <c:pt idx="45">
                <c:v>-3.3694277214410562</c:v>
              </c:pt>
              <c:pt idx="46">
                <c:v>-3.1864686451132647</c:v>
              </c:pt>
              <c:pt idx="47">
                <c:v>-2.995855779328612</c:v>
              </c:pt>
              <c:pt idx="48">
                <c:v>-2.797542702336508</c:v>
              </c:pt>
              <c:pt idx="49">
                <c:v>-2.5915132931495299</c:v>
              </c:pt>
              <c:pt idx="50">
                <c:v>-2.3777841004811022</c:v>
              </c:pt>
              <c:pt idx="51">
                <c:v>-2.156406495623691</c:v>
              </c:pt>
              <c:pt idx="52">
                <c:v>-1.9274685467120087</c:v>
              </c:pt>
              <c:pt idx="53">
                <c:v>-1.6910965521384105</c:v>
              </c:pt>
              <c:pt idx="54">
                <c:v>-1.4474561734172946</c:v>
              </c:pt>
              <c:pt idx="55">
                <c:v>-1.1967531127124049</c:v>
              </c:pt>
            </c:numLit>
          </c:xVal>
          <c:yVal>
            <c:numLit>
              <c:formatCode>General</c:formatCode>
              <c:ptCount val="56"/>
              <c:pt idx="0">
                <c:v>2.0930000000000001E-2</c:v>
              </c:pt>
              <c:pt idx="1">
                <c:v>2.0816221982499338E-2</c:v>
              </c:pt>
              <c:pt idx="2">
                <c:v>2.0697747630638599E-2</c:v>
              </c:pt>
              <c:pt idx="3">
                <c:v>2.0574329599127333E-2</c:v>
              </c:pt>
              <c:pt idx="4">
                <c:v>2.0445707961793541E-2</c:v>
              </c:pt>
              <c:pt idx="5">
                <c:v>2.0311610158401223E-2</c:v>
              </c:pt>
              <c:pt idx="6">
                <c:v>2.0171751126828213E-2</c:v>
              </c:pt>
              <c:pt idx="7">
                <c:v>2.0025833674800028E-2</c:v>
              </c:pt>
              <c:pt idx="8">
                <c:v>1.9873549157153957E-2</c:v>
              </c:pt>
              <c:pt idx="9">
                <c:v>1.9714578538365699E-2</c:v>
              </c:pt>
              <c:pt idx="10">
                <c:v>1.9548593935935225E-2</c:v>
              </c:pt>
              <c:pt idx="11">
                <c:v>1.9375260758225134E-2</c:v>
              </c:pt>
              <c:pt idx="12">
                <c:v>1.9194240570334139E-2</c:v>
              </c:pt>
              <c:pt idx="13">
                <c:v>1.900519484317249E-2</c:v>
              </c:pt>
              <c:pt idx="14">
                <c:v>1.8807789763299193E-2</c:v>
              </c:pt>
              <c:pt idx="15">
                <c:v>1.86017023029456E-2</c:v>
              </c:pt>
              <c:pt idx="16">
                <c:v>1.8495306506800622E-2</c:v>
              </c:pt>
              <c:pt idx="17">
                <c:v>1.8386627768883546E-2</c:v>
              </c:pt>
              <c:pt idx="18">
                <c:v>1.8275632385817388E-2</c:v>
              </c:pt>
              <c:pt idx="19">
                <c:v>1.8162289062279902E-2</c:v>
              </c:pt>
              <c:pt idx="20">
                <c:v>1.8046569310441331E-2</c:v>
              </c:pt>
              <c:pt idx="21">
                <c:v>1.7928447884993152E-2</c:v>
              </c:pt>
              <c:pt idx="22">
                <c:v>1.780790325517077E-2</c:v>
              </c:pt>
              <c:pt idx="23">
                <c:v>1.7684918114909066E-2</c:v>
              </c:pt>
              <c:pt idx="24">
                <c:v>1.7559479931924228E-2</c:v>
              </c:pt>
              <c:pt idx="25">
                <c:v>1.7431581536076757E-2</c:v>
              </c:pt>
              <c:pt idx="26">
                <c:v>1.730122174682644E-2</c:v>
              </c:pt>
              <c:pt idx="27">
                <c:v>1.7168406038928632E-2</c:v>
              </c:pt>
              <c:pt idx="28">
                <c:v>1.7033147244730054E-2</c:v>
              </c:pt>
              <c:pt idx="29">
                <c:v>1.6895466290491552E-2</c:v>
              </c:pt>
              <c:pt idx="30">
                <c:v>1.6755392963085362E-2</c:v>
              </c:pt>
              <c:pt idx="31">
                <c:v>1.6612966702180775E-2</c:v>
              </c:pt>
              <c:pt idx="32">
                <c:v>1.6468237411641461E-2</c:v>
              </c:pt>
              <c:pt idx="33">
                <c:v>1.6321266282315831E-2</c:v>
              </c:pt>
              <c:pt idx="34">
                <c:v>1.6172126616717374E-2</c:v>
              </c:pt>
              <c:pt idx="35">
                <c:v>1.602090464428578E-2</c:v>
              </c:pt>
              <c:pt idx="36">
                <c:v>1.5867700314020336E-2</c:v>
              </c:pt>
              <c:pt idx="37">
                <c:v>1.5712628049326046E-2</c:v>
              </c:pt>
              <c:pt idx="38">
                <c:v>1.5555817447964507E-2</c:v>
              </c:pt>
              <c:pt idx="39">
                <c:v>1.5397413908124226E-2</c:v>
              </c:pt>
              <c:pt idx="40">
                <c:v>1.5237579159901987E-2</c:v>
              </c:pt>
              <c:pt idx="41">
                <c:v>1.5076491680015076E-2</c:v>
              </c:pt>
              <c:pt idx="42">
                <c:v>1.4914346966454389E-2</c:v>
              </c:pt>
              <c:pt idx="43">
                <c:v>1.4751357649160357E-2</c:v>
              </c:pt>
              <c:pt idx="44">
                <c:v>1.458775341278396E-2</c:v>
              </c:pt>
              <c:pt idx="45">
                <c:v>1.4423780708309812E-2</c:v>
              </c:pt>
              <c:pt idx="46">
                <c:v>1.4259702231886499E-2</c:v>
              </c:pt>
              <c:pt idx="47">
                <c:v>1.4095796151733538E-2</c:v>
              </c:pt>
              <c:pt idx="48">
                <c:v>1.3932355067550029E-2</c:v>
              </c:pt>
              <c:pt idx="49">
                <c:v>1.3769684691476037E-2</c:v>
              </c:pt>
              <c:pt idx="50">
                <c:v>1.3608102245343555E-2</c:v>
              </c:pt>
              <c:pt idx="51">
                <c:v>1.3447934575631624E-2</c:v>
              </c:pt>
              <c:pt idx="52">
                <c:v>1.3289515995076896E-2</c:v>
              </c:pt>
              <c:pt idx="53">
                <c:v>1.313318586808335E-2</c:v>
              </c:pt>
              <c:pt idx="54">
                <c:v>1.2979285965653065E-2</c:v>
              </c:pt>
              <c:pt idx="55">
                <c:v>1.2828157624189995E-2</c:v>
              </c:pt>
            </c:numLit>
          </c:yVal>
          <c:smooth val="1"/>
          <c:extLst>
            <c:ext xmlns:c16="http://schemas.microsoft.com/office/drawing/2014/chart" uri="{C3380CC4-5D6E-409C-BE32-E72D297353CC}">
              <c16:uniqueId val="{00000082-33ED-42C7-8A6A-F0E309358ADF}"/>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4A09-48A6-B9BD-07AF6B2013A5}"/>
            </c:ext>
          </c:extLst>
        </c:ser>
        <c:ser>
          <c:idx val="1"/>
          <c:order val="1"/>
          <c:spPr>
            <a:ln w="3175">
              <a:solidFill>
                <a:srgbClr val="000000"/>
              </a:solidFill>
              <a:prstDash val="solid"/>
            </a:ln>
          </c:spPr>
          <c:marker>
            <c:symbol val="none"/>
          </c:marker>
          <c:xVal>
            <c:numLit>
              <c:formatCode>General</c:formatCode>
              <c:ptCount val="2"/>
              <c:pt idx="0">
                <c:v>19.065942353411515</c:v>
              </c:pt>
              <c:pt idx="1">
                <c:v>18.66787537570767</c:v>
              </c:pt>
            </c:numLit>
          </c:xVal>
          <c:yVal>
            <c:numLit>
              <c:formatCode>General</c:formatCode>
              <c:ptCount val="2"/>
              <c:pt idx="0">
                <c:v>3.0559524052679921E-2</c:v>
              </c:pt>
              <c:pt idx="1">
                <c:v>3.0227471499139232E-2</c:v>
              </c:pt>
            </c:numLit>
          </c:yVal>
          <c:smooth val="0"/>
          <c:extLst>
            <c:ext xmlns:c16="http://schemas.microsoft.com/office/drawing/2014/chart" uri="{C3380CC4-5D6E-409C-BE32-E72D297353CC}">
              <c16:uniqueId val="{00000001-4A09-48A6-B9BD-07AF6B2013A5}"/>
            </c:ext>
          </c:extLst>
        </c:ser>
        <c:ser>
          <c:idx val="2"/>
          <c:order val="2"/>
          <c:spPr>
            <a:ln w="3175">
              <a:solidFill>
                <a:srgbClr val="000000"/>
              </a:solidFill>
              <a:prstDash val="solid"/>
            </a:ln>
          </c:spPr>
          <c:marker>
            <c:symbol val="none"/>
          </c:marker>
          <c:xVal>
            <c:numLit>
              <c:formatCode>General</c:formatCode>
              <c:ptCount val="2"/>
              <c:pt idx="0">
                <c:v>18.790543749866966</c:v>
              </c:pt>
              <c:pt idx="1">
                <c:v>18.596258512800294</c:v>
              </c:pt>
            </c:numLit>
          </c:xVal>
          <c:yVal>
            <c:numLit>
              <c:formatCode>General</c:formatCode>
              <c:ptCount val="2"/>
              <c:pt idx="0">
                <c:v>3.0736362467444784E-2</c:v>
              </c:pt>
              <c:pt idx="1">
                <c:v>3.0567287252488837E-2</c:v>
              </c:pt>
            </c:numLit>
          </c:yVal>
          <c:smooth val="0"/>
          <c:extLst>
            <c:ext xmlns:c16="http://schemas.microsoft.com/office/drawing/2014/chart" uri="{C3380CC4-5D6E-409C-BE32-E72D297353CC}">
              <c16:uniqueId val="{00000002-4A09-48A6-B9BD-07AF6B2013A5}"/>
            </c:ext>
          </c:extLst>
        </c:ser>
        <c:ser>
          <c:idx val="3"/>
          <c:order val="3"/>
          <c:spPr>
            <a:ln w="3175">
              <a:solidFill>
                <a:srgbClr val="000000"/>
              </a:solidFill>
              <a:prstDash val="solid"/>
            </a:ln>
          </c:spPr>
          <c:marker>
            <c:symbol val="none"/>
          </c:marker>
          <c:xVal>
            <c:numLit>
              <c:formatCode>General</c:formatCode>
              <c:ptCount val="2"/>
              <c:pt idx="0">
                <c:v>18.499745455246352</c:v>
              </c:pt>
              <c:pt idx="1">
                <c:v>18.121202508513718</c:v>
              </c:pt>
            </c:numLit>
          </c:xVal>
          <c:yVal>
            <c:numLit>
              <c:formatCode>General</c:formatCode>
              <c:ptCount val="2"/>
              <c:pt idx="0">
                <c:v>3.0915182575025162E-2</c:v>
              </c:pt>
              <c:pt idx="1">
                <c:v>3.0570865934507054E-2</c:v>
              </c:pt>
            </c:numLit>
          </c:yVal>
          <c:smooth val="0"/>
          <c:extLst>
            <c:ext xmlns:c16="http://schemas.microsoft.com/office/drawing/2014/chart" uri="{C3380CC4-5D6E-409C-BE32-E72D297353CC}">
              <c16:uniqueId val="{00000003-4A09-48A6-B9BD-07AF6B2013A5}"/>
            </c:ext>
          </c:extLst>
        </c:ser>
        <c:ser>
          <c:idx val="4"/>
          <c:order val="4"/>
          <c:spPr>
            <a:ln w="3175">
              <a:solidFill>
                <a:srgbClr val="000000"/>
              </a:solidFill>
              <a:prstDash val="solid"/>
            </a:ln>
          </c:spPr>
          <c:marker>
            <c:symbol val="none"/>
          </c:marker>
          <c:xVal>
            <c:numLit>
              <c:formatCode>General</c:formatCode>
              <c:ptCount val="2"/>
              <c:pt idx="0">
                <c:v>18.192821137276322</c:v>
              </c:pt>
              <c:pt idx="1">
                <c:v>18.008841462495695</c:v>
              </c:pt>
            </c:numLit>
          </c:xVal>
          <c:yVal>
            <c:numLit>
              <c:formatCode>General</c:formatCode>
              <c:ptCount val="2"/>
              <c:pt idx="0">
                <c:v>3.1095573924337105E-2</c:v>
              </c:pt>
              <c:pt idx="1">
                <c:v>3.092030540840026E-2</c:v>
              </c:pt>
            </c:numLit>
          </c:yVal>
          <c:smooth val="0"/>
          <c:extLst>
            <c:ext xmlns:c16="http://schemas.microsoft.com/office/drawing/2014/chart" uri="{C3380CC4-5D6E-409C-BE32-E72D297353CC}">
              <c16:uniqueId val="{00000004-4A09-48A6-B9BD-07AF6B2013A5}"/>
            </c:ext>
          </c:extLst>
        </c:ser>
        <c:ser>
          <c:idx val="5"/>
          <c:order val="5"/>
          <c:spPr>
            <a:ln w="3175">
              <a:solidFill>
                <a:srgbClr val="000000"/>
              </a:solidFill>
              <a:prstDash val="solid"/>
            </a:ln>
          </c:spPr>
          <c:marker>
            <c:symbol val="none"/>
          </c:marker>
          <c:xVal>
            <c:numLit>
              <c:formatCode>General</c:formatCode>
              <c:ptCount val="2"/>
              <c:pt idx="0">
                <c:v>17.869058802111013</c:v>
              </c:pt>
              <c:pt idx="1">
                <c:v>17.512263671003737</c:v>
              </c:pt>
            </c:numLit>
          </c:xVal>
          <c:yVal>
            <c:numLit>
              <c:formatCode>General</c:formatCode>
              <c:ptCount val="2"/>
              <c:pt idx="0">
                <c:v>3.1277058802111013E-2</c:v>
              </c:pt>
              <c:pt idx="1">
                <c:v>3.0920263671003735E-2</c:v>
              </c:pt>
            </c:numLit>
          </c:yVal>
          <c:smooth val="0"/>
          <c:extLst>
            <c:ext xmlns:c16="http://schemas.microsoft.com/office/drawing/2014/chart" uri="{C3380CC4-5D6E-409C-BE32-E72D297353CC}">
              <c16:uniqueId val="{00000005-4A09-48A6-B9BD-07AF6B2013A5}"/>
            </c:ext>
          </c:extLst>
        </c:ser>
        <c:ser>
          <c:idx val="6"/>
          <c:order val="6"/>
          <c:spPr>
            <a:ln w="3175">
              <a:solidFill>
                <a:srgbClr val="000000"/>
              </a:solidFill>
              <a:prstDash val="solid"/>
            </a:ln>
          </c:spPr>
          <c:marker>
            <c:symbol val="none"/>
          </c:marker>
          <c:xVal>
            <c:numLit>
              <c:formatCode>General</c:formatCode>
              <c:ptCount val="2"/>
              <c:pt idx="0">
                <c:v>17.527772872567621</c:v>
              </c:pt>
              <c:pt idx="1">
                <c:v>17.355259547178523</c:v>
              </c:pt>
            </c:numLit>
          </c:xVal>
          <c:yVal>
            <c:numLit>
              <c:formatCode>General</c:formatCode>
              <c:ptCount val="2"/>
              <c:pt idx="0">
                <c:v>3.145908735335045E-2</c:v>
              </c:pt>
              <c:pt idx="1">
                <c:v>3.1277551364499577E-2</c:v>
              </c:pt>
            </c:numLit>
          </c:yVal>
          <c:smooth val="0"/>
          <c:extLst>
            <c:ext xmlns:c16="http://schemas.microsoft.com/office/drawing/2014/chart" uri="{C3380CC4-5D6E-409C-BE32-E72D297353CC}">
              <c16:uniqueId val="{00000006-4A09-48A6-B9BD-07AF6B2013A5}"/>
            </c:ext>
          </c:extLst>
        </c:ser>
        <c:ser>
          <c:idx val="7"/>
          <c:order val="7"/>
          <c:spPr>
            <a:ln w="3175">
              <a:solidFill>
                <a:srgbClr val="000000"/>
              </a:solidFill>
              <a:prstDash val="solid"/>
            </a:ln>
          </c:spPr>
          <c:marker>
            <c:symbol val="none"/>
          </c:marker>
          <c:xVal>
            <c:numLit>
              <c:formatCode>General</c:formatCode>
              <c:ptCount val="2"/>
              <c:pt idx="0">
                <c:v>17.168318281619168</c:v>
              </c:pt>
              <c:pt idx="1">
                <c:v>16.83568661673575</c:v>
              </c:pt>
            </c:numLit>
          </c:xVal>
          <c:yVal>
            <c:numLit>
              <c:formatCode>General</c:formatCode>
              <c:ptCount val="2"/>
              <c:pt idx="0">
                <c:v>3.1641033323740492E-2</c:v>
              </c:pt>
              <c:pt idx="1">
                <c:v>3.1271687347059783E-2</c:v>
              </c:pt>
            </c:numLit>
          </c:yVal>
          <c:smooth val="0"/>
          <c:extLst>
            <c:ext xmlns:c16="http://schemas.microsoft.com/office/drawing/2014/chart" uri="{C3380CC4-5D6E-409C-BE32-E72D297353CC}">
              <c16:uniqueId val="{00000007-4A09-48A6-B9BD-07AF6B2013A5}"/>
            </c:ext>
          </c:extLst>
        </c:ser>
        <c:ser>
          <c:idx val="8"/>
          <c:order val="8"/>
          <c:spPr>
            <a:ln w="3175">
              <a:solidFill>
                <a:srgbClr val="000000"/>
              </a:solidFill>
              <a:prstDash val="solid"/>
            </a:ln>
          </c:spPr>
          <c:marker>
            <c:symbol val="none"/>
          </c:marker>
          <c:xVal>
            <c:numLit>
              <c:formatCode>General</c:formatCode>
              <c:ptCount val="2"/>
              <c:pt idx="0">
                <c:v>16.790106626063352</c:v>
              </c:pt>
              <c:pt idx="1">
                <c:v>16.630311684234673</c:v>
              </c:pt>
            </c:numLit>
          </c:xVal>
          <c:yVal>
            <c:numLit>
              <c:formatCode>General</c:formatCode>
              <c:ptCount val="2"/>
              <c:pt idx="0">
                <c:v>3.1822190731097821E-2</c:v>
              </c:pt>
              <c:pt idx="1">
                <c:v>3.1634394339182338E-2</c:v>
              </c:pt>
            </c:numLit>
          </c:yVal>
          <c:smooth val="0"/>
          <c:extLst>
            <c:ext xmlns:c16="http://schemas.microsoft.com/office/drawing/2014/chart" uri="{C3380CC4-5D6E-409C-BE32-E72D297353CC}">
              <c16:uniqueId val="{00000008-4A09-48A6-B9BD-07AF6B2013A5}"/>
            </c:ext>
          </c:extLst>
        </c:ser>
        <c:ser>
          <c:idx val="9"/>
          <c:order val="9"/>
          <c:spPr>
            <a:ln w="3175">
              <a:solidFill>
                <a:srgbClr val="000000"/>
              </a:solidFill>
              <a:prstDash val="solid"/>
            </a:ln>
          </c:spPr>
          <c:marker>
            <c:symbol val="none"/>
          </c:marker>
          <c:xVal>
            <c:numLit>
              <c:formatCode>General</c:formatCode>
              <c:ptCount val="2"/>
              <c:pt idx="0">
                <c:v>16.392624340635372</c:v>
              </c:pt>
              <c:pt idx="1">
                <c:v>16.086740742682426</c:v>
              </c:pt>
            </c:numLit>
          </c:xVal>
          <c:yVal>
            <c:numLit>
              <c:formatCode>General</c:formatCode>
              <c:ptCount val="2"/>
              <c:pt idx="0">
                <c:v>3.2001771819701222E-2</c:v>
              </c:pt>
              <c:pt idx="1">
                <c:v>3.1619986584539107E-2</c:v>
              </c:pt>
            </c:numLit>
          </c:yVal>
          <c:smooth val="0"/>
          <c:extLst>
            <c:ext xmlns:c16="http://schemas.microsoft.com/office/drawing/2014/chart" uri="{C3380CC4-5D6E-409C-BE32-E72D297353CC}">
              <c16:uniqueId val="{00000009-4A09-48A6-B9BD-07AF6B2013A5}"/>
            </c:ext>
          </c:extLst>
        </c:ser>
        <c:ser>
          <c:idx val="10"/>
          <c:order val="10"/>
          <c:spPr>
            <a:ln w="3175">
              <a:solidFill>
                <a:srgbClr val="000000"/>
              </a:solidFill>
              <a:prstDash val="solid"/>
            </a:ln>
          </c:spPr>
          <c:marker>
            <c:symbol val="none"/>
          </c:marker>
          <c:xVal>
            <c:numLit>
              <c:formatCode>General</c:formatCode>
              <c:ptCount val="2"/>
              <c:pt idx="0">
                <c:v>15.9754527418382</c:v>
              </c:pt>
              <c:pt idx="1">
                <c:v>15.829703556634092</c:v>
              </c:pt>
            </c:numLit>
          </c:xVal>
          <c:yVal>
            <c:numLit>
              <c:formatCode>General</c:formatCode>
              <c:ptCount val="2"/>
              <c:pt idx="0">
                <c:v>3.2178906690858773E-2</c:v>
              </c:pt>
              <c:pt idx="1">
                <c:v>3.1984960023775003E-2</c:v>
              </c:pt>
            </c:numLit>
          </c:yVal>
          <c:smooth val="0"/>
          <c:extLst>
            <c:ext xmlns:c16="http://schemas.microsoft.com/office/drawing/2014/chart" uri="{C3380CC4-5D6E-409C-BE32-E72D297353CC}">
              <c16:uniqueId val="{0000000A-4A09-48A6-B9BD-07AF6B2013A5}"/>
            </c:ext>
          </c:extLst>
        </c:ser>
        <c:ser>
          <c:idx val="11"/>
          <c:order val="11"/>
          <c:spPr>
            <a:ln w="3175">
              <a:solidFill>
                <a:srgbClr val="000000"/>
              </a:solidFill>
              <a:prstDash val="solid"/>
            </a:ln>
          </c:spPr>
          <c:marker>
            <c:symbol val="none"/>
          </c:marker>
          <c:xVal>
            <c:numLit>
              <c:formatCode>General</c:formatCode>
              <c:ptCount val="2"/>
              <c:pt idx="0">
                <c:v>15.538289652700842</c:v>
              </c:pt>
              <c:pt idx="1">
                <c:v>15.261865871573226</c:v>
              </c:pt>
            </c:numLit>
          </c:xVal>
          <c:yVal>
            <c:numLit>
              <c:formatCode>General</c:formatCode>
              <c:ptCount val="2"/>
              <c:pt idx="0">
                <c:v>3.2352645029202619E-2</c:v>
              </c:pt>
              <c:pt idx="1">
                <c:v>3.1958760717850802E-2</c:v>
              </c:pt>
            </c:numLit>
          </c:yVal>
          <c:smooth val="0"/>
          <c:extLst>
            <c:ext xmlns:c16="http://schemas.microsoft.com/office/drawing/2014/chart" uri="{C3380CC4-5D6E-409C-BE32-E72D297353CC}">
              <c16:uniqueId val="{0000000B-4A09-48A6-B9BD-07AF6B2013A5}"/>
            </c:ext>
          </c:extLst>
        </c:ser>
        <c:ser>
          <c:idx val="12"/>
          <c:order val="12"/>
          <c:spPr>
            <a:ln w="3175">
              <a:solidFill>
                <a:srgbClr val="000000"/>
              </a:solidFill>
              <a:prstDash val="solid"/>
            </a:ln>
          </c:spPr>
          <c:marker>
            <c:symbol val="none"/>
          </c:marker>
          <c:xVal>
            <c:numLit>
              <c:formatCode>General</c:formatCode>
              <c:ptCount val="2"/>
              <c:pt idx="0">
                <c:v>15.08097215642557</c:v>
              </c:pt>
              <c:pt idx="1">
                <c:v>14.950645050280301</c:v>
              </c:pt>
            </c:numLit>
          </c:xVal>
          <c:yVal>
            <c:numLit>
              <c:formatCode>General</c:formatCode>
              <c:ptCount val="2"/>
              <c:pt idx="0">
                <c:v>3.2521960349640437E-2</c:v>
              </c:pt>
              <c:pt idx="1">
                <c:v>3.2322098964301806E-2</c:v>
              </c:pt>
            </c:numLit>
          </c:yVal>
          <c:smooth val="0"/>
          <c:extLst>
            <c:ext xmlns:c16="http://schemas.microsoft.com/office/drawing/2014/chart" uri="{C3380CC4-5D6E-409C-BE32-E72D297353CC}">
              <c16:uniqueId val="{0000000C-4A09-48A6-B9BD-07AF6B2013A5}"/>
            </c:ext>
          </c:extLst>
        </c:ser>
        <c:ser>
          <c:idx val="13"/>
          <c:order val="13"/>
          <c:spPr>
            <a:ln w="3175">
              <a:solidFill>
                <a:srgbClr val="000000"/>
              </a:solidFill>
              <a:prstDash val="solid"/>
            </a:ln>
          </c:spPr>
          <c:marker>
            <c:symbol val="none"/>
          </c:marker>
          <c:xVal>
            <c:numLit>
              <c:formatCode>General</c:formatCode>
              <c:ptCount val="2"/>
              <c:pt idx="0">
                <c:v>14.603499843901423</c:v>
              </c:pt>
              <c:pt idx="1">
                <c:v>14.359310194111718</c:v>
              </c:pt>
            </c:numLit>
          </c:xVal>
          <c:yVal>
            <c:numLit>
              <c:formatCode>General</c:formatCode>
              <c:ptCount val="2"/>
              <c:pt idx="0">
                <c:v>3.2685757166608632E-2</c:v>
              </c:pt>
              <c:pt idx="1">
                <c:v>3.2280386229829018E-2</c:v>
              </c:pt>
            </c:numLit>
          </c:yVal>
          <c:smooth val="0"/>
          <c:extLst>
            <c:ext xmlns:c16="http://schemas.microsoft.com/office/drawing/2014/chart" uri="{C3380CC4-5D6E-409C-BE32-E72D297353CC}">
              <c16:uniqueId val="{0000000D-4A09-48A6-B9BD-07AF6B2013A5}"/>
            </c:ext>
          </c:extLst>
        </c:ser>
        <c:ser>
          <c:idx val="14"/>
          <c:order val="14"/>
          <c:spPr>
            <a:ln w="3175">
              <a:solidFill>
                <a:srgbClr val="000000"/>
              </a:solidFill>
              <a:prstDash val="solid"/>
            </a:ln>
          </c:spPr>
          <c:marker>
            <c:symbol val="none"/>
          </c:marker>
          <c:xVal>
            <c:numLit>
              <c:formatCode>General</c:formatCode>
              <c:ptCount val="2"/>
              <c:pt idx="0">
                <c:v>14.106057727229052</c:v>
              </c:pt>
              <c:pt idx="1">
                <c:v>13.992539490552689</c:v>
              </c:pt>
            </c:numLit>
          </c:xVal>
          <c:yVal>
            <c:numLit>
              <c:formatCode>General</c:formatCode>
              <c:ptCount val="2"/>
              <c:pt idx="0">
                <c:v>3.2842881427324513E-2</c:v>
              </c:pt>
              <c:pt idx="1">
                <c:v>3.2637486919956847E-2</c:v>
              </c:pt>
            </c:numLit>
          </c:yVal>
          <c:smooth val="0"/>
          <c:extLst>
            <c:ext xmlns:c16="http://schemas.microsoft.com/office/drawing/2014/chart" uri="{C3380CC4-5D6E-409C-BE32-E72D297353CC}">
              <c16:uniqueId val="{0000000E-4A09-48A6-B9BD-07AF6B2013A5}"/>
            </c:ext>
          </c:extLst>
        </c:ser>
        <c:ser>
          <c:idx val="15"/>
          <c:order val="15"/>
          <c:spPr>
            <a:ln w="3175">
              <a:solidFill>
                <a:srgbClr val="000000"/>
              </a:solidFill>
              <a:prstDash val="solid"/>
            </a:ln>
          </c:spPr>
          <c:marker>
            <c:symbol val="none"/>
          </c:marker>
          <c:xVal>
            <c:numLit>
              <c:formatCode>General</c:formatCode>
              <c:ptCount val="2"/>
              <c:pt idx="0">
                <c:v>13.589037803579986</c:v>
              </c:pt>
              <c:pt idx="1">
                <c:v>13.379829603456537</c:v>
              </c:pt>
            </c:numLit>
          </c:xVal>
          <c:yVal>
            <c:numLit>
              <c:formatCode>General</c:formatCode>
              <c:ptCount val="2"/>
              <c:pt idx="0">
                <c:v>3.2992134447433728E-2</c:v>
              </c:pt>
              <c:pt idx="1">
                <c:v>3.2576198776832564E-2</c:v>
              </c:pt>
            </c:numLit>
          </c:yVal>
          <c:smooth val="0"/>
          <c:extLst>
            <c:ext xmlns:c16="http://schemas.microsoft.com/office/drawing/2014/chart" uri="{C3380CC4-5D6E-409C-BE32-E72D297353CC}">
              <c16:uniqueId val="{0000000F-4A09-48A6-B9BD-07AF6B2013A5}"/>
            </c:ext>
          </c:extLst>
        </c:ser>
        <c:ser>
          <c:idx val="16"/>
          <c:order val="16"/>
          <c:spPr>
            <a:ln w="3175">
              <a:solidFill>
                <a:srgbClr val="000000"/>
              </a:solidFill>
              <a:prstDash val="solid"/>
            </a:ln>
          </c:spPr>
          <c:marker>
            <c:symbol val="none"/>
          </c:marker>
          <c:xVal>
            <c:numLit>
              <c:formatCode>General</c:formatCode>
              <c:ptCount val="2"/>
              <c:pt idx="0">
                <c:v>13.053058090665036</c:v>
              </c:pt>
              <c:pt idx="1">
                <c:v>12.957695020136329</c:v>
              </c:pt>
            </c:numLit>
          </c:xVal>
          <c:yVal>
            <c:numLit>
              <c:formatCode>General</c:formatCode>
              <c:ptCount val="2"/>
              <c:pt idx="0">
                <c:v>3.3132290436861909E-2</c:v>
              </c:pt>
              <c:pt idx="1">
                <c:v>3.2921906118984975E-2</c:v>
              </c:pt>
            </c:numLit>
          </c:yVal>
          <c:smooth val="0"/>
          <c:extLst>
            <c:ext xmlns:c16="http://schemas.microsoft.com/office/drawing/2014/chart" uri="{C3380CC4-5D6E-409C-BE32-E72D297353CC}">
              <c16:uniqueId val="{00000010-4A09-48A6-B9BD-07AF6B2013A5}"/>
            </c:ext>
          </c:extLst>
        </c:ser>
        <c:ser>
          <c:idx val="17"/>
          <c:order val="17"/>
          <c:spPr>
            <a:ln w="3175">
              <a:solidFill>
                <a:srgbClr val="000000"/>
              </a:solidFill>
              <a:prstDash val="solid"/>
            </a:ln>
          </c:spPr>
          <c:marker>
            <c:symbol val="none"/>
          </c:marker>
          <c:xVal>
            <c:numLit>
              <c:formatCode>General</c:formatCode>
              <c:ptCount val="2"/>
              <c:pt idx="0">
                <c:v>12.498977840522226</c:v>
              </c:pt>
              <c:pt idx="1">
                <c:v>12.327357914986976</c:v>
              </c:pt>
            </c:numLit>
          </c:xVal>
          <c:yVal>
            <c:numLit>
              <c:formatCode>General</c:formatCode>
              <c:ptCount val="2"/>
              <c:pt idx="0">
                <c:v>3.3262117506318627E-2</c:v>
              </c:pt>
              <c:pt idx="1">
                <c:v>3.2836872075066262E-2</c:v>
              </c:pt>
            </c:numLit>
          </c:yVal>
          <c:smooth val="0"/>
          <c:extLst>
            <c:ext xmlns:c16="http://schemas.microsoft.com/office/drawing/2014/chart" uri="{C3380CC4-5D6E-409C-BE32-E72D297353CC}">
              <c16:uniqueId val="{00000011-4A09-48A6-B9BD-07AF6B2013A5}"/>
            </c:ext>
          </c:extLst>
        </c:ser>
        <c:ser>
          <c:idx val="18"/>
          <c:order val="18"/>
          <c:spPr>
            <a:ln w="3175">
              <a:solidFill>
                <a:srgbClr val="000000"/>
              </a:solidFill>
              <a:prstDash val="solid"/>
            </a:ln>
          </c:spPr>
          <c:marker>
            <c:symbol val="none"/>
          </c:marker>
          <c:xVal>
            <c:numLit>
              <c:formatCode>General</c:formatCode>
              <c:ptCount val="2"/>
              <c:pt idx="0">
                <c:v>11.927907597824111</c:v>
              </c:pt>
              <c:pt idx="1">
                <c:v>11.851943673723694</c:v>
              </c:pt>
            </c:numLit>
          </c:xVal>
          <c:yVal>
            <c:numLit>
              <c:formatCode>General</c:formatCode>
              <c:ptCount val="2"/>
              <c:pt idx="0">
                <c:v>3.3380401807334426E-2</c:v>
              </c:pt>
              <c:pt idx="1">
                <c:v>3.3165739707207965E-2</c:v>
              </c:pt>
            </c:numLit>
          </c:yVal>
          <c:smooth val="0"/>
          <c:extLst>
            <c:ext xmlns:c16="http://schemas.microsoft.com/office/drawing/2014/chart" uri="{C3380CC4-5D6E-409C-BE32-E72D297353CC}">
              <c16:uniqueId val="{00000012-4A09-48A6-B9BD-07AF6B2013A5}"/>
            </c:ext>
          </c:extLst>
        </c:ser>
        <c:ser>
          <c:idx val="19"/>
          <c:order val="19"/>
          <c:spPr>
            <a:ln w="3175">
              <a:solidFill>
                <a:srgbClr val="000000"/>
              </a:solidFill>
              <a:prstDash val="solid"/>
            </a:ln>
          </c:spPr>
          <c:marker>
            <c:symbol val="none"/>
          </c:marker>
          <c:xVal>
            <c:numLit>
              <c:formatCode>General</c:formatCode>
              <c:ptCount val="2"/>
              <c:pt idx="0">
                <c:v>11.341212826619152</c:v>
              </c:pt>
              <c:pt idx="1">
                <c:v>11.209515832597802</c:v>
              </c:pt>
            </c:numLit>
          </c:xVal>
          <c:yVal>
            <c:numLit>
              <c:formatCode>General</c:formatCode>
              <c:ptCount val="2"/>
              <c:pt idx="0">
                <c:v>3.348597419470218E-2</c:v>
              </c:pt>
              <c:pt idx="1">
                <c:v>3.3053009567298661E-2</c:v>
              </c:pt>
            </c:numLit>
          </c:yVal>
          <c:smooth val="0"/>
          <c:extLst>
            <c:ext xmlns:c16="http://schemas.microsoft.com/office/drawing/2014/chart" uri="{C3380CC4-5D6E-409C-BE32-E72D297353CC}">
              <c16:uniqueId val="{00000013-4A09-48A6-B9BD-07AF6B2013A5}"/>
            </c:ext>
          </c:extLst>
        </c:ser>
        <c:ser>
          <c:idx val="20"/>
          <c:order val="20"/>
          <c:spPr>
            <a:ln w="3175">
              <a:solidFill>
                <a:srgbClr val="000000"/>
              </a:solidFill>
              <a:prstDash val="solid"/>
            </a:ln>
          </c:spPr>
          <c:marker>
            <c:symbol val="none"/>
          </c:marker>
          <c:xVal>
            <c:numLit>
              <c:formatCode>General</c:formatCode>
              <c:ptCount val="2"/>
              <c:pt idx="0">
                <c:v>10.740510003894533</c:v>
              </c:pt>
              <c:pt idx="1">
                <c:v>10.685018452103247</c:v>
              </c:pt>
            </c:numLit>
          </c:xVal>
          <c:yVal>
            <c:numLit>
              <c:formatCode>General</c:formatCode>
              <c:ptCount val="2"/>
              <c:pt idx="0">
                <c:v>3.3577738530929296E-2</c:v>
              </c:pt>
              <c:pt idx="1">
                <c:v>3.3359674073499483E-2</c:v>
              </c:pt>
            </c:numLit>
          </c:yVal>
          <c:smooth val="0"/>
          <c:extLst>
            <c:ext xmlns:c16="http://schemas.microsoft.com/office/drawing/2014/chart" uri="{C3380CC4-5D6E-409C-BE32-E72D297353CC}">
              <c16:uniqueId val="{00000014-4A09-48A6-B9BD-07AF6B2013A5}"/>
            </c:ext>
          </c:extLst>
        </c:ser>
        <c:ser>
          <c:idx val="21"/>
          <c:order val="21"/>
          <c:spPr>
            <a:ln w="3175">
              <a:solidFill>
                <a:srgbClr val="000000"/>
              </a:solidFill>
              <a:prstDash val="solid"/>
            </a:ln>
          </c:spPr>
          <c:marker>
            <c:symbol val="none"/>
          </c:marker>
          <c:xVal>
            <c:numLit>
              <c:formatCode>General</c:formatCode>
              <c:ptCount val="2"/>
              <c:pt idx="0">
                <c:v>10.127654377823859</c:v>
              </c:pt>
              <c:pt idx="1">
                <c:v>10.037804226864415</c:v>
              </c:pt>
            </c:numLit>
          </c:xVal>
          <c:yVal>
            <c:numLit>
              <c:formatCode>General</c:formatCode>
              <c:ptCount val="2"/>
              <c:pt idx="0">
                <c:v>3.3654700505295149E-2</c:v>
              </c:pt>
              <c:pt idx="1">
                <c:v>3.3215917729250491E-2</c:v>
              </c:pt>
            </c:numLit>
          </c:yVal>
          <c:smooth val="0"/>
          <c:extLst>
            <c:ext xmlns:c16="http://schemas.microsoft.com/office/drawing/2014/chart" uri="{C3380CC4-5D6E-409C-BE32-E72D297353CC}">
              <c16:uniqueId val="{00000015-4A09-48A6-B9BD-07AF6B2013A5}"/>
            </c:ext>
          </c:extLst>
        </c:ser>
        <c:ser>
          <c:idx val="22"/>
          <c:order val="22"/>
          <c:spPr>
            <a:ln w="3175">
              <a:solidFill>
                <a:srgbClr val="000000"/>
              </a:solidFill>
              <a:prstDash val="solid"/>
            </a:ln>
          </c:spPr>
          <c:marker>
            <c:symbol val="none"/>
          </c:marker>
          <c:xVal>
            <c:numLit>
              <c:formatCode>General</c:formatCode>
              <c:ptCount val="2"/>
              <c:pt idx="0">
                <c:v>9.5047190068155949</c:v>
              </c:pt>
              <c:pt idx="1">
                <c:v>9.4705341963532561</c:v>
              </c:pt>
            </c:numLit>
          </c:xVal>
          <c:yVal>
            <c:numLit>
              <c:formatCode>General</c:formatCode>
              <c:ptCount val="2"/>
              <c:pt idx="0">
                <c:v>3.3715995646515944E-2</c:v>
              </c:pt>
              <c:pt idx="1">
                <c:v>3.3495547445713945E-2</c:v>
              </c:pt>
            </c:numLit>
          </c:yVal>
          <c:smooth val="0"/>
          <c:extLst>
            <c:ext xmlns:c16="http://schemas.microsoft.com/office/drawing/2014/chart" uri="{C3380CC4-5D6E-409C-BE32-E72D297353CC}">
              <c16:uniqueId val="{00000016-4A09-48A6-B9BD-07AF6B2013A5}"/>
            </c:ext>
          </c:extLst>
        </c:ser>
        <c:ser>
          <c:idx val="23"/>
          <c:order val="23"/>
          <c:spPr>
            <a:ln w="3175">
              <a:solidFill>
                <a:srgbClr val="000000"/>
              </a:solidFill>
              <a:prstDash val="solid"/>
            </a:ln>
          </c:spPr>
          <c:marker>
            <c:symbol val="none"/>
          </c:marker>
          <c:xVal>
            <c:numLit>
              <c:formatCode>General</c:formatCode>
              <c:ptCount val="2"/>
              <c:pt idx="0">
                <c:v>8.8739652091894179</c:v>
              </c:pt>
              <c:pt idx="1">
                <c:v>8.8273457192173677</c:v>
              </c:pt>
            </c:numLit>
          </c:xVal>
          <c:yVal>
            <c:numLit>
              <c:formatCode>General</c:formatCode>
              <c:ptCount val="2"/>
              <c:pt idx="0">
                <c:v>3.3760915098533552E-2</c:v>
              </c:pt>
              <c:pt idx="1">
                <c:v>3.3318469750308249E-2</c:v>
              </c:pt>
            </c:numLit>
          </c:yVal>
          <c:smooth val="0"/>
          <c:extLst>
            <c:ext xmlns:c16="http://schemas.microsoft.com/office/drawing/2014/chart" uri="{C3380CC4-5D6E-409C-BE32-E72D297353CC}">
              <c16:uniqueId val="{00000017-4A09-48A6-B9BD-07AF6B2013A5}"/>
            </c:ext>
          </c:extLst>
        </c:ser>
        <c:ser>
          <c:idx val="24"/>
          <c:order val="24"/>
          <c:spPr>
            <a:ln w="3175">
              <a:solidFill>
                <a:srgbClr val="000000"/>
              </a:solidFill>
              <a:prstDash val="solid"/>
            </a:ln>
          </c:spPr>
          <c:marker>
            <c:symbol val="none"/>
          </c:marker>
          <c:xVal>
            <c:numLit>
              <c:formatCode>General</c:formatCode>
              <c:ptCount val="2"/>
              <c:pt idx="0">
                <c:v>8.2378051220730821</c:v>
              </c:pt>
              <c:pt idx="1">
                <c:v>8.225463654451131</c:v>
              </c:pt>
            </c:numLit>
          </c:xVal>
          <c:yVal>
            <c:numLit>
              <c:formatCode>General</c:formatCode>
              <c:ptCount val="2"/>
              <c:pt idx="0">
                <c:v>3.378892772867001E-2</c:v>
              </c:pt>
              <c:pt idx="1">
                <c:v>3.3567222078175703E-2</c:v>
              </c:pt>
            </c:numLit>
          </c:yVal>
          <c:smooth val="0"/>
          <c:extLst>
            <c:ext xmlns:c16="http://schemas.microsoft.com/office/drawing/2014/chart" uri="{C3380CC4-5D6E-409C-BE32-E72D297353CC}">
              <c16:uniqueId val="{00000018-4A09-48A6-B9BD-07AF6B2013A5}"/>
            </c:ext>
          </c:extLst>
        </c:ser>
        <c:ser>
          <c:idx val="25"/>
          <c:order val="25"/>
          <c:spPr>
            <a:ln w="3175">
              <a:solidFill>
                <a:srgbClr val="000000"/>
              </a:solidFill>
              <a:prstDash val="solid"/>
            </a:ln>
          </c:spPr>
          <c:marker>
            <c:symbol val="none"/>
          </c:marker>
          <c:xVal>
            <c:numLit>
              <c:formatCode>General</c:formatCode>
              <c:ptCount val="2"/>
              <c:pt idx="0">
                <c:v>7.5987576377376911</c:v>
              </c:pt>
              <c:pt idx="1">
                <c:v>7.5961108226432881</c:v>
              </c:pt>
            </c:numLit>
          </c:xVal>
          <c:yVal>
            <c:numLit>
              <c:formatCode>General</c:formatCode>
              <c:ptCount val="2"/>
              <c:pt idx="0">
                <c:v>3.3799697260686282E-2</c:v>
              </c:pt>
              <c:pt idx="1">
                <c:v>3.3355914596524684E-2</c:v>
              </c:pt>
            </c:numLit>
          </c:yVal>
          <c:smooth val="0"/>
          <c:extLst>
            <c:ext xmlns:c16="http://schemas.microsoft.com/office/drawing/2014/chart" uri="{C3380CC4-5D6E-409C-BE32-E72D297353CC}">
              <c16:uniqueId val="{00000019-4A09-48A6-B9BD-07AF6B2013A5}"/>
            </c:ext>
          </c:extLst>
        </c:ser>
        <c:ser>
          <c:idx val="26"/>
          <c:order val="26"/>
          <c:spPr>
            <a:ln w="3175">
              <a:solidFill>
                <a:srgbClr val="000000"/>
              </a:solidFill>
              <a:prstDash val="solid"/>
            </a:ln>
          </c:spPr>
          <c:marker>
            <c:symbol val="none"/>
          </c:marker>
          <c:xVal>
            <c:numLit>
              <c:formatCode>General</c:formatCode>
              <c:ptCount val="2"/>
              <c:pt idx="0">
                <c:v>6.9593994946761999</c:v>
              </c:pt>
              <c:pt idx="1">
                <c:v>6.9690995033886791</c:v>
              </c:pt>
            </c:numLit>
          </c:xVal>
          <c:yVal>
            <c:numLit>
              <c:formatCode>General</c:formatCode>
              <c:ptCount val="2"/>
              <c:pt idx="0">
                <c:v>3.3793093371721462E-2</c:v>
              </c:pt>
              <c:pt idx="1">
                <c:v>3.3571315899795236E-2</c:v>
              </c:pt>
            </c:numLit>
          </c:yVal>
          <c:smooth val="0"/>
          <c:extLst>
            <c:ext xmlns:c16="http://schemas.microsoft.com/office/drawing/2014/chart" uri="{C3380CC4-5D6E-409C-BE32-E72D297353CC}">
              <c16:uniqueId val="{0000001A-4A09-48A6-B9BD-07AF6B2013A5}"/>
            </c:ext>
          </c:extLst>
        </c:ser>
        <c:ser>
          <c:idx val="27"/>
          <c:order val="27"/>
          <c:spPr>
            <a:ln w="3175">
              <a:solidFill>
                <a:srgbClr val="000000"/>
              </a:solidFill>
              <a:prstDash val="solid"/>
            </a:ln>
          </c:spPr>
          <c:marker>
            <c:symbol val="none"/>
          </c:marker>
          <c:xVal>
            <c:numLit>
              <c:formatCode>General</c:formatCode>
              <c:ptCount val="2"/>
              <c:pt idx="0">
                <c:v>6.3223136896666619</c:v>
              </c:pt>
              <c:pt idx="1">
                <c:v>6.363682183126433</c:v>
              </c:pt>
            </c:numLit>
          </c:xVal>
          <c:yVal>
            <c:numLit>
              <c:formatCode>General</c:formatCode>
              <c:ptCount val="2"/>
              <c:pt idx="0">
                <c:v>3.3769196044631293E-2</c:v>
              </c:pt>
              <c:pt idx="1">
                <c:v>3.3326465146540557E-2</c:v>
              </c:pt>
            </c:numLit>
          </c:yVal>
          <c:smooth val="0"/>
          <c:extLst>
            <c:ext xmlns:c16="http://schemas.microsoft.com/office/drawing/2014/chart" uri="{C3380CC4-5D6E-409C-BE32-E72D297353CC}">
              <c16:uniqueId val="{0000001B-4A09-48A6-B9BD-07AF6B2013A5}"/>
            </c:ext>
          </c:extLst>
        </c:ser>
        <c:ser>
          <c:idx val="28"/>
          <c:order val="28"/>
          <c:spPr>
            <a:ln w="3175">
              <a:solidFill>
                <a:srgbClr val="000000"/>
              </a:solidFill>
              <a:prstDash val="solid"/>
            </a:ln>
          </c:spPr>
          <c:marker>
            <c:symbol val="none"/>
          </c:marker>
          <c:xVal>
            <c:numLit>
              <c:formatCode>General</c:formatCode>
              <c:ptCount val="2"/>
              <c:pt idx="0">
                <c:v>5.690037597761866</c:v>
              </c:pt>
              <c:pt idx="1">
                <c:v>5.7216231564211437</c:v>
              </c:pt>
            </c:numLit>
          </c:xVal>
          <c:yVal>
            <c:numLit>
              <c:formatCode>General</c:formatCode>
              <c:ptCount val="2"/>
              <c:pt idx="0">
                <c:v>3.3728292893413635E-2</c:v>
              </c:pt>
              <c:pt idx="1">
                <c:v>3.3507632671113403E-2</c:v>
              </c:pt>
            </c:numLit>
          </c:yVal>
          <c:smooth val="0"/>
          <c:extLst>
            <c:ext xmlns:c16="http://schemas.microsoft.com/office/drawing/2014/chart" uri="{C3380CC4-5D6E-409C-BE32-E72D297353CC}">
              <c16:uniqueId val="{0000001C-4A09-48A6-B9BD-07AF6B2013A5}"/>
            </c:ext>
          </c:extLst>
        </c:ser>
        <c:ser>
          <c:idx val="29"/>
          <c:order val="29"/>
          <c:spPr>
            <a:ln w="3175">
              <a:solidFill>
                <a:srgbClr val="000000"/>
              </a:solidFill>
              <a:prstDash val="solid"/>
            </a:ln>
          </c:spPr>
          <c:marker>
            <c:symbol val="none"/>
          </c:marker>
          <c:xVal>
            <c:numLit>
              <c:formatCode>General</c:formatCode>
              <c:ptCount val="2"/>
              <c:pt idx="0">
                <c:v>5.0650132114445139</c:v>
              </c:pt>
              <c:pt idx="1">
                <c:v>5.1497368938084964</c:v>
              </c:pt>
            </c:numLit>
          </c:xVal>
          <c:yVal>
            <c:numLit>
              <c:formatCode>General</c:formatCode>
              <c:ptCount val="2"/>
              <c:pt idx="0">
                <c:v>3.3670869635499083E-2</c:v>
              </c:pt>
              <c:pt idx="1">
                <c:v>3.3231529303240491E-2</c:v>
              </c:pt>
            </c:numLit>
          </c:yVal>
          <c:smooth val="0"/>
          <c:extLst>
            <c:ext xmlns:c16="http://schemas.microsoft.com/office/drawing/2014/chart" uri="{C3380CC4-5D6E-409C-BE32-E72D297353CC}">
              <c16:uniqueId val="{0000001D-4A09-48A6-B9BD-07AF6B2013A5}"/>
            </c:ext>
          </c:extLst>
        </c:ser>
        <c:ser>
          <c:idx val="30"/>
          <c:order val="30"/>
          <c:spPr>
            <a:ln w="3175">
              <a:solidFill>
                <a:srgbClr val="000000"/>
              </a:solidFill>
              <a:prstDash val="solid"/>
            </a:ln>
          </c:spPr>
          <c:marker>
            <c:symbol val="none"/>
          </c:marker>
          <c:xVal>
            <c:numLit>
              <c:formatCode>General</c:formatCode>
              <c:ptCount val="2"/>
              <c:pt idx="0">
                <c:v>4.4495417349447202</c:v>
              </c:pt>
              <c:pt idx="1">
                <c:v>4.5025151533077423</c:v>
              </c:pt>
            </c:numLit>
          </c:xVal>
          <c:yVal>
            <c:numLit>
              <c:formatCode>General</c:formatCode>
              <c:ptCount val="2"/>
              <c:pt idx="0">
                <c:v>3.3597594322318097E-2</c:v>
              </c:pt>
              <c:pt idx="1">
                <c:v>3.3379187523657441E-2</c:v>
              </c:pt>
            </c:numLit>
          </c:yVal>
          <c:smooth val="0"/>
          <c:extLst>
            <c:ext xmlns:c16="http://schemas.microsoft.com/office/drawing/2014/chart" uri="{C3380CC4-5D6E-409C-BE32-E72D297353CC}">
              <c16:uniqueId val="{0000001E-4A09-48A6-B9BD-07AF6B2013A5}"/>
            </c:ext>
          </c:extLst>
        </c:ser>
        <c:ser>
          <c:idx val="31"/>
          <c:order val="31"/>
          <c:spPr>
            <a:ln w="3175">
              <a:solidFill>
                <a:srgbClr val="000000"/>
              </a:solidFill>
              <a:prstDash val="solid"/>
            </a:ln>
          </c:spPr>
          <c:marker>
            <c:symbol val="none"/>
          </c:marker>
          <c:xVal>
            <c:numLit>
              <c:formatCode>General</c:formatCode>
              <c:ptCount val="2"/>
              <c:pt idx="0">
                <c:v>3.8457444174013791</c:v>
              </c:pt>
              <c:pt idx="1">
                <c:v>3.9725118512840907</c:v>
              </c:pt>
            </c:numLit>
          </c:xVal>
          <c:yVal>
            <c:numLit>
              <c:formatCode>General</c:formatCode>
              <c:ptCount val="2"/>
              <c:pt idx="0">
                <c:v>3.3509296313245625E-2</c:v>
              </c:pt>
              <c:pt idx="1">
                <c:v>3.3075527474857841E-2</c:v>
              </c:pt>
            </c:numLit>
          </c:yVal>
          <c:smooth val="0"/>
          <c:extLst>
            <c:ext xmlns:c16="http://schemas.microsoft.com/office/drawing/2014/chart" uri="{C3380CC4-5D6E-409C-BE32-E72D297353CC}">
              <c16:uniqueId val="{0000001F-4A09-48A6-B9BD-07AF6B2013A5}"/>
            </c:ext>
          </c:extLst>
        </c:ser>
        <c:ser>
          <c:idx val="32"/>
          <c:order val="32"/>
          <c:spPr>
            <a:ln w="3175">
              <a:solidFill>
                <a:srgbClr val="000000"/>
              </a:solidFill>
              <a:prstDash val="solid"/>
            </a:ln>
          </c:spPr>
          <c:marker>
            <c:symbol val="none"/>
          </c:marker>
          <c:xVal>
            <c:numLit>
              <c:formatCode>General</c:formatCode>
              <c:ptCount val="2"/>
              <c:pt idx="0">
                <c:v>3.255531023136959</c:v>
              </c:pt>
              <c:pt idx="1">
                <c:v>3.3290908330828737</c:v>
              </c:pt>
            </c:numLit>
          </c:xVal>
          <c:yVal>
            <c:numLit>
              <c:formatCode>General</c:formatCode>
              <c:ptCount val="2"/>
              <c:pt idx="0">
                <c:v>3.3406941252105297E-2</c:v>
              </c:pt>
              <c:pt idx="1">
                <c:v>3.3191821575344858E-2</c:v>
              </c:pt>
            </c:numLit>
          </c:yVal>
          <c:smooth val="0"/>
          <c:extLst>
            <c:ext xmlns:c16="http://schemas.microsoft.com/office/drawing/2014/chart" uri="{C3380CC4-5D6E-409C-BE32-E72D297353CC}">
              <c16:uniqueId val="{00000020-4A09-48A6-B9BD-07AF6B2013A5}"/>
            </c:ext>
          </c:extLst>
        </c:ser>
        <c:ser>
          <c:idx val="33"/>
          <c:order val="33"/>
          <c:spPr>
            <a:ln w="3175">
              <a:solidFill>
                <a:srgbClr val="000000"/>
              </a:solidFill>
              <a:prstDash val="solid"/>
            </a:ln>
          </c:spPr>
          <c:marker>
            <c:symbol val="none"/>
          </c:marker>
          <c:xVal>
            <c:numLit>
              <c:formatCode>General</c:formatCode>
              <c:ptCount val="2"/>
              <c:pt idx="0">
                <c:v>2.6805767765256308</c:v>
              </c:pt>
              <c:pt idx="1">
                <c:v>2.8475224049212988</c:v>
              </c:pt>
            </c:numLit>
          </c:xVal>
          <c:yVal>
            <c:numLit>
              <c:formatCode>General</c:formatCode>
              <c:ptCount val="2"/>
              <c:pt idx="0">
                <c:v>3.3291603458921876E-2</c:v>
              </c:pt>
              <c:pt idx="1">
                <c:v>3.286534127068319E-2</c:v>
              </c:pt>
            </c:numLit>
          </c:yVal>
          <c:smooth val="0"/>
          <c:extLst>
            <c:ext xmlns:c16="http://schemas.microsoft.com/office/drawing/2014/chart" uri="{C3380CC4-5D6E-409C-BE32-E72D297353CC}">
              <c16:uniqueId val="{00000021-4A09-48A6-B9BD-07AF6B2013A5}"/>
            </c:ext>
          </c:extLst>
        </c:ser>
        <c:ser>
          <c:idx val="34"/>
          <c:order val="34"/>
          <c:spPr>
            <a:ln w="3175">
              <a:solidFill>
                <a:srgbClr val="000000"/>
              </a:solidFill>
              <a:prstDash val="solid"/>
            </a:ln>
          </c:spPr>
          <c:marker>
            <c:symbol val="none"/>
          </c:marker>
          <c:xVal>
            <c:numLit>
              <c:formatCode>General</c:formatCode>
              <c:ptCount val="2"/>
              <c:pt idx="0">
                <c:v>2.1223080446173976</c:v>
              </c:pt>
              <c:pt idx="1">
                <c:v>2.215406181779167</c:v>
              </c:pt>
            </c:numLit>
          </c:xVal>
          <c:yVal>
            <c:numLit>
              <c:formatCode>General</c:formatCode>
              <c:ptCount val="2"/>
              <c:pt idx="0">
                <c:v>3.3164437178186706E-2</c:v>
              </c:pt>
              <c:pt idx="1">
                <c:v>3.2953498606149004E-2</c:v>
              </c:pt>
            </c:numLit>
          </c:yVal>
          <c:smooth val="0"/>
          <c:extLst>
            <c:ext xmlns:c16="http://schemas.microsoft.com/office/drawing/2014/chart" uri="{C3380CC4-5D6E-409C-BE32-E72D297353CC}">
              <c16:uniqueId val="{00000022-4A09-48A6-B9BD-07AF6B2013A5}"/>
            </c:ext>
          </c:extLst>
        </c:ser>
        <c:ser>
          <c:idx val="35"/>
          <c:order val="35"/>
          <c:spPr>
            <a:ln w="3175">
              <a:solidFill>
                <a:srgbClr val="000000"/>
              </a:solidFill>
              <a:prstDash val="solid"/>
            </a:ln>
          </c:spPr>
          <c:marker>
            <c:symbol val="none"/>
          </c:marker>
          <c:xVal>
            <c:numLit>
              <c:formatCode>General</c:formatCode>
              <c:ptCount val="2"/>
              <c:pt idx="0">
                <c:v>1.5818964894711631</c:v>
              </c:pt>
              <c:pt idx="1">
                <c:v>1.7867276450066407</c:v>
              </c:pt>
            </c:numLit>
          </c:xVal>
          <c:yVal>
            <c:numLit>
              <c:formatCode>General</c:formatCode>
              <c:ptCount val="2"/>
              <c:pt idx="0">
                <c:v>3.3026648039659948E-2</c:v>
              </c:pt>
              <c:pt idx="1">
                <c:v>3.2609522245188913E-2</c:v>
              </c:pt>
            </c:numLit>
          </c:yVal>
          <c:smooth val="0"/>
          <c:extLst>
            <c:ext xmlns:c16="http://schemas.microsoft.com/office/drawing/2014/chart" uri="{C3380CC4-5D6E-409C-BE32-E72D297353CC}">
              <c16:uniqueId val="{00000023-4A09-48A6-B9BD-07AF6B2013A5}"/>
            </c:ext>
          </c:extLst>
        </c:ser>
        <c:ser>
          <c:idx val="36"/>
          <c:order val="36"/>
          <c:spPr>
            <a:ln w="3175">
              <a:solidFill>
                <a:srgbClr val="000000"/>
              </a:solidFill>
              <a:prstDash val="solid"/>
            </a:ln>
          </c:spPr>
          <c:marker>
            <c:symbol val="none"/>
          </c:marker>
          <c:xVal>
            <c:numLit>
              <c:formatCode>General</c:formatCode>
              <c:ptCount val="2"/>
              <c:pt idx="0">
                <c:v>1.0602609781934789</c:v>
              </c:pt>
              <c:pt idx="1">
                <c:v>1.1716702716729019</c:v>
              </c:pt>
            </c:numLit>
          </c:xVal>
          <c:yVal>
            <c:numLit>
              <c:formatCode>General</c:formatCode>
              <c:ptCount val="2"/>
              <c:pt idx="0">
                <c:v>3.2879465911649565E-2</c:v>
              </c:pt>
              <c:pt idx="1">
                <c:v>3.2673440637310779E-2</c:v>
              </c:pt>
            </c:numLit>
          </c:yVal>
          <c:smooth val="0"/>
          <c:extLst>
            <c:ext xmlns:c16="http://schemas.microsoft.com/office/drawing/2014/chart" uri="{C3380CC4-5D6E-409C-BE32-E72D297353CC}">
              <c16:uniqueId val="{00000024-4A09-48A6-B9BD-07AF6B2013A5}"/>
            </c:ext>
          </c:extLst>
        </c:ser>
        <c:ser>
          <c:idx val="37"/>
          <c:order val="37"/>
          <c:spPr>
            <a:ln w="3175">
              <a:solidFill>
                <a:srgbClr val="000000"/>
              </a:solidFill>
              <a:prstDash val="solid"/>
            </a:ln>
          </c:spPr>
          <c:marker>
            <c:symbol val="none"/>
          </c:marker>
          <c:xVal>
            <c:numLit>
              <c:formatCode>General</c:formatCode>
              <c:ptCount val="2"/>
              <c:pt idx="0">
                <c:v>0.55807620951249115</c:v>
              </c:pt>
              <c:pt idx="1">
                <c:v>0.79821151263275059</c:v>
              </c:pt>
            </c:numLit>
          </c:xVal>
          <c:yVal>
            <c:numLit>
              <c:formatCode>General</c:formatCode>
              <c:ptCount val="2"/>
              <c:pt idx="0">
                <c:v>3.2724120089613527E-2</c:v>
              </c:pt>
              <c:pt idx="1">
                <c:v>3.2317426293419958E-2</c:v>
              </c:pt>
            </c:numLit>
          </c:yVal>
          <c:smooth val="0"/>
          <c:extLst>
            <c:ext xmlns:c16="http://schemas.microsoft.com/office/drawing/2014/chart" uri="{C3380CC4-5D6E-409C-BE32-E72D297353CC}">
              <c16:uniqueId val="{00000025-4A09-48A6-B9BD-07AF6B2013A5}"/>
            </c:ext>
          </c:extLst>
        </c:ser>
        <c:ser>
          <c:idx val="38"/>
          <c:order val="38"/>
          <c:spPr>
            <a:ln w="3175">
              <a:solidFill>
                <a:srgbClr val="000000"/>
              </a:solidFill>
              <a:prstDash val="solid"/>
            </a:ln>
          </c:spPr>
          <c:marker>
            <c:symbol val="none"/>
          </c:marker>
          <c:xVal>
            <c:numLit>
              <c:formatCode>General</c:formatCode>
              <c:ptCount val="2"/>
              <c:pt idx="0">
                <c:v>7.5786811510906382E-2</c:v>
              </c:pt>
              <c:pt idx="1">
                <c:v>0.20416979751933934</c:v>
              </c:pt>
            </c:numLit>
          </c:xVal>
          <c:yVal>
            <c:numLit>
              <c:formatCode>General</c:formatCode>
              <c:ptCount val="2"/>
              <c:pt idx="0">
                <c:v>3.2561817496304393E-2</c:v>
              </c:pt>
              <c:pt idx="1">
                <c:v>3.2361268918781903E-2</c:v>
              </c:pt>
            </c:numLit>
          </c:yVal>
          <c:smooth val="0"/>
          <c:extLst>
            <c:ext xmlns:c16="http://schemas.microsoft.com/office/drawing/2014/chart" uri="{C3380CC4-5D6E-409C-BE32-E72D297353CC}">
              <c16:uniqueId val="{00000026-4A09-48A6-B9BD-07AF6B2013A5}"/>
            </c:ext>
          </c:extLst>
        </c:ser>
        <c:ser>
          <c:idx val="39"/>
          <c:order val="39"/>
          <c:spPr>
            <a:ln w="3175">
              <a:solidFill>
                <a:srgbClr val="000000"/>
              </a:solidFill>
              <a:prstDash val="solid"/>
            </a:ln>
          </c:spPr>
          <c:marker>
            <c:symbol val="none"/>
          </c:marker>
          <c:xVal>
            <c:numLit>
              <c:formatCode>General</c:formatCode>
              <c:ptCount val="2"/>
              <c:pt idx="0">
                <c:v>-0.38637441921499299</c:v>
              </c:pt>
              <c:pt idx="1">
                <c:v>-0.11367185303516499</c:v>
              </c:pt>
            </c:numLit>
          </c:xVal>
          <c:yVal>
            <c:numLit>
              <c:formatCode>General</c:formatCode>
              <c:ptCount val="2"/>
              <c:pt idx="0">
                <c:v>3.2393724302205024E-2</c:v>
              </c:pt>
              <c:pt idx="1">
                <c:v>3.1998423464197956E-2</c:v>
              </c:pt>
            </c:numLit>
          </c:yVal>
          <c:smooth val="0"/>
          <c:extLst>
            <c:ext xmlns:c16="http://schemas.microsoft.com/office/drawing/2014/chart" uri="{C3380CC4-5D6E-409C-BE32-E72D297353CC}">
              <c16:uniqueId val="{00000027-4A09-48A6-B9BD-07AF6B2013A5}"/>
            </c:ext>
          </c:extLst>
        </c:ser>
        <c:ser>
          <c:idx val="40"/>
          <c:order val="40"/>
          <c:spPr>
            <a:ln w="3175">
              <a:solidFill>
                <a:srgbClr val="000000"/>
              </a:solidFill>
              <a:prstDash val="solid"/>
            </a:ln>
          </c:spPr>
          <c:marker>
            <c:symbol val="none"/>
          </c:marker>
          <c:xVal>
            <c:numLit>
              <c:formatCode>General</c:formatCode>
              <c:ptCount val="2"/>
              <c:pt idx="0">
                <c:v>-0.82836544769946818</c:v>
              </c:pt>
              <c:pt idx="1">
                <c:v>-0.68439362963568395</c:v>
              </c:pt>
            </c:numLit>
          </c:xVal>
          <c:yVal>
            <c:numLit>
              <c:formatCode>General</c:formatCode>
              <c:ptCount val="2"/>
              <c:pt idx="0">
                <c:v>3.2220951129550625E-2</c:v>
              </c:pt>
              <c:pt idx="1">
                <c:v>3.2026279558351474E-2</c:v>
              </c:pt>
            </c:numLit>
          </c:yVal>
          <c:smooth val="0"/>
          <c:extLst>
            <c:ext xmlns:c16="http://schemas.microsoft.com/office/drawing/2014/chart" uri="{C3380CC4-5D6E-409C-BE32-E72D297353CC}">
              <c16:uniqueId val="{00000028-4A09-48A6-B9BD-07AF6B2013A5}"/>
            </c:ext>
          </c:extLst>
        </c:ser>
        <c:ser>
          <c:idx val="41"/>
          <c:order val="41"/>
          <c:spPr>
            <a:ln w="3175">
              <a:solidFill>
                <a:srgbClr val="000000"/>
              </a:solidFill>
              <a:prstDash val="solid"/>
            </a:ln>
          </c:spPr>
          <c:marker>
            <c:symbol val="none"/>
          </c:marker>
          <c:xVal>
            <c:numLit>
              <c:formatCode>General</c:formatCode>
              <c:ptCount val="2"/>
              <c:pt idx="0">
                <c:v>-1.2503123116501493</c:v>
              </c:pt>
              <c:pt idx="1">
                <c:v>-0.94781878366221239</c:v>
              </c:pt>
            </c:numLit>
          </c:xVal>
          <c:yVal>
            <c:numLit>
              <c:formatCode>General</c:formatCode>
              <c:ptCount val="2"/>
              <c:pt idx="0">
                <c:v>3.2044541795365311E-2</c:v>
              </c:pt>
              <c:pt idx="1">
                <c:v>3.1661281733456156E-2</c:v>
              </c:pt>
            </c:numLit>
          </c:yVal>
          <c:smooth val="0"/>
          <c:extLst>
            <c:ext xmlns:c16="http://schemas.microsoft.com/office/drawing/2014/chart" uri="{C3380CC4-5D6E-409C-BE32-E72D297353CC}">
              <c16:uniqueId val="{00000029-4A09-48A6-B9BD-07AF6B2013A5}"/>
            </c:ext>
          </c:extLst>
        </c:ser>
        <c:ser>
          <c:idx val="42"/>
          <c:order val="42"/>
          <c:spPr>
            <a:ln w="3175">
              <a:solidFill>
                <a:srgbClr val="000000"/>
              </a:solidFill>
              <a:prstDash val="solid"/>
            </a:ln>
          </c:spPr>
          <c:marker>
            <c:symbol val="none"/>
          </c:marker>
          <c:xVal>
            <c:numLit>
              <c:formatCode>General</c:formatCode>
              <c:ptCount val="2"/>
              <c:pt idx="0">
                <c:v>-1.6524858712974235</c:v>
              </c:pt>
              <c:pt idx="1">
                <c:v>-1.4943050804129847</c:v>
              </c:pt>
            </c:numLit>
          </c:xVal>
          <c:yVal>
            <c:numLit>
              <c:formatCode>General</c:formatCode>
              <c:ptCount val="2"/>
              <c:pt idx="0">
                <c:v>3.1865465386878213E-2</c:v>
              </c:pt>
              <c:pt idx="1">
                <c:v>3.1676922880207896E-2</c:v>
              </c:pt>
            </c:numLit>
          </c:yVal>
          <c:smooth val="0"/>
          <c:extLst>
            <c:ext xmlns:c16="http://schemas.microsoft.com/office/drawing/2014/chart" uri="{C3380CC4-5D6E-409C-BE32-E72D297353CC}">
              <c16:uniqueId val="{0000002A-4A09-48A6-B9BD-07AF6B2013A5}"/>
            </c:ext>
          </c:extLst>
        </c:ser>
        <c:ser>
          <c:idx val="43"/>
          <c:order val="43"/>
          <c:spPr>
            <a:ln w="3175">
              <a:solidFill>
                <a:srgbClr val="000000"/>
              </a:solidFill>
              <a:prstDash val="solid"/>
            </a:ln>
          </c:spPr>
          <c:marker>
            <c:symbol val="none"/>
          </c:marker>
          <c:xVal>
            <c:numLit>
              <c:formatCode>General</c:formatCode>
              <c:ptCount val="2"/>
              <c:pt idx="0">
                <c:v>-2.0352788721065513</c:v>
              </c:pt>
              <c:pt idx="1">
                <c:v>-1.7057175316890834</c:v>
              </c:pt>
            </c:numLit>
          </c:xVal>
          <c:yVal>
            <c:numLit>
              <c:formatCode>General</c:formatCode>
              <c:ptCount val="2"/>
              <c:pt idx="0">
                <c:v>3.1684611348254135E-2</c:v>
              </c:pt>
              <c:pt idx="1">
                <c:v>3.1313762681072957E-2</c:v>
              </c:pt>
            </c:numLit>
          </c:yVal>
          <c:smooth val="0"/>
          <c:extLst>
            <c:ext xmlns:c16="http://schemas.microsoft.com/office/drawing/2014/chart" uri="{C3380CC4-5D6E-409C-BE32-E72D297353CC}">
              <c16:uniqueId val="{0000002B-4A09-48A6-B9BD-07AF6B2013A5}"/>
            </c:ext>
          </c:extLst>
        </c:ser>
        <c:ser>
          <c:idx val="44"/>
          <c:order val="44"/>
          <c:spPr>
            <a:ln w="3175">
              <a:solidFill>
                <a:srgbClr val="000000"/>
              </a:solidFill>
              <a:prstDash val="solid"/>
            </a:ln>
          </c:spPr>
          <c:marker>
            <c:symbol val="none"/>
          </c:marker>
          <c:xVal>
            <c:numLit>
              <c:formatCode>General</c:formatCode>
              <c:ptCount val="2"/>
              <c:pt idx="0">
                <c:v>-2.3991840012325829</c:v>
              </c:pt>
              <c:pt idx="1">
                <c:v>-2.2281291046596068</c:v>
              </c:pt>
            </c:numLit>
          </c:xVal>
          <c:yVal>
            <c:numLit>
              <c:formatCode>General</c:formatCode>
              <c:ptCount val="2"/>
              <c:pt idx="0">
                <c:v>3.1502787187754219E-2</c:v>
              </c:pt>
              <c:pt idx="1">
                <c:v>3.1320497753482592E-2</c:v>
              </c:pt>
            </c:numLit>
          </c:yVal>
          <c:smooth val="0"/>
          <c:extLst>
            <c:ext xmlns:c16="http://schemas.microsoft.com/office/drawing/2014/chart" uri="{C3380CC4-5D6E-409C-BE32-E72D297353CC}">
              <c16:uniqueId val="{0000002C-4A09-48A6-B9BD-07AF6B2013A5}"/>
            </c:ext>
          </c:extLst>
        </c:ser>
        <c:ser>
          <c:idx val="45"/>
          <c:order val="45"/>
          <c:spPr>
            <a:ln w="3175">
              <a:solidFill>
                <a:srgbClr val="000000"/>
              </a:solidFill>
              <a:prstDash val="solid"/>
            </a:ln>
          </c:spPr>
          <c:marker>
            <c:symbol val="none"/>
          </c:marker>
          <c:xVal>
            <c:numLit>
              <c:formatCode>General</c:formatCode>
              <c:ptCount val="2"/>
              <c:pt idx="0">
                <c:v>-2.7447734321668316</c:v>
              </c:pt>
              <c:pt idx="1">
                <c:v>-2.3907467620921121</c:v>
              </c:pt>
            </c:numLit>
          </c:xVal>
          <c:yVal>
            <c:numLit>
              <c:formatCode>General</c:formatCode>
              <c:ptCount val="2"/>
              <c:pt idx="0">
                <c:v>3.1320718383058194E-2</c:v>
              </c:pt>
              <c:pt idx="1">
                <c:v>3.0962417749159633E-2</c:v>
              </c:pt>
            </c:numLit>
          </c:yVal>
          <c:smooth val="0"/>
          <c:extLst>
            <c:ext xmlns:c16="http://schemas.microsoft.com/office/drawing/2014/chart" uri="{C3380CC4-5D6E-409C-BE32-E72D297353CC}">
              <c16:uniqueId val="{0000002D-4A09-48A6-B9BD-07AF6B2013A5}"/>
            </c:ext>
          </c:extLst>
        </c:ser>
        <c:ser>
          <c:idx val="46"/>
          <c:order val="46"/>
          <c:spPr>
            <a:ln w="3175">
              <a:solidFill>
                <a:srgbClr val="000000"/>
              </a:solidFill>
              <a:prstDash val="solid"/>
            </a:ln>
          </c:spPr>
          <c:marker>
            <c:symbol val="none"/>
          </c:marker>
          <c:xVal>
            <c:numLit>
              <c:formatCode>General</c:formatCode>
              <c:ptCount val="2"/>
              <c:pt idx="0">
                <c:v>-3.072680183386634</c:v>
              </c:pt>
              <c:pt idx="1">
                <c:v>-2.890013283673071</c:v>
              </c:pt>
            </c:numLit>
          </c:xVal>
          <c:yVal>
            <c:numLit>
              <c:formatCode>General</c:formatCode>
              <c:ptCount val="2"/>
              <c:pt idx="0">
                <c:v>3.1139050061769116E-2</c:v>
              </c:pt>
              <c:pt idx="1">
                <c:v>3.0963031957255856E-2</c:v>
              </c:pt>
            </c:numLit>
          </c:yVal>
          <c:smooth val="0"/>
          <c:extLst>
            <c:ext xmlns:c16="http://schemas.microsoft.com/office/drawing/2014/chart" uri="{C3380CC4-5D6E-409C-BE32-E72D297353CC}">
              <c16:uniqueId val="{0000002E-4A09-48A6-B9BD-07AF6B2013A5}"/>
            </c:ext>
          </c:extLst>
        </c:ser>
        <c:ser>
          <c:idx val="47"/>
          <c:order val="47"/>
          <c:spPr>
            <a:ln w="3175">
              <a:solidFill>
                <a:srgbClr val="000000"/>
              </a:solidFill>
              <a:prstDash val="solid"/>
            </a:ln>
          </c:spPr>
          <c:marker>
            <c:symbol val="none"/>
          </c:marker>
          <c:xVal>
            <c:numLit>
              <c:formatCode>General</c:formatCode>
              <c:ptCount val="2"/>
              <c:pt idx="0">
                <c:v>-3.3835814724217705</c:v>
              </c:pt>
              <c:pt idx="1">
                <c:v>-3.0075269388899843</c:v>
              </c:pt>
            </c:numLit>
          </c:xVal>
          <c:yVal>
            <c:numLit>
              <c:formatCode>General</c:formatCode>
              <c:ptCount val="2"/>
              <c:pt idx="0">
                <c:v>3.0958350055992959E-2</c:v>
              </c:pt>
              <c:pt idx="1">
                <c:v>3.0612544881648374E-2</c:v>
              </c:pt>
            </c:numLit>
          </c:yVal>
          <c:smooth val="0"/>
          <c:extLst>
            <c:ext xmlns:c16="http://schemas.microsoft.com/office/drawing/2014/chart" uri="{C3380CC4-5D6E-409C-BE32-E72D297353CC}">
              <c16:uniqueId val="{0000002F-4A09-48A6-B9BD-07AF6B2013A5}"/>
            </c:ext>
          </c:extLst>
        </c:ser>
        <c:ser>
          <c:idx val="48"/>
          <c:order val="48"/>
          <c:spPr>
            <a:ln w="3175">
              <a:solidFill>
                <a:srgbClr val="000000"/>
              </a:solidFill>
              <a:prstDash val="solid"/>
            </a:ln>
          </c:spPr>
          <c:marker>
            <c:symbol val="none"/>
          </c:marker>
          <c:xVal>
            <c:numLit>
              <c:formatCode>General</c:formatCode>
              <c:ptCount val="2"/>
              <c:pt idx="0">
                <c:v>-3.6781841292440793</c:v>
              </c:pt>
              <c:pt idx="1">
                <c:v>-3.4850775063260775</c:v>
              </c:pt>
            </c:numLit>
          </c:xVal>
          <c:yVal>
            <c:numLit>
              <c:formatCode>General</c:formatCode>
              <c:ptCount val="2"/>
              <c:pt idx="0">
                <c:v>3.0779112966800307E-2</c:v>
              </c:pt>
              <c:pt idx="1">
                <c:v>3.0609300674269268E-2</c:v>
              </c:pt>
            </c:numLit>
          </c:yVal>
          <c:smooth val="0"/>
          <c:extLst>
            <c:ext xmlns:c16="http://schemas.microsoft.com/office/drawing/2014/chart" uri="{C3380CC4-5D6E-409C-BE32-E72D297353CC}">
              <c16:uniqueId val="{00000030-4A09-48A6-B9BD-07AF6B2013A5}"/>
            </c:ext>
          </c:extLst>
        </c:ser>
        <c:ser>
          <c:idx val="49"/>
          <c:order val="49"/>
          <c:spPr>
            <a:ln w="3175">
              <a:solidFill>
                <a:srgbClr val="000000"/>
              </a:solidFill>
              <a:prstDash val="solid"/>
            </a:ln>
          </c:spPr>
          <c:marker>
            <c:symbol val="none"/>
          </c:marker>
          <c:xVal>
            <c:numLit>
              <c:formatCode>General</c:formatCode>
              <c:ptCount val="2"/>
              <c:pt idx="0">
                <c:v>-3.9572120420841821</c:v>
              </c:pt>
              <c:pt idx="1">
                <c:v>-3.5613771440812783</c:v>
              </c:pt>
            </c:numLit>
          </c:xVal>
          <c:yVal>
            <c:numLit>
              <c:formatCode>General</c:formatCode>
              <c:ptCount val="2"/>
              <c:pt idx="0">
                <c:v>3.0601764919879974E-2</c:v>
              </c:pt>
              <c:pt idx="1">
                <c:v>3.0268255784711699E-2</c:v>
              </c:pt>
            </c:numLit>
          </c:yVal>
          <c:smooth val="0"/>
          <c:extLst>
            <c:ext xmlns:c16="http://schemas.microsoft.com/office/drawing/2014/chart" uri="{C3380CC4-5D6E-409C-BE32-E72D297353CC}">
              <c16:uniqueId val="{00000031-4A09-48A6-B9BD-07AF6B2013A5}"/>
            </c:ext>
          </c:extLst>
        </c:ser>
        <c:ser>
          <c:idx val="50"/>
          <c:order val="50"/>
          <c:spPr>
            <a:ln w="3175">
              <a:solidFill>
                <a:srgbClr val="000000"/>
              </a:solidFill>
              <a:prstDash val="solid"/>
            </a:ln>
          </c:spPr>
          <c:marker>
            <c:symbol val="none"/>
          </c:marker>
          <c:xVal>
            <c:numLit>
              <c:formatCode>General</c:formatCode>
              <c:ptCount val="2"/>
              <c:pt idx="0">
                <c:v>-4.221395542588029</c:v>
              </c:pt>
              <c:pt idx="1">
                <c:v>-4.018923205646856</c:v>
              </c:pt>
            </c:numLit>
          </c:xVal>
          <c:yVal>
            <c:numLit>
              <c:formatCode>General</c:formatCode>
              <c:ptCount val="2"/>
              <c:pt idx="0">
                <c:v>3.0426668742639516E-2</c:v>
              </c:pt>
              <c:pt idx="1">
                <c:v>3.0262933074662973E-2</c:v>
              </c:pt>
            </c:numLit>
          </c:yVal>
          <c:smooth val="0"/>
          <c:extLst>
            <c:ext xmlns:c16="http://schemas.microsoft.com/office/drawing/2014/chart" uri="{C3380CC4-5D6E-409C-BE32-E72D297353CC}">
              <c16:uniqueId val="{00000032-4A09-48A6-B9BD-07AF6B2013A5}"/>
            </c:ext>
          </c:extLst>
        </c:ser>
        <c:ser>
          <c:idx val="51"/>
          <c:order val="51"/>
          <c:spPr>
            <a:ln w="3175">
              <a:solidFill>
                <a:srgbClr val="000000"/>
              </a:solidFill>
              <a:prstDash val="solid"/>
            </a:ln>
          </c:spPr>
          <c:marker>
            <c:symbol val="none"/>
          </c:marker>
          <c:xVal>
            <c:numLit>
              <c:formatCode>General</c:formatCode>
              <c:ptCount val="2"/>
              <c:pt idx="0">
                <c:v>-4.4714625924504272</c:v>
              </c:pt>
              <c:pt idx="1">
                <c:v>-4.0578949168486877</c:v>
              </c:pt>
            </c:numLit>
          </c:xVal>
          <c:yVal>
            <c:numLit>
              <c:formatCode>General</c:formatCode>
              <c:ptCount val="2"/>
              <c:pt idx="0">
                <c:v>3.0254129341580477E-2</c:v>
              </c:pt>
              <c:pt idx="1">
                <c:v>2.9932607640146668E-2</c:v>
              </c:pt>
            </c:numLit>
          </c:yVal>
          <c:smooth val="0"/>
          <c:extLst>
            <c:ext xmlns:c16="http://schemas.microsoft.com/office/drawing/2014/chart" uri="{C3380CC4-5D6E-409C-BE32-E72D297353CC}">
              <c16:uniqueId val="{00000033-4A09-48A6-B9BD-07AF6B2013A5}"/>
            </c:ext>
          </c:extLst>
        </c:ser>
        <c:ser>
          <c:idx val="52"/>
          <c:order val="52"/>
          <c:spPr>
            <a:ln w="3175">
              <a:solidFill>
                <a:srgbClr val="000000"/>
              </a:solidFill>
              <a:prstDash val="solid"/>
            </a:ln>
          </c:spPr>
          <c:marker>
            <c:symbol val="none"/>
          </c:marker>
          <c:xVal>
            <c:numLit>
              <c:formatCode>General</c:formatCode>
              <c:ptCount val="2"/>
              <c:pt idx="0">
                <c:v>-4.7081316066320262</c:v>
              </c:pt>
              <c:pt idx="1">
                <c:v>-4.4972672685866462</c:v>
              </c:pt>
            </c:numLit>
          </c:xVal>
          <c:yVal>
            <c:numLit>
              <c:formatCode>General</c:formatCode>
              <c:ptCount val="2"/>
              <c:pt idx="0">
                <c:v>3.0084399104368914E-2</c:v>
              </c:pt>
              <c:pt idx="1">
                <c:v>2.9926564637052209E-2</c:v>
              </c:pt>
            </c:numLit>
          </c:yVal>
          <c:smooth val="0"/>
          <c:extLst>
            <c:ext xmlns:c16="http://schemas.microsoft.com/office/drawing/2014/chart" uri="{C3380CC4-5D6E-409C-BE32-E72D297353CC}">
              <c16:uniqueId val="{00000034-4A09-48A6-B9BD-07AF6B2013A5}"/>
            </c:ext>
          </c:extLst>
        </c:ser>
        <c:ser>
          <c:idx val="53"/>
          <c:order val="53"/>
          <c:spPr>
            <a:ln w="3175">
              <a:solidFill>
                <a:srgbClr val="000000"/>
              </a:solidFill>
              <a:prstDash val="solid"/>
            </a:ln>
          </c:spPr>
          <c:marker>
            <c:symbol val="none"/>
          </c:marker>
          <c:xVal>
            <c:numLit>
              <c:formatCode>General</c:formatCode>
              <c:ptCount val="2"/>
              <c:pt idx="0">
                <c:v>-4.9321057352905999</c:v>
              </c:pt>
              <c:pt idx="1">
                <c:v>-4.5026538133840264</c:v>
              </c:pt>
            </c:numLit>
          </c:xVal>
          <c:yVal>
            <c:numLit>
              <c:formatCode>General</c:formatCode>
              <c:ptCount val="2"/>
              <c:pt idx="0">
                <c:v>2.9917683192038989E-2</c:v>
              </c:pt>
              <c:pt idx="1">
                <c:v>2.9607763081968677E-2</c:v>
              </c:pt>
            </c:numLit>
          </c:yVal>
          <c:smooth val="0"/>
          <c:extLst>
            <c:ext xmlns:c16="http://schemas.microsoft.com/office/drawing/2014/chart" uri="{C3380CC4-5D6E-409C-BE32-E72D297353CC}">
              <c16:uniqueId val="{00000035-4A09-48A6-B9BD-07AF6B2013A5}"/>
            </c:ext>
          </c:extLst>
        </c:ser>
        <c:ser>
          <c:idx val="54"/>
          <c:order val="54"/>
          <c:spPr>
            <a:ln w="3175">
              <a:solidFill>
                <a:srgbClr val="000000"/>
              </a:solidFill>
              <a:prstDash val="solid"/>
            </a:ln>
          </c:spPr>
          <c:marker>
            <c:symbol val="none"/>
          </c:marker>
          <c:xVal>
            <c:numLit>
              <c:formatCode>General</c:formatCode>
              <c:ptCount val="2"/>
              <c:pt idx="0">
                <c:v>-5.1440684242141916</c:v>
              </c:pt>
              <c:pt idx="1">
                <c:v>-4.9256879341415329</c:v>
              </c:pt>
            </c:numLit>
          </c:xVal>
          <c:yVal>
            <c:numLit>
              <c:formatCode>General</c:formatCode>
              <c:ptCount val="2"/>
              <c:pt idx="0">
                <c:v>2.9754144622409617E-2</c:v>
              </c:pt>
              <c:pt idx="1">
                <c:v>2.9602004197885314E-2</c:v>
              </c:pt>
            </c:numLit>
          </c:yVal>
          <c:smooth val="0"/>
          <c:extLst>
            <c:ext xmlns:c16="http://schemas.microsoft.com/office/drawing/2014/chart" uri="{C3380CC4-5D6E-409C-BE32-E72D297353CC}">
              <c16:uniqueId val="{00000036-4A09-48A6-B9BD-07AF6B2013A5}"/>
            </c:ext>
          </c:extLst>
        </c:ser>
        <c:ser>
          <c:idx val="55"/>
          <c:order val="55"/>
          <c:spPr>
            <a:ln w="3175">
              <a:solidFill>
                <a:srgbClr val="000000"/>
              </a:solidFill>
              <a:prstDash val="solid"/>
            </a:ln>
          </c:spPr>
          <c:marker>
            <c:symbol val="none"/>
          </c:marker>
          <c:xVal>
            <c:numLit>
              <c:formatCode>General</c:formatCode>
              <c:ptCount val="2"/>
              <c:pt idx="0">
                <c:v>-5.3446800788427877</c:v>
              </c:pt>
              <c:pt idx="1">
                <c:v>-4.9010014554344146</c:v>
              </c:pt>
            </c:numLit>
          </c:xVal>
          <c:yVal>
            <c:numLit>
              <c:formatCode>General</c:formatCode>
              <c:ptCount val="2"/>
              <c:pt idx="0">
                <c:v>2.9593909075847288E-2</c:v>
              </c:pt>
              <c:pt idx="1">
                <c:v>2.9295153590473244E-2</c:v>
              </c:pt>
            </c:numLit>
          </c:yVal>
          <c:smooth val="0"/>
          <c:extLst>
            <c:ext xmlns:c16="http://schemas.microsoft.com/office/drawing/2014/chart" uri="{C3380CC4-5D6E-409C-BE32-E72D297353CC}">
              <c16:uniqueId val="{00000037-4A09-48A6-B9BD-07AF6B2013A5}"/>
            </c:ext>
          </c:extLst>
        </c:ser>
        <c:ser>
          <c:idx val="56"/>
          <c:order val="56"/>
          <c:spPr>
            <a:ln w="3175">
              <a:solidFill>
                <a:srgbClr val="000000"/>
              </a:solidFill>
              <a:prstDash val="solid"/>
            </a:ln>
          </c:spPr>
          <c:marker>
            <c:symbol val="none"/>
          </c:marker>
          <c:xVal>
            <c:numLit>
              <c:formatCode>General</c:formatCode>
              <c:ptCount val="2"/>
              <c:pt idx="0">
                <c:v>-5.5345756674157736</c:v>
              </c:pt>
              <c:pt idx="1">
                <c:v>-5.3094622938396387</c:v>
              </c:pt>
            </c:numLit>
          </c:xVal>
          <c:yVal>
            <c:numLit>
              <c:formatCode>General</c:formatCode>
              <c:ptCount val="2"/>
              <c:pt idx="0">
                <c:v>2.9437069379158205E-2</c:v>
              </c:pt>
              <c:pt idx="1">
                <c:v>2.9290395769172719E-2</c:v>
              </c:pt>
            </c:numLit>
          </c:yVal>
          <c:smooth val="0"/>
          <c:extLst>
            <c:ext xmlns:c16="http://schemas.microsoft.com/office/drawing/2014/chart" uri="{C3380CC4-5D6E-409C-BE32-E72D297353CC}">
              <c16:uniqueId val="{00000038-4A09-48A6-B9BD-07AF6B2013A5}"/>
            </c:ext>
          </c:extLst>
        </c:ser>
        <c:ser>
          <c:idx val="57"/>
          <c:order val="57"/>
          <c:spPr>
            <a:ln w="3175">
              <a:solidFill>
                <a:srgbClr val="000000"/>
              </a:solidFill>
              <a:prstDash val="solid"/>
            </a:ln>
          </c:spPr>
          <c:marker>
            <c:symbol val="none"/>
          </c:marker>
          <c:xVal>
            <c:numLit>
              <c:formatCode>General</c:formatCode>
              <c:ptCount val="2"/>
              <c:pt idx="0">
                <c:v>-5.714363112392145</c:v>
              </c:pt>
              <c:pt idx="1">
                <c:v>-5.2579367981717251</c:v>
              </c:pt>
            </c:numLit>
          </c:xVal>
          <c:yVal>
            <c:numLit>
              <c:formatCode>General</c:formatCode>
              <c:ptCount val="2"/>
              <c:pt idx="0">
                <c:v>2.9283689643078106E-2</c:v>
              </c:pt>
              <c:pt idx="1">
                <c:v>2.8995631379523688E-2</c:v>
              </c:pt>
            </c:numLit>
          </c:yVal>
          <c:smooth val="0"/>
          <c:extLst>
            <c:ext xmlns:c16="http://schemas.microsoft.com/office/drawing/2014/chart" uri="{C3380CC4-5D6E-409C-BE32-E72D297353CC}">
              <c16:uniqueId val="{00000039-4A09-48A6-B9BD-07AF6B2013A5}"/>
            </c:ext>
          </c:extLst>
        </c:ser>
        <c:ser>
          <c:idx val="58"/>
          <c:order val="58"/>
          <c:spPr>
            <a:ln w="3175">
              <a:solidFill>
                <a:srgbClr val="000000"/>
              </a:solidFill>
              <a:prstDash val="solid"/>
            </a:ln>
          </c:spPr>
          <c:marker>
            <c:symbol val="none"/>
          </c:marker>
          <c:xVal>
            <c:numLit>
              <c:formatCode>General</c:formatCode>
              <c:ptCount val="2"/>
              <c:pt idx="0">
                <c:v>-6.0459048297431641</c:v>
              </c:pt>
              <c:pt idx="1">
                <c:v>-5.811975436126902</c:v>
              </c:pt>
            </c:numLit>
          </c:xVal>
          <c:yVal>
            <c:numLit>
              <c:formatCode>General</c:formatCode>
              <c:ptCount val="2"/>
              <c:pt idx="0">
                <c:v>2.8987445253082427E-2</c:v>
              </c:pt>
              <c:pt idx="1">
                <c:v>2.8848523783201695E-2</c:v>
              </c:pt>
            </c:numLit>
          </c:yVal>
          <c:smooth val="0"/>
          <c:extLst>
            <c:ext xmlns:c16="http://schemas.microsoft.com/office/drawing/2014/chart" uri="{C3380CC4-5D6E-409C-BE32-E72D297353CC}">
              <c16:uniqueId val="{0000003A-4A09-48A6-B9BD-07AF6B2013A5}"/>
            </c:ext>
          </c:extLst>
        </c:ser>
        <c:ser>
          <c:idx val="59"/>
          <c:order val="59"/>
          <c:spPr>
            <a:ln w="3175">
              <a:solidFill>
                <a:srgbClr val="000000"/>
              </a:solidFill>
              <a:prstDash val="solid"/>
            </a:ln>
          </c:spPr>
          <c:marker>
            <c:symbol val="none"/>
          </c:marker>
          <c:xVal>
            <c:numLit>
              <c:formatCode>General</c:formatCode>
              <c:ptCount val="2"/>
              <c:pt idx="0">
                <c:v>-6.3436038686490521</c:v>
              </c:pt>
              <c:pt idx="1">
                <c:v>-6.1045417329826881</c:v>
              </c:pt>
            </c:numLit>
          </c:xVal>
          <c:yVal>
            <c:numLit>
              <c:formatCode>General</c:formatCode>
              <c:ptCount val="2"/>
              <c:pt idx="0">
                <c:v>2.8705249438049581E-2</c:v>
              </c:pt>
              <c:pt idx="1">
                <c:v>2.8571193413255622E-2</c:v>
              </c:pt>
            </c:numLit>
          </c:yVal>
          <c:smooth val="0"/>
          <c:extLst>
            <c:ext xmlns:c16="http://schemas.microsoft.com/office/drawing/2014/chart" uri="{C3380CC4-5D6E-409C-BE32-E72D297353CC}">
              <c16:uniqueId val="{0000003B-4A09-48A6-B9BD-07AF6B2013A5}"/>
            </c:ext>
          </c:extLst>
        </c:ser>
        <c:ser>
          <c:idx val="60"/>
          <c:order val="60"/>
          <c:spPr>
            <a:ln w="3175">
              <a:solidFill>
                <a:srgbClr val="000000"/>
              </a:solidFill>
              <a:prstDash val="solid"/>
            </a:ln>
          </c:spPr>
          <c:marker>
            <c:symbol val="none"/>
          </c:marker>
          <c:xVal>
            <c:numLit>
              <c:formatCode>General</c:formatCode>
              <c:ptCount val="2"/>
              <c:pt idx="0">
                <c:v>-6.6113117622552888</c:v>
              </c:pt>
              <c:pt idx="1">
                <c:v>-6.3676339732508866</c:v>
              </c:pt>
            </c:numLit>
          </c:xVal>
          <c:yVal>
            <c:numLit>
              <c:formatCode>General</c:formatCode>
              <c:ptCount val="2"/>
              <c:pt idx="0">
                <c:v>2.843692272060656E-2</c:v>
              </c:pt>
              <c:pt idx="1">
                <c:v>2.8307493018527138E-2</c:v>
              </c:pt>
            </c:numLit>
          </c:yVal>
          <c:smooth val="0"/>
          <c:extLst>
            <c:ext xmlns:c16="http://schemas.microsoft.com/office/drawing/2014/chart" uri="{C3380CC4-5D6E-409C-BE32-E72D297353CC}">
              <c16:uniqueId val="{0000003C-4A09-48A6-B9BD-07AF6B2013A5}"/>
            </c:ext>
          </c:extLst>
        </c:ser>
        <c:ser>
          <c:idx val="61"/>
          <c:order val="61"/>
          <c:spPr>
            <a:ln w="3175">
              <a:solidFill>
                <a:srgbClr val="000000"/>
              </a:solidFill>
              <a:prstDash val="solid"/>
            </a:ln>
          </c:spPr>
          <c:marker>
            <c:symbol val="none"/>
          </c:marker>
          <c:xVal>
            <c:numLit>
              <c:formatCode>General</c:formatCode>
              <c:ptCount val="2"/>
              <c:pt idx="0">
                <c:v>-6.8524545533004888</c:v>
              </c:pt>
              <c:pt idx="1">
                <c:v>-6.6046191299677215</c:v>
              </c:pt>
            </c:numLit>
          </c:xVal>
          <c:yVal>
            <c:numLit>
              <c:formatCode>General</c:formatCode>
              <c:ptCount val="2"/>
              <c:pt idx="0">
                <c:v>2.8182106961193734E-2</c:v>
              </c:pt>
              <c:pt idx="1">
                <c:v>2.80570706342766E-2</c:v>
              </c:pt>
            </c:numLit>
          </c:yVal>
          <c:smooth val="0"/>
          <c:extLst>
            <c:ext xmlns:c16="http://schemas.microsoft.com/office/drawing/2014/chart" uri="{C3380CC4-5D6E-409C-BE32-E72D297353CC}">
              <c16:uniqueId val="{0000003D-4A09-48A6-B9BD-07AF6B2013A5}"/>
            </c:ext>
          </c:extLst>
        </c:ser>
        <c:ser>
          <c:idx val="62"/>
          <c:order val="62"/>
          <c:spPr>
            <a:ln w="3175">
              <a:solidFill>
                <a:srgbClr val="000000"/>
              </a:solidFill>
              <a:prstDash val="solid"/>
            </a:ln>
          </c:spPr>
          <c:marker>
            <c:symbol val="none"/>
          </c:marker>
          <c:xVal>
            <c:numLit>
              <c:formatCode>General</c:formatCode>
              <c:ptCount val="2"/>
              <c:pt idx="0">
                <c:v>-7.0700641161397257</c:v>
              </c:pt>
              <c:pt idx="1">
                <c:v>-6.5668894914452514</c:v>
              </c:pt>
            </c:numLit>
          </c:xVal>
          <c:yVal>
            <c:numLit>
              <c:formatCode>General</c:formatCode>
              <c:ptCount val="2"/>
              <c:pt idx="0">
                <c:v>2.7940323066302088E-2</c:v>
              </c:pt>
              <c:pt idx="1">
                <c:v>2.769858778815374E-2</c:v>
              </c:pt>
            </c:numLit>
          </c:yVal>
          <c:smooth val="0"/>
          <c:extLst>
            <c:ext xmlns:c16="http://schemas.microsoft.com/office/drawing/2014/chart" uri="{C3380CC4-5D6E-409C-BE32-E72D297353CC}">
              <c16:uniqueId val="{0000003E-4A09-48A6-B9BD-07AF6B2013A5}"/>
            </c:ext>
          </c:extLst>
        </c:ser>
        <c:ser>
          <c:idx val="63"/>
          <c:order val="63"/>
          <c:spPr>
            <a:ln w="3175">
              <a:solidFill>
                <a:srgbClr val="000000"/>
              </a:solidFill>
              <a:prstDash val="solid"/>
            </a:ln>
          </c:spPr>
          <c:marker>
            <c:symbol val="none"/>
          </c:marker>
          <c:xVal>
            <c:numLit>
              <c:formatCode>General</c:formatCode>
              <c:ptCount val="2"/>
              <c:pt idx="0">
                <c:v>-7.2668139627913737</c:v>
              </c:pt>
              <c:pt idx="1">
                <c:v>-7.0118344117087634</c:v>
              </c:pt>
            </c:numLit>
          </c:xVal>
          <c:yVal>
            <c:numLit>
              <c:formatCode>General</c:formatCode>
              <c:ptCount val="2"/>
              <c:pt idx="0">
                <c:v>2.771101497108848E-2</c:v>
              </c:pt>
              <c:pt idx="1">
                <c:v>2.7594100919862818E-2</c:v>
              </c:pt>
            </c:numLit>
          </c:yVal>
          <c:smooth val="0"/>
          <c:extLst>
            <c:ext xmlns:c16="http://schemas.microsoft.com/office/drawing/2014/chart" uri="{C3380CC4-5D6E-409C-BE32-E72D297353CC}">
              <c16:uniqueId val="{0000003F-4A09-48A6-B9BD-07AF6B2013A5}"/>
            </c:ext>
          </c:extLst>
        </c:ser>
        <c:ser>
          <c:idx val="64"/>
          <c:order val="64"/>
          <c:spPr>
            <a:ln w="3175">
              <a:solidFill>
                <a:srgbClr val="000000"/>
              </a:solidFill>
              <a:prstDash val="solid"/>
            </a:ln>
          </c:spPr>
          <c:marker>
            <c:symbol val="none"/>
          </c:marker>
          <c:xVal>
            <c:numLit>
              <c:formatCode>General</c:formatCode>
              <c:ptCount val="2"/>
              <c:pt idx="0">
                <c:v>-7.4450561220153224</c:v>
              </c:pt>
              <c:pt idx="1">
                <c:v>-7.1870034302564365</c:v>
              </c:pt>
            </c:numLit>
          </c:xVal>
          <c:yVal>
            <c:numLit>
              <c:formatCode>General</c:formatCode>
              <c:ptCount val="2"/>
              <c:pt idx="0">
                <c:v>2.7493582588817535E-2</c:v>
              </c:pt>
              <c:pt idx="1">
                <c:v>2.7380417371768957E-2</c:v>
              </c:pt>
            </c:numLit>
          </c:yVal>
          <c:smooth val="0"/>
          <c:extLst>
            <c:ext xmlns:c16="http://schemas.microsoft.com/office/drawing/2014/chart" uri="{C3380CC4-5D6E-409C-BE32-E72D297353CC}">
              <c16:uniqueId val="{00000040-4A09-48A6-B9BD-07AF6B2013A5}"/>
            </c:ext>
          </c:extLst>
        </c:ser>
        <c:ser>
          <c:idx val="65"/>
          <c:order val="65"/>
          <c:spPr>
            <a:ln w="3175">
              <a:solidFill>
                <a:srgbClr val="000000"/>
              </a:solidFill>
              <a:prstDash val="solid"/>
            </a:ln>
          </c:spPr>
          <c:marker>
            <c:symbol val="none"/>
          </c:marker>
          <c:xVal>
            <c:numLit>
              <c:formatCode>General</c:formatCode>
              <c:ptCount val="2"/>
              <c:pt idx="0">
                <c:v>-7.6068569785848918</c:v>
              </c:pt>
              <c:pt idx="1">
                <c:v>-7.3460146168851512</c:v>
              </c:pt>
            </c:numLit>
          </c:xVal>
          <c:yVal>
            <c:numLit>
              <c:formatCode>General</c:formatCode>
              <c:ptCount val="2"/>
              <c:pt idx="0">
                <c:v>2.7287406065353549E-2</c:v>
              </c:pt>
              <c:pt idx="1">
                <c:v>2.7177795615950903E-2</c:v>
              </c:pt>
            </c:numLit>
          </c:yVal>
          <c:smooth val="0"/>
          <c:extLst>
            <c:ext xmlns:c16="http://schemas.microsoft.com/office/drawing/2014/chart" uri="{C3380CC4-5D6E-409C-BE32-E72D297353CC}">
              <c16:uniqueId val="{00000041-4A09-48A6-B9BD-07AF6B2013A5}"/>
            </c:ext>
          </c:extLst>
        </c:ser>
        <c:ser>
          <c:idx val="66"/>
          <c:order val="66"/>
          <c:spPr>
            <a:ln w="3175">
              <a:solidFill>
                <a:srgbClr val="000000"/>
              </a:solidFill>
              <a:prstDash val="solid"/>
            </a:ln>
          </c:spPr>
          <c:marker>
            <c:symbol val="none"/>
          </c:marker>
          <c:xVal>
            <c:numLit>
              <c:formatCode>General</c:formatCode>
              <c:ptCount val="2"/>
              <c:pt idx="0">
                <c:v>-7.7540308580023209</c:v>
              </c:pt>
              <c:pt idx="1">
                <c:v>-7.4906510156229702</c:v>
              </c:pt>
            </c:numLit>
          </c:xVal>
          <c:yVal>
            <c:numLit>
              <c:formatCode>General</c:formatCode>
              <c:ptCount val="2"/>
              <c:pt idx="0">
                <c:v>2.7091863289154108E-2</c:v>
              </c:pt>
              <c:pt idx="1">
                <c:v>2.6985624266927313E-2</c:v>
              </c:pt>
            </c:numLit>
          </c:yVal>
          <c:smooth val="0"/>
          <c:extLst>
            <c:ext xmlns:c16="http://schemas.microsoft.com/office/drawing/2014/chart" uri="{C3380CC4-5D6E-409C-BE32-E72D297353CC}">
              <c16:uniqueId val="{00000042-4A09-48A6-B9BD-07AF6B2013A5}"/>
            </c:ext>
          </c:extLst>
        </c:ser>
        <c:ser>
          <c:idx val="67"/>
          <c:order val="67"/>
          <c:spPr>
            <a:ln w="3175">
              <a:solidFill>
                <a:srgbClr val="000000"/>
              </a:solidFill>
              <a:prstDash val="solid"/>
            </a:ln>
          </c:spPr>
          <c:marker>
            <c:symbol val="none"/>
          </c:marker>
          <c:xVal>
            <c:numLit>
              <c:formatCode>General</c:formatCode>
              <c:ptCount val="2"/>
              <c:pt idx="0">
                <c:v>-7.8881707432153219</c:v>
              </c:pt>
              <c:pt idx="1">
                <c:v>-7.3567855451734125</c:v>
              </c:pt>
            </c:numLit>
          </c:xVal>
          <c:yVal>
            <c:numLit>
              <c:formatCode>General</c:formatCode>
              <c:ptCount val="2"/>
              <c:pt idx="0">
                <c:v>2.690634223888767E-2</c:v>
              </c:pt>
              <c:pt idx="1">
                <c:v>2.6700261472029474E-2</c:v>
              </c:pt>
            </c:numLit>
          </c:yVal>
          <c:smooth val="0"/>
          <c:extLst>
            <c:ext xmlns:c16="http://schemas.microsoft.com/office/drawing/2014/chart" uri="{C3380CC4-5D6E-409C-BE32-E72D297353CC}">
              <c16:uniqueId val="{00000043-4A09-48A6-B9BD-07AF6B2013A5}"/>
            </c:ext>
          </c:extLst>
        </c:ser>
        <c:ser>
          <c:idx val="68"/>
          <c:order val="68"/>
          <c:spPr>
            <a:ln w="3175">
              <a:solidFill>
                <a:srgbClr val="000000"/>
              </a:solidFill>
              <a:prstDash val="solid"/>
            </a:ln>
          </c:spPr>
          <c:marker>
            <c:symbol val="none"/>
          </c:marker>
          <c:xVal>
            <c:numLit>
              <c:formatCode>General</c:formatCode>
              <c:ptCount val="2"/>
              <c:pt idx="0">
                <c:v>-8.0106758986490121</c:v>
              </c:pt>
              <c:pt idx="1">
                <c:v>-7.742871141775753</c:v>
              </c:pt>
            </c:numLit>
          </c:xVal>
          <c:yVal>
            <c:numLit>
              <c:formatCode>General</c:formatCode>
              <c:ptCount val="2"/>
              <c:pt idx="0">
                <c:v>2.673024942614733E-2</c:v>
              </c:pt>
              <c:pt idx="1">
                <c:v>2.6630245125696513E-2</c:v>
              </c:pt>
            </c:numLit>
          </c:yVal>
          <c:smooth val="0"/>
          <c:extLst>
            <c:ext xmlns:c16="http://schemas.microsoft.com/office/drawing/2014/chart" uri="{C3380CC4-5D6E-409C-BE32-E72D297353CC}">
              <c16:uniqueId val="{00000044-4A09-48A6-B9BD-07AF6B2013A5}"/>
            </c:ext>
          </c:extLst>
        </c:ser>
        <c:ser>
          <c:idx val="69"/>
          <c:order val="69"/>
          <c:spPr>
            <a:ln w="3175">
              <a:solidFill>
                <a:srgbClr val="000000"/>
              </a:solidFill>
              <a:prstDash val="solid"/>
            </a:ln>
          </c:spPr>
          <c:marker>
            <c:symbol val="none"/>
          </c:marker>
          <c:xVal>
            <c:numLit>
              <c:formatCode>General</c:formatCode>
              <c:ptCount val="2"/>
              <c:pt idx="0">
                <c:v>-8.1227764177225303</c:v>
              </c:pt>
              <c:pt idx="1">
                <c:v>-7.853038893279038</c:v>
              </c:pt>
            </c:numLit>
          </c:xVal>
          <c:yVal>
            <c:numLit>
              <c:formatCode>General</c:formatCode>
              <c:ptCount val="2"/>
              <c:pt idx="0">
                <c:v>2.6563015417404752E-2</c:v>
              </c:pt>
              <c:pt idx="1">
                <c:v>2.6465894461932257E-2</c:v>
              </c:pt>
            </c:numLit>
          </c:yVal>
          <c:smooth val="0"/>
          <c:extLst>
            <c:ext xmlns:c16="http://schemas.microsoft.com/office/drawing/2014/chart" uri="{C3380CC4-5D6E-409C-BE32-E72D297353CC}">
              <c16:uniqueId val="{00000045-4A09-48A6-B9BD-07AF6B2013A5}"/>
            </c:ext>
          </c:extLst>
        </c:ser>
        <c:ser>
          <c:idx val="70"/>
          <c:order val="70"/>
          <c:spPr>
            <a:ln w="3175">
              <a:solidFill>
                <a:srgbClr val="000000"/>
              </a:solidFill>
              <a:prstDash val="solid"/>
            </a:ln>
          </c:spPr>
          <c:marker>
            <c:symbol val="none"/>
          </c:marker>
          <c:xVal>
            <c:numLit>
              <c:formatCode>General</c:formatCode>
              <c:ptCount val="2"/>
              <c:pt idx="0">
                <c:v>-8.2255548505858034</c:v>
              </c:pt>
              <c:pt idx="1">
                <c:v>-7.9540452841963916</c:v>
              </c:pt>
            </c:numLit>
          </c:xVal>
          <c:yVal>
            <c:numLit>
              <c:formatCode>General</c:formatCode>
              <c:ptCount val="2"/>
              <c:pt idx="0">
                <c:v>2.640409819616079E-2</c:v>
              </c:pt>
              <c:pt idx="1">
                <c:v>2.6309717192778709E-2</c:v>
              </c:pt>
            </c:numLit>
          </c:yVal>
          <c:smooth val="0"/>
          <c:extLst>
            <c:ext xmlns:c16="http://schemas.microsoft.com/office/drawing/2014/chart" uri="{C3380CC4-5D6E-409C-BE32-E72D297353CC}">
              <c16:uniqueId val="{00000046-4A09-48A6-B9BD-07AF6B2013A5}"/>
            </c:ext>
          </c:extLst>
        </c:ser>
        <c:ser>
          <c:idx val="71"/>
          <c:order val="71"/>
          <c:spPr>
            <a:ln w="3175">
              <a:solidFill>
                <a:srgbClr val="000000"/>
              </a:solidFill>
              <a:prstDash val="solid"/>
            </a:ln>
          </c:spPr>
          <c:marker>
            <c:symbol val="none"/>
          </c:marker>
          <c:xVal>
            <c:numLit>
              <c:formatCode>General</c:formatCode>
              <c:ptCount val="2"/>
              <c:pt idx="0">
                <c:v>-8.3199651431045574</c:v>
              </c:pt>
              <c:pt idx="1">
                <c:v>-8.0468278130510296</c:v>
              </c:pt>
            </c:numLit>
          </c:xVal>
          <c:yVal>
            <c:numLit>
              <c:formatCode>General</c:formatCode>
              <c:ptCount val="2"/>
              <c:pt idx="0">
                <c:v>2.6252984947883497E-2</c:v>
              </c:pt>
              <c:pt idx="1">
                <c:v>2.616120934533378E-2</c:v>
              </c:pt>
            </c:numLit>
          </c:yVal>
          <c:smooth val="0"/>
          <c:extLst>
            <c:ext xmlns:c16="http://schemas.microsoft.com/office/drawing/2014/chart" uri="{C3380CC4-5D6E-409C-BE32-E72D297353CC}">
              <c16:uniqueId val="{00000047-4A09-48A6-B9BD-07AF6B2013A5}"/>
            </c:ext>
          </c:extLst>
        </c:ser>
        <c:ser>
          <c:idx val="72"/>
          <c:order val="72"/>
          <c:spPr>
            <a:ln w="3175">
              <a:solidFill>
                <a:srgbClr val="000000"/>
              </a:solidFill>
              <a:prstDash val="solid"/>
            </a:ln>
          </c:spPr>
          <c:marker>
            <c:symbol val="none"/>
          </c:marker>
          <c:xVal>
            <c:numLit>
              <c:formatCode>General</c:formatCode>
              <c:ptCount val="2"/>
              <c:pt idx="0">
                <c:v>-8.4068491498525173</c:v>
              </c:pt>
              <c:pt idx="1">
                <c:v>-7.8575784895127745</c:v>
              </c:pt>
            </c:numLit>
          </c:xVal>
          <c:yVal>
            <c:numLit>
              <c:formatCode>General</c:formatCode>
              <c:ptCount val="2"/>
              <c:pt idx="0">
                <c:v>2.610919271000376E-2</c:v>
              </c:pt>
              <c:pt idx="1">
                <c:v>2.5930599857934666E-2</c:v>
              </c:pt>
            </c:numLit>
          </c:yVal>
          <c:smooth val="0"/>
          <c:extLst>
            <c:ext xmlns:c16="http://schemas.microsoft.com/office/drawing/2014/chart" uri="{C3380CC4-5D6E-409C-BE32-E72D297353CC}">
              <c16:uniqueId val="{00000048-4A09-48A6-B9BD-07AF6B2013A5}"/>
            </c:ext>
          </c:extLst>
        </c:ser>
        <c:ser>
          <c:idx val="73"/>
          <c:order val="73"/>
          <c:spPr>
            <a:ln w="3175">
              <a:solidFill>
                <a:srgbClr val="000000"/>
              </a:solidFill>
              <a:prstDash val="solid"/>
            </a:ln>
          </c:spPr>
          <c:marker>
            <c:symbol val="none"/>
          </c:marker>
          <c:xVal>
            <c:numLit>
              <c:formatCode>General</c:formatCode>
              <c:ptCount val="2"/>
              <c:pt idx="0">
                <c:v>-8.486950989224928</c:v>
              </c:pt>
              <c:pt idx="1">
                <c:v>-8.2109345928589796</c:v>
              </c:pt>
            </c:numLit>
          </c:xVal>
          <c:yVal>
            <c:numLit>
              <c:formatCode>General</c:formatCode>
              <c:ptCount val="2"/>
              <c:pt idx="0">
                <c:v>2.597226822015037E-2</c:v>
              </c:pt>
              <c:pt idx="1">
                <c:v>2.5885332561182261E-2</c:v>
              </c:pt>
            </c:numLit>
          </c:yVal>
          <c:smooth val="0"/>
          <c:extLst>
            <c:ext xmlns:c16="http://schemas.microsoft.com/office/drawing/2014/chart" uri="{C3380CC4-5D6E-409C-BE32-E72D297353CC}">
              <c16:uniqueId val="{00000049-4A09-48A6-B9BD-07AF6B2013A5}"/>
            </c:ext>
          </c:extLst>
        </c:ser>
        <c:ser>
          <c:idx val="74"/>
          <c:order val="74"/>
          <c:spPr>
            <a:ln w="3175">
              <a:solidFill>
                <a:srgbClr val="000000"/>
              </a:solidFill>
              <a:prstDash val="solid"/>
            </a:ln>
          </c:spPr>
          <c:marker>
            <c:symbol val="none"/>
          </c:marker>
          <c:xVal>
            <c:numLit>
              <c:formatCode>General</c:formatCode>
              <c:ptCount val="2"/>
              <c:pt idx="0">
                <c:v>-8.5609294985956481</c:v>
              </c:pt>
              <c:pt idx="1">
                <c:v>-8.2836376106888263</c:v>
              </c:pt>
            </c:numLit>
          </c:xVal>
          <c:yVal>
            <c:numLit>
              <c:formatCode>General</c:formatCode>
              <c:ptCount val="2"/>
              <c:pt idx="0">
                <c:v>2.5841787211775113E-2</c:v>
              </c:pt>
              <c:pt idx="1">
                <c:v>2.57571012253652E-2</c:v>
              </c:pt>
            </c:numLit>
          </c:yVal>
          <c:smooth val="0"/>
          <c:extLst>
            <c:ext xmlns:c16="http://schemas.microsoft.com/office/drawing/2014/chart" uri="{C3380CC4-5D6E-409C-BE32-E72D297353CC}">
              <c16:uniqueId val="{0000004A-4A09-48A6-B9BD-07AF6B2013A5}"/>
            </c:ext>
          </c:extLst>
        </c:ser>
        <c:ser>
          <c:idx val="75"/>
          <c:order val="75"/>
          <c:spPr>
            <a:ln w="3175">
              <a:solidFill>
                <a:srgbClr val="000000"/>
              </a:solidFill>
              <a:prstDash val="solid"/>
            </a:ln>
          </c:spPr>
          <c:marker>
            <c:symbol val="none"/>
          </c:marker>
          <c:xVal>
            <c:numLit>
              <c:formatCode>General</c:formatCode>
              <c:ptCount val="2"/>
              <c:pt idx="0">
                <c:v>-8.6293690287967184</c:v>
              </c:pt>
              <c:pt idx="1">
                <c:v>-8.350897148989878</c:v>
              </c:pt>
            </c:numLit>
          </c:xVal>
          <c:yVal>
            <c:numLit>
              <c:formatCode>General</c:formatCode>
              <c:ptCount val="2"/>
              <c:pt idx="0">
                <c:v>2.5717353342065267E-2</c:v>
              </c:pt>
              <c:pt idx="1">
                <c:v>2.5634812767202073E-2</c:v>
              </c:pt>
            </c:numLit>
          </c:yVal>
          <c:smooth val="0"/>
          <c:extLst>
            <c:ext xmlns:c16="http://schemas.microsoft.com/office/drawing/2014/chart" uri="{C3380CC4-5D6E-409C-BE32-E72D297353CC}">
              <c16:uniqueId val="{0000004B-4A09-48A6-B9BD-07AF6B2013A5}"/>
            </c:ext>
          </c:extLst>
        </c:ser>
        <c:ser>
          <c:idx val="76"/>
          <c:order val="76"/>
          <c:spPr>
            <a:ln w="3175">
              <a:solidFill>
                <a:srgbClr val="000000"/>
              </a:solidFill>
              <a:prstDash val="solid"/>
            </a:ln>
          </c:spPr>
          <c:marker>
            <c:symbol val="none"/>
          </c:marker>
          <c:xVal>
            <c:numLit>
              <c:formatCode>General</c:formatCode>
              <c:ptCount val="2"/>
              <c:pt idx="0">
                <c:v>-8.6927887946424995</c:v>
              </c:pt>
              <c:pt idx="1">
                <c:v>-8.4132234705969378</c:v>
              </c:pt>
            </c:numLit>
          </c:xVal>
          <c:yVal>
            <c:numLit>
              <c:formatCode>General</c:formatCode>
              <c:ptCount val="2"/>
              <c:pt idx="0">
                <c:v>2.5598596888211325E-2</c:v>
              </c:pt>
              <c:pt idx="1">
                <c:v>2.5518103838414578E-2</c:v>
              </c:pt>
            </c:numLit>
          </c:yVal>
          <c:smooth val="0"/>
          <c:extLst>
            <c:ext xmlns:c16="http://schemas.microsoft.com/office/drawing/2014/chart" uri="{C3380CC4-5D6E-409C-BE32-E72D297353CC}">
              <c16:uniqueId val="{0000004C-4A09-48A6-B9BD-07AF6B2013A5}"/>
            </c:ext>
          </c:extLst>
        </c:ser>
        <c:ser>
          <c:idx val="77"/>
          <c:order val="77"/>
          <c:spPr>
            <a:ln w="3175">
              <a:solidFill>
                <a:srgbClr val="000000"/>
              </a:solidFill>
              <a:prstDash val="solid"/>
            </a:ln>
          </c:spPr>
          <c:marker>
            <c:symbol val="none"/>
          </c:marker>
          <c:xVal>
            <c:numLit>
              <c:formatCode>General</c:formatCode>
              <c:ptCount val="2"/>
              <c:pt idx="0">
                <c:v>-8.7516509745654023</c:v>
              </c:pt>
              <c:pt idx="1">
                <c:v>-8.4710707853487577</c:v>
              </c:pt>
            </c:numLit>
          </c:xVal>
          <c:yVal>
            <c:numLit>
              <c:formatCode>General</c:formatCode>
              <c:ptCount val="2"/>
              <c:pt idx="0">
                <c:v>2.5485173311188873E-2</c:v>
              </c:pt>
              <c:pt idx="1">
                <c:v>2.5406635840306308E-2</c:v>
              </c:pt>
            </c:numLit>
          </c:yVal>
          <c:smooth val="0"/>
          <c:extLst>
            <c:ext xmlns:c16="http://schemas.microsoft.com/office/drawing/2014/chart" uri="{C3380CC4-5D6E-409C-BE32-E72D297353CC}">
              <c16:uniqueId val="{0000004D-4A09-48A6-B9BD-07AF6B2013A5}"/>
            </c:ext>
          </c:extLst>
        </c:ser>
        <c:ser>
          <c:idx val="78"/>
          <c:order val="78"/>
          <c:spPr>
            <a:ln w="3175">
              <a:solidFill>
                <a:srgbClr val="000000"/>
              </a:solidFill>
              <a:prstDash val="solid"/>
            </a:ln>
          </c:spPr>
          <c:marker>
            <c:symbol val="none"/>
          </c:marker>
          <c:xVal>
            <c:numLit>
              <c:formatCode>General</c:formatCode>
              <c:ptCount val="2"/>
              <c:pt idx="0">
                <c:v>-8.8573072883626267</c:v>
              </c:pt>
              <c:pt idx="1">
                <c:v>-8.5749054385632704</c:v>
              </c:pt>
            </c:numLit>
          </c:xVal>
          <c:yVal>
            <c:numLit>
              <c:formatCode>General</c:formatCode>
              <c:ptCount val="2"/>
              <c:pt idx="0">
                <c:v>2.5273063556165737E-2</c:v>
              </c:pt>
              <c:pt idx="1">
                <c:v>2.519818315002495E-2</c:v>
              </c:pt>
            </c:numLit>
          </c:yVal>
          <c:smooth val="0"/>
          <c:extLst>
            <c:ext xmlns:c16="http://schemas.microsoft.com/office/drawing/2014/chart" uri="{C3380CC4-5D6E-409C-BE32-E72D297353CC}">
              <c16:uniqueId val="{0000004E-4A09-48A6-B9BD-07AF6B2013A5}"/>
            </c:ext>
          </c:extLst>
        </c:ser>
        <c:ser>
          <c:idx val="79"/>
          <c:order val="79"/>
          <c:spPr>
            <a:ln w="3175">
              <a:solidFill>
                <a:srgbClr val="000000"/>
              </a:solidFill>
              <a:prstDash val="solid"/>
            </a:ln>
          </c:spPr>
          <c:marker>
            <c:symbol val="none"/>
          </c:marker>
          <c:xVal>
            <c:numLit>
              <c:formatCode>General</c:formatCode>
              <c:ptCount val="2"/>
              <c:pt idx="0">
                <c:v>-8.9491390821074628</c:v>
              </c:pt>
              <c:pt idx="1">
                <c:v>-8.6651539255194017</c:v>
              </c:pt>
            </c:numLit>
          </c:xVal>
          <c:yVal>
            <c:numLit>
              <c:formatCode>General</c:formatCode>
              <c:ptCount val="2"/>
              <c:pt idx="0">
                <c:v>2.5078714550976496E-2</c:v>
              </c:pt>
              <c:pt idx="1">
                <c:v>2.5007184989752764E-2</c:v>
              </c:pt>
            </c:numLit>
          </c:yVal>
          <c:smooth val="0"/>
          <c:extLst>
            <c:ext xmlns:c16="http://schemas.microsoft.com/office/drawing/2014/chart" uri="{C3380CC4-5D6E-409C-BE32-E72D297353CC}">
              <c16:uniqueId val="{0000004F-4A09-48A6-B9BD-07AF6B2013A5}"/>
            </c:ext>
          </c:extLst>
        </c:ser>
        <c:ser>
          <c:idx val="80"/>
          <c:order val="80"/>
          <c:spPr>
            <a:ln w="3175">
              <a:solidFill>
                <a:srgbClr val="000000"/>
              </a:solidFill>
              <a:prstDash val="solid"/>
            </a:ln>
          </c:spPr>
          <c:marker>
            <c:symbol val="none"/>
          </c:marker>
          <c:xVal>
            <c:numLit>
              <c:formatCode>General</c:formatCode>
              <c:ptCount val="2"/>
              <c:pt idx="0">
                <c:v>-9.0293977395002667</c:v>
              </c:pt>
              <c:pt idx="1">
                <c:v>-8.7440288129571595</c:v>
              </c:pt>
            </c:numLit>
          </c:xVal>
          <c:yVal>
            <c:numLit>
              <c:formatCode>General</c:formatCode>
              <c:ptCount val="2"/>
              <c:pt idx="0">
                <c:v>2.4900125447290717E-2</c:v>
              </c:pt>
              <c:pt idx="1">
                <c:v>2.4831675008544326E-2</c:v>
              </c:pt>
            </c:numLit>
          </c:yVal>
          <c:smooth val="0"/>
          <c:extLst>
            <c:ext xmlns:c16="http://schemas.microsoft.com/office/drawing/2014/chart" uri="{C3380CC4-5D6E-409C-BE32-E72D297353CC}">
              <c16:uniqueId val="{00000050-4A09-48A6-B9BD-07AF6B2013A5}"/>
            </c:ext>
          </c:extLst>
        </c:ser>
        <c:ser>
          <c:idx val="81"/>
          <c:order val="81"/>
          <c:spPr>
            <a:ln w="3175">
              <a:solidFill>
                <a:srgbClr val="000000"/>
              </a:solidFill>
              <a:prstDash val="solid"/>
            </a:ln>
          </c:spPr>
          <c:marker>
            <c:symbol val="none"/>
          </c:marker>
          <c:xVal>
            <c:numLit>
              <c:formatCode>General</c:formatCode>
              <c:ptCount val="2"/>
              <c:pt idx="0">
                <c:v>-9.0999057043833709</c:v>
              </c:pt>
              <c:pt idx="1">
                <c:v>-8.8133211232733135</c:v>
              </c:pt>
            </c:numLit>
          </c:xVal>
          <c:yVal>
            <c:numLit>
              <c:formatCode>General</c:formatCode>
              <c:ptCount val="2"/>
              <c:pt idx="0">
                <c:v>2.4735561478973527E-2</c:v>
              </c:pt>
              <c:pt idx="1">
                <c:v>2.466994835002571E-2</c:v>
              </c:pt>
            </c:numLit>
          </c:yVal>
          <c:smooth val="0"/>
          <c:extLst>
            <c:ext xmlns:c16="http://schemas.microsoft.com/office/drawing/2014/chart" uri="{C3380CC4-5D6E-409C-BE32-E72D297353CC}">
              <c16:uniqueId val="{00000051-4A09-48A6-B9BD-07AF6B2013A5}"/>
            </c:ext>
          </c:extLst>
        </c:ser>
        <c:ser>
          <c:idx val="82"/>
          <c:order val="82"/>
          <c:spPr>
            <a:ln w="3175">
              <a:solidFill>
                <a:srgbClr val="000000"/>
              </a:solidFill>
              <a:prstDash val="solid"/>
            </a:ln>
          </c:spPr>
          <c:marker>
            <c:symbol val="none"/>
          </c:marker>
          <c:xVal>
            <c:numLit>
              <c:formatCode>General</c:formatCode>
              <c:ptCount val="2"/>
              <c:pt idx="0">
                <c:v>-9.1621483944066782</c:v>
              </c:pt>
              <c:pt idx="1">
                <c:v>-8.5868329325305854</c:v>
              </c:pt>
            </c:numLit>
          </c:xVal>
          <c:yVal>
            <c:numLit>
              <c:formatCode>General</c:formatCode>
              <c:ptCount val="2"/>
              <c:pt idx="0">
                <c:v>2.4583516169954973E-2</c:v>
              </c:pt>
              <c:pt idx="1">
                <c:v>2.4457532853749627E-2</c:v>
              </c:pt>
            </c:numLit>
          </c:yVal>
          <c:smooth val="0"/>
          <c:extLst>
            <c:ext xmlns:c16="http://schemas.microsoft.com/office/drawing/2014/chart" uri="{C3380CC4-5D6E-409C-BE32-E72D297353CC}">
              <c16:uniqueId val="{00000052-4A09-48A6-B9BD-07AF6B2013A5}"/>
            </c:ext>
          </c:extLst>
        </c:ser>
        <c:ser>
          <c:idx val="83"/>
          <c:order val="83"/>
          <c:spPr>
            <a:ln w="3175">
              <a:solidFill>
                <a:srgbClr val="000000"/>
              </a:solidFill>
              <a:prstDash val="solid"/>
            </a:ln>
          </c:spPr>
          <c:marker>
            <c:symbol val="none"/>
          </c:marker>
          <c:xVal>
            <c:numLit>
              <c:formatCode>General</c:formatCode>
              <c:ptCount val="2"/>
              <c:pt idx="0">
                <c:v>-9.2890805085034174</c:v>
              </c:pt>
              <c:pt idx="1">
                <c:v>-8.9992342928395654</c:v>
              </c:pt>
            </c:numLit>
          </c:xVal>
          <c:yVal>
            <c:numLit>
              <c:formatCode>General</c:formatCode>
              <c:ptCount val="2"/>
              <c:pt idx="0">
                <c:v>2.4249973889194042E-2</c:v>
              </c:pt>
              <c:pt idx="1">
                <c:v>2.4192732960070008E-2</c:v>
              </c:pt>
            </c:numLit>
          </c:yVal>
          <c:smooth val="0"/>
          <c:extLst>
            <c:ext xmlns:c16="http://schemas.microsoft.com/office/drawing/2014/chart" uri="{C3380CC4-5D6E-409C-BE32-E72D297353CC}">
              <c16:uniqueId val="{00000053-4A09-48A6-B9BD-07AF6B2013A5}"/>
            </c:ext>
          </c:extLst>
        </c:ser>
        <c:ser>
          <c:idx val="84"/>
          <c:order val="84"/>
          <c:spPr>
            <a:ln w="3175">
              <a:solidFill>
                <a:srgbClr val="000000"/>
              </a:solidFill>
              <a:prstDash val="solid"/>
            </a:ln>
          </c:spPr>
          <c:marker>
            <c:symbol val="none"/>
          </c:marker>
          <c:xVal>
            <c:numLit>
              <c:formatCode>General</c:formatCode>
              <c:ptCount val="2"/>
              <c:pt idx="0">
                <c:v>-9.3854262264463078</c:v>
              </c:pt>
              <c:pt idx="1">
                <c:v>-8.8024115289826401</c:v>
              </c:pt>
            </c:numLit>
          </c:xVal>
          <c:yVal>
            <c:numLit>
              <c:formatCode>General</c:formatCode>
              <c:ptCount val="2"/>
              <c:pt idx="0">
                <c:v>2.3970556092921879E-2</c:v>
              </c:pt>
              <c:pt idx="1">
                <c:v>2.3865709331096985E-2</c:v>
              </c:pt>
            </c:numLit>
          </c:yVal>
          <c:smooth val="0"/>
          <c:extLst>
            <c:ext xmlns:c16="http://schemas.microsoft.com/office/drawing/2014/chart" uri="{C3380CC4-5D6E-409C-BE32-E72D297353CC}">
              <c16:uniqueId val="{00000054-4A09-48A6-B9BD-07AF6B2013A5}"/>
            </c:ext>
          </c:extLst>
        </c:ser>
        <c:ser>
          <c:idx val="85"/>
          <c:order val="85"/>
          <c:spPr>
            <a:ln w="3175">
              <a:solidFill>
                <a:srgbClr val="000000"/>
              </a:solidFill>
              <a:prstDash val="solid"/>
            </a:ln>
          </c:spPr>
          <c:marker>
            <c:symbol val="none"/>
          </c:marker>
          <c:xVal>
            <c:numLit>
              <c:formatCode>General</c:formatCode>
              <c:ptCount val="2"/>
              <c:pt idx="0">
                <c:v>-9.4601719381821585</c:v>
              </c:pt>
              <c:pt idx="1">
                <c:v>-9.1673758702824664</c:v>
              </c:pt>
            </c:numLit>
          </c:xVal>
          <c:yVal>
            <c:numLit>
              <c:formatCode>General</c:formatCode>
              <c:ptCount val="2"/>
              <c:pt idx="0">
                <c:v>2.3733423854580125E-2</c:v>
              </c:pt>
              <c:pt idx="1">
                <c:v>2.3685088960535641E-2</c:v>
              </c:pt>
            </c:numLit>
          </c:yVal>
          <c:smooth val="0"/>
          <c:extLst>
            <c:ext xmlns:c16="http://schemas.microsoft.com/office/drawing/2014/chart" uri="{C3380CC4-5D6E-409C-BE32-E72D297353CC}">
              <c16:uniqueId val="{00000055-4A09-48A6-B9BD-07AF6B2013A5}"/>
            </c:ext>
          </c:extLst>
        </c:ser>
        <c:ser>
          <c:idx val="86"/>
          <c:order val="86"/>
          <c:spPr>
            <a:ln w="3175">
              <a:solidFill>
                <a:srgbClr val="000000"/>
              </a:solidFill>
              <a:prstDash val="solid"/>
            </a:ln>
          </c:spPr>
          <c:marker>
            <c:symbol val="none"/>
          </c:marker>
          <c:xVal>
            <c:numLit>
              <c:formatCode>General</c:formatCode>
              <c:ptCount val="2"/>
              <c:pt idx="0">
                <c:v>-9.5192631793601503</c:v>
              </c:pt>
              <c:pt idx="1">
                <c:v>-8.9316334145546268</c:v>
              </c:pt>
            </c:numLit>
          </c:xVal>
          <c:yVal>
            <c:numLit>
              <c:formatCode>General</c:formatCode>
              <c:ptCount val="2"/>
              <c:pt idx="0">
                <c:v>2.3529865143833231E-2</c:v>
              </c:pt>
              <c:pt idx="1">
                <c:v>2.3440214621632083E-2</c:v>
              </c:pt>
            </c:numLit>
          </c:yVal>
          <c:smooth val="0"/>
          <c:extLst>
            <c:ext xmlns:c16="http://schemas.microsoft.com/office/drawing/2014/chart" uri="{C3380CC4-5D6E-409C-BE32-E72D297353CC}">
              <c16:uniqueId val="{00000056-4A09-48A6-B9BD-07AF6B2013A5}"/>
            </c:ext>
          </c:extLst>
        </c:ser>
        <c:ser>
          <c:idx val="87"/>
          <c:order val="87"/>
          <c:spPr>
            <a:ln w="3175">
              <a:solidFill>
                <a:srgbClr val="000000"/>
              </a:solidFill>
              <a:prstDash val="solid"/>
            </a:ln>
          </c:spPr>
          <c:marker>
            <c:symbol val="none"/>
          </c:marker>
          <c:xVal>
            <c:numLit>
              <c:formatCode>General</c:formatCode>
              <c:ptCount val="2"/>
              <c:pt idx="0">
                <c:v>-9.5667494735594438</c:v>
              </c:pt>
              <c:pt idx="1">
                <c:v>-9.2721158619463502</c:v>
              </c:pt>
            </c:numLit>
          </c:xVal>
          <c:yVal>
            <c:numLit>
              <c:formatCode>General</c:formatCode>
              <c:ptCount val="2"/>
              <c:pt idx="0">
                <c:v>2.3353355225599216E-2</c:v>
              </c:pt>
              <c:pt idx="1">
                <c:v>2.3311573238950951E-2</c:v>
              </c:pt>
            </c:numLit>
          </c:yVal>
          <c:smooth val="0"/>
          <c:extLst>
            <c:ext xmlns:c16="http://schemas.microsoft.com/office/drawing/2014/chart" uri="{C3380CC4-5D6E-409C-BE32-E72D297353CC}">
              <c16:uniqueId val="{00000057-4A09-48A6-B9BD-07AF6B2013A5}"/>
            </c:ext>
          </c:extLst>
        </c:ser>
        <c:ser>
          <c:idx val="88"/>
          <c:order val="88"/>
          <c:spPr>
            <a:ln w="3175">
              <a:solidFill>
                <a:srgbClr val="000000"/>
              </a:solidFill>
              <a:prstDash val="solid"/>
            </a:ln>
          </c:spPr>
          <c:marker>
            <c:symbol val="none"/>
          </c:marker>
          <c:xVal>
            <c:numLit>
              <c:formatCode>General</c:formatCode>
              <c:ptCount val="2"/>
              <c:pt idx="0">
                <c:v>-9.6054604899925025</c:v>
              </c:pt>
              <c:pt idx="1">
                <c:v>-9.0148584041306901</c:v>
              </c:pt>
            </c:numLit>
          </c:xVal>
          <c:yVal>
            <c:numLit>
              <c:formatCode>General</c:formatCode>
              <c:ptCount val="2"/>
              <c:pt idx="0">
                <c:v>2.3198926159195745E-2</c:v>
              </c:pt>
              <c:pt idx="1">
                <c:v>2.3120687326120031E-2</c:v>
              </c:pt>
            </c:numLit>
          </c:yVal>
          <c:smooth val="0"/>
          <c:extLst>
            <c:ext xmlns:c16="http://schemas.microsoft.com/office/drawing/2014/chart" uri="{C3380CC4-5D6E-409C-BE32-E72D297353CC}">
              <c16:uniqueId val="{00000058-4A09-48A6-B9BD-07AF6B2013A5}"/>
            </c:ext>
          </c:extLst>
        </c:ser>
        <c:ser>
          <c:idx val="89"/>
          <c:order val="89"/>
          <c:spPr>
            <a:ln w="3175">
              <a:solidFill>
                <a:srgbClr val="000000"/>
              </a:solidFill>
              <a:prstDash val="solid"/>
            </a:ln>
          </c:spPr>
          <c:marker>
            <c:symbol val="none"/>
          </c:marker>
          <c:xVal>
            <c:numLit>
              <c:formatCode>General</c:formatCode>
              <c:ptCount val="2"/>
              <c:pt idx="0">
                <c:v>-9.6640995467395676</c:v>
              </c:pt>
              <c:pt idx="1">
                <c:v>-9.3677874855888845</c:v>
              </c:pt>
            </c:numLit>
          </c:xVal>
          <c:yVal>
            <c:numLit>
              <c:formatCode>General</c:formatCode>
              <c:ptCount val="2"/>
              <c:pt idx="0">
                <c:v>2.294177753595765E-2</c:v>
              </c:pt>
              <c:pt idx="1">
                <c:v>2.2907091716372171E-2</c:v>
              </c:pt>
            </c:numLit>
          </c:yVal>
          <c:smooth val="0"/>
          <c:extLst>
            <c:ext xmlns:c16="http://schemas.microsoft.com/office/drawing/2014/chart" uri="{C3380CC4-5D6E-409C-BE32-E72D297353CC}">
              <c16:uniqueId val="{00000059-4A09-48A6-B9BD-07AF6B2013A5}"/>
            </c:ext>
          </c:extLst>
        </c:ser>
        <c:ser>
          <c:idx val="90"/>
          <c:order val="90"/>
          <c:spPr>
            <a:ln w="3175">
              <a:solidFill>
                <a:srgbClr val="000000"/>
              </a:solidFill>
              <a:prstDash val="solid"/>
            </a:ln>
          </c:spPr>
          <c:marker>
            <c:symbol val="none"/>
          </c:marker>
          <c:xVal>
            <c:numLit>
              <c:formatCode>General</c:formatCode>
              <c:ptCount val="2"/>
              <c:pt idx="0">
                <c:v>-9.7057408037734945</c:v>
              </c:pt>
              <c:pt idx="1">
                <c:v>-9.4087107899153306</c:v>
              </c:pt>
            </c:numLit>
          </c:xVal>
          <c:yVal>
            <c:numLit>
              <c:formatCode>General</c:formatCode>
              <c:ptCount val="2"/>
              <c:pt idx="0">
                <c:v>2.2736452704669185E-2</c:v>
              </c:pt>
              <c:pt idx="1">
                <c:v>2.2705306968381786E-2</c:v>
              </c:pt>
            </c:numLit>
          </c:yVal>
          <c:smooth val="0"/>
          <c:extLst>
            <c:ext xmlns:c16="http://schemas.microsoft.com/office/drawing/2014/chart" uri="{C3380CC4-5D6E-409C-BE32-E72D297353CC}">
              <c16:uniqueId val="{0000005A-4A09-48A6-B9BD-07AF6B2013A5}"/>
            </c:ext>
          </c:extLst>
        </c:ser>
        <c:ser>
          <c:idx val="91"/>
          <c:order val="91"/>
          <c:spPr>
            <a:ln w="3175">
              <a:solidFill>
                <a:srgbClr val="000000"/>
              </a:solidFill>
              <a:prstDash val="solid"/>
            </a:ln>
          </c:spPr>
          <c:marker>
            <c:symbol val="none"/>
          </c:marker>
          <c:xVal>
            <c:numLit>
              <c:formatCode>General</c:formatCode>
              <c:ptCount val="2"/>
              <c:pt idx="0">
                <c:v>-9.7363488755763594</c:v>
              </c:pt>
              <c:pt idx="1">
                <c:v>-9.4387911363422834</c:v>
              </c:pt>
            </c:numLit>
          </c:xVal>
          <c:yVal>
            <c:numLit>
              <c:formatCode>General</c:formatCode>
              <c:ptCount val="2"/>
              <c:pt idx="0">
                <c:v>2.2568842643838953E-2</c:v>
              </c:pt>
              <c:pt idx="1">
                <c:v>2.2540586736186558E-2</c:v>
              </c:pt>
            </c:numLit>
          </c:yVal>
          <c:smooth val="0"/>
          <c:extLst>
            <c:ext xmlns:c16="http://schemas.microsoft.com/office/drawing/2014/chart" uri="{C3380CC4-5D6E-409C-BE32-E72D297353CC}">
              <c16:uniqueId val="{0000005B-4A09-48A6-B9BD-07AF6B2013A5}"/>
            </c:ext>
          </c:extLst>
        </c:ser>
        <c:ser>
          <c:idx val="92"/>
          <c:order val="92"/>
          <c:spPr>
            <a:ln w="3175">
              <a:solidFill>
                <a:srgbClr val="000000"/>
              </a:solidFill>
              <a:prstDash val="solid"/>
            </a:ln>
          </c:spPr>
          <c:marker>
            <c:symbol val="none"/>
          </c:marker>
          <c:xVal>
            <c:numLit>
              <c:formatCode>General</c:formatCode>
              <c:ptCount val="2"/>
              <c:pt idx="0">
                <c:v>-9.7594920592975569</c:v>
              </c:pt>
              <c:pt idx="1">
                <c:v>-9.4615352996544964</c:v>
              </c:pt>
            </c:numLit>
          </c:xVal>
          <c:yVal>
            <c:numLit>
              <c:formatCode>General</c:formatCode>
              <c:ptCount val="2"/>
              <c:pt idx="0">
                <c:v>2.2429498103471914E-2</c:v>
              </c:pt>
              <c:pt idx="1">
                <c:v>2.2403644687894811E-2</c:v>
              </c:pt>
            </c:numLit>
          </c:yVal>
          <c:smooth val="0"/>
          <c:extLst>
            <c:ext xmlns:c16="http://schemas.microsoft.com/office/drawing/2014/chart" uri="{C3380CC4-5D6E-409C-BE32-E72D297353CC}">
              <c16:uniqueId val="{0000005C-4A09-48A6-B9BD-07AF6B2013A5}"/>
            </c:ext>
          </c:extLst>
        </c:ser>
        <c:ser>
          <c:idx val="93"/>
          <c:order val="93"/>
          <c:spPr>
            <a:ln w="3175">
              <a:solidFill>
                <a:srgbClr val="000000"/>
              </a:solidFill>
              <a:prstDash val="solid"/>
            </a:ln>
          </c:spPr>
          <c:marker>
            <c:symbol val="none"/>
          </c:marker>
          <c:xVal>
            <c:numLit>
              <c:formatCode>General</c:formatCode>
              <c:ptCount val="2"/>
              <c:pt idx="0">
                <c:v>-9.7774082431157812</c:v>
              </c:pt>
              <c:pt idx="1">
                <c:v>-9.1808769243876487</c:v>
              </c:pt>
            </c:numLit>
          </c:xVal>
          <c:yVal>
            <c:numLit>
              <c:formatCode>General</c:formatCode>
              <c:ptCount val="2"/>
              <c:pt idx="0">
                <c:v>2.2311864752467405E-2</c:v>
              </c:pt>
              <c:pt idx="1">
                <c:v>2.2264214243761633E-2</c:v>
              </c:pt>
            </c:numLit>
          </c:yVal>
          <c:smooth val="0"/>
          <c:extLst>
            <c:ext xmlns:c16="http://schemas.microsoft.com/office/drawing/2014/chart" uri="{C3380CC4-5D6E-409C-BE32-E72D297353CC}">
              <c16:uniqueId val="{0000005D-4A09-48A6-B9BD-07AF6B2013A5}"/>
            </c:ext>
          </c:extLst>
        </c:ser>
        <c:ser>
          <c:idx val="94"/>
          <c:order val="94"/>
          <c:spPr>
            <a:ln w="3175">
              <a:solidFill>
                <a:srgbClr val="000000"/>
              </a:solidFill>
              <a:prstDash val="solid"/>
            </a:ln>
          </c:spPr>
          <c:marker>
            <c:symbol val="none"/>
          </c:marker>
          <c:xVal>
            <c:numLit>
              <c:formatCode>General</c:formatCode>
              <c:ptCount val="2"/>
              <c:pt idx="0">
                <c:v>-9.826239533393677</c:v>
              </c:pt>
              <c:pt idx="1">
                <c:v>-9.5271319552317166</c:v>
              </c:pt>
            </c:numLit>
          </c:xVal>
          <c:yVal>
            <c:numLit>
              <c:formatCode>General</c:formatCode>
              <c:ptCount val="2"/>
              <c:pt idx="0">
                <c:v>2.19219477646126E-2</c:v>
              </c:pt>
              <c:pt idx="1">
                <c:v>2.1904845216946866E-2</c:v>
              </c:pt>
            </c:numLit>
          </c:yVal>
          <c:smooth val="0"/>
          <c:extLst>
            <c:ext xmlns:c16="http://schemas.microsoft.com/office/drawing/2014/chart" uri="{C3380CC4-5D6E-409C-BE32-E72D297353CC}">
              <c16:uniqueId val="{0000005E-4A09-48A6-B9BD-07AF6B2013A5}"/>
            </c:ext>
          </c:extLst>
        </c:ser>
        <c:ser>
          <c:idx val="95"/>
          <c:order val="95"/>
          <c:spPr>
            <a:ln w="3175">
              <a:solidFill>
                <a:srgbClr val="000000"/>
              </a:solidFill>
              <a:prstDash val="solid"/>
            </a:ln>
          </c:spPr>
          <c:marker>
            <c:symbol val="none"/>
          </c:marker>
          <c:xVal>
            <c:numLit>
              <c:formatCode>General</c:formatCode>
              <c:ptCount val="2"/>
              <c:pt idx="0">
                <c:v>-9.8465584490956477</c:v>
              </c:pt>
              <c:pt idx="1">
                <c:v>-9.2476426405061414</c:v>
              </c:pt>
            </c:numLit>
          </c:xVal>
          <c:yVal>
            <c:numLit>
              <c:formatCode>General</c:formatCode>
              <c:ptCount val="2"/>
              <c:pt idx="0">
                <c:v>2.1703336717703383E-2</c:v>
              </c:pt>
              <c:pt idx="1">
                <c:v>2.16766699343343E-2</c:v>
              </c:pt>
            </c:numLit>
          </c:yVal>
          <c:smooth val="0"/>
          <c:extLst>
            <c:ext xmlns:c16="http://schemas.microsoft.com/office/drawing/2014/chart" uri="{C3380CC4-5D6E-409C-BE32-E72D297353CC}">
              <c16:uniqueId val="{0000005F-4A09-48A6-B9BD-07AF6B2013A5}"/>
            </c:ext>
          </c:extLst>
        </c:ser>
        <c:ser>
          <c:idx val="96"/>
          <c:order val="96"/>
          <c:spPr>
            <a:ln w="3175">
              <a:solidFill>
                <a:srgbClr val="000000"/>
              </a:solidFill>
              <a:prstDash val="solid"/>
            </a:ln>
          </c:spPr>
          <c:marker>
            <c:symbol val="none"/>
          </c:marker>
          <c:xVal>
            <c:numLit>
              <c:formatCode>General</c:formatCode>
              <c:ptCount val="2"/>
              <c:pt idx="0">
                <c:v>-9.862870431265371</c:v>
              </c:pt>
              <c:pt idx="1">
                <c:v>-9.5631312858987254</c:v>
              </c:pt>
            </c:numLit>
          </c:xVal>
          <c:yVal>
            <c:numLit>
              <c:formatCode>General</c:formatCode>
              <c:ptCount val="2"/>
              <c:pt idx="0">
                <c:v>2.1466576659932901E-2</c:v>
              </c:pt>
              <c:pt idx="1">
                <c:v>2.1457325338209921E-2</c:v>
              </c:pt>
            </c:numLit>
          </c:yVal>
          <c:smooth val="0"/>
          <c:extLst>
            <c:ext xmlns:c16="http://schemas.microsoft.com/office/drawing/2014/chart" uri="{C3380CC4-5D6E-409C-BE32-E72D297353CC}">
              <c16:uniqueId val="{00000060-4A09-48A6-B9BD-07AF6B2013A5}"/>
            </c:ext>
          </c:extLst>
        </c:ser>
        <c:ser>
          <c:idx val="97"/>
          <c:order val="97"/>
          <c:spPr>
            <a:ln w="3175">
              <a:solidFill>
                <a:srgbClr val="000000"/>
              </a:solidFill>
              <a:prstDash val="solid"/>
            </a:ln>
          </c:spPr>
          <c:marker>
            <c:symbol val="none"/>
          </c:marker>
          <c:xVal>
            <c:numLit>
              <c:formatCode>General</c:formatCode>
              <c:ptCount val="2"/>
              <c:pt idx="0">
                <c:v>-9.8691357952931487</c:v>
              </c:pt>
              <c:pt idx="1">
                <c:v>-9.2694414575244188</c:v>
              </c:pt>
            </c:numLit>
          </c:xVal>
          <c:yVal>
            <c:numLit>
              <c:formatCode>General</c:formatCode>
              <c:ptCount val="2"/>
              <c:pt idx="0">
                <c:v>2.1340749932151591E-2</c:v>
              </c:pt>
              <c:pt idx="1">
                <c:v>2.1326586141387743E-2</c:v>
              </c:pt>
            </c:numLit>
          </c:yVal>
          <c:smooth val="0"/>
          <c:extLst>
            <c:ext xmlns:c16="http://schemas.microsoft.com/office/drawing/2014/chart" uri="{C3380CC4-5D6E-409C-BE32-E72D297353CC}">
              <c16:uniqueId val="{00000061-4A09-48A6-B9BD-07AF6B2013A5}"/>
            </c:ext>
          </c:extLst>
        </c:ser>
        <c:ser>
          <c:idx val="98"/>
          <c:order val="98"/>
          <c:spPr>
            <a:ln w="3175">
              <a:solidFill>
                <a:srgbClr val="000000"/>
              </a:solidFill>
              <a:prstDash val="solid"/>
            </a:ln>
          </c:spPr>
          <c:marker>
            <c:symbol val="none"/>
          </c:marker>
          <c:xVal>
            <c:numLit>
              <c:formatCode>General</c:formatCode>
              <c:ptCount val="2"/>
              <c:pt idx="0">
                <c:v>-9.8780000000000001</c:v>
              </c:pt>
              <c:pt idx="1">
                <c:v>-9.2779999999999987</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62-4A09-48A6-B9BD-07AF6B2013A5}"/>
            </c:ext>
          </c:extLst>
        </c:ser>
        <c:ser>
          <c:idx val="99"/>
          <c:order val="99"/>
          <c:spPr>
            <a:ln w="3175">
              <a:solidFill>
                <a:srgbClr val="000000"/>
              </a:solidFill>
              <a:prstDash val="solid"/>
            </a:ln>
          </c:spPr>
          <c:marker>
            <c:symbol val="none"/>
          </c:marker>
          <c:xVal>
            <c:numLit>
              <c:formatCode>General</c:formatCode>
              <c:ptCount val="2"/>
              <c:pt idx="0">
                <c:v>-9.8665090567206697</c:v>
              </c:pt>
              <c:pt idx="1">
                <c:v>-9.2669052961440936</c:v>
              </c:pt>
            </c:numLit>
          </c:xVal>
          <c:yVal>
            <c:numLit>
              <c:formatCode>General</c:formatCode>
              <c:ptCount val="2"/>
              <c:pt idx="0">
                <c:v>2.0462352026117177E-2</c:v>
              </c:pt>
              <c:pt idx="1">
                <c:v>2.0478477818320035E-2</c:v>
              </c:pt>
            </c:numLit>
          </c:yVal>
          <c:smooth val="0"/>
          <c:extLst>
            <c:ext xmlns:c16="http://schemas.microsoft.com/office/drawing/2014/chart" uri="{C3380CC4-5D6E-409C-BE32-E72D297353CC}">
              <c16:uniqueId val="{00000063-4A09-48A6-B9BD-07AF6B2013A5}"/>
            </c:ext>
          </c:extLst>
        </c:ser>
        <c:ser>
          <c:idx val="100"/>
          <c:order val="100"/>
          <c:spPr>
            <a:ln w="3175">
              <a:solidFill>
                <a:srgbClr val="000000"/>
              </a:solidFill>
              <a:prstDash val="solid"/>
            </a:ln>
          </c:spPr>
          <c:marker>
            <c:symbol val="none"/>
          </c:marker>
          <c:xVal>
            <c:numLit>
              <c:formatCode>General</c:formatCode>
              <c:ptCount val="2"/>
              <c:pt idx="0">
                <c:v>-9.8566117153194046</c:v>
              </c:pt>
              <c:pt idx="1">
                <c:v>-9.5569804788483808</c:v>
              </c:pt>
            </c:numLit>
          </c:xVal>
          <c:yVal>
            <c:numLit>
              <c:formatCode>General</c:formatCode>
              <c:ptCount val="2"/>
              <c:pt idx="0">
                <c:v>2.0292078253462336E-2</c:v>
              </c:pt>
              <c:pt idx="1">
                <c:v>2.0303076904264708E-2</c:v>
              </c:pt>
            </c:numLit>
          </c:yVal>
          <c:smooth val="0"/>
          <c:extLst>
            <c:ext xmlns:c16="http://schemas.microsoft.com/office/drawing/2014/chart" uri="{C3380CC4-5D6E-409C-BE32-E72D297353CC}">
              <c16:uniqueId val="{00000064-4A09-48A6-B9BD-07AF6B2013A5}"/>
            </c:ext>
          </c:extLst>
        </c:ser>
        <c:ser>
          <c:idx val="101"/>
          <c:order val="101"/>
          <c:spPr>
            <a:ln w="3175">
              <a:solidFill>
                <a:srgbClr val="000000"/>
              </a:solidFill>
              <a:prstDash val="solid"/>
            </a:ln>
          </c:spPr>
          <c:marker>
            <c:symbol val="none"/>
          </c:marker>
          <c:xVal>
            <c:numLit>
              <c:formatCode>General</c:formatCode>
              <c:ptCount val="2"/>
              <c:pt idx="0">
                <c:v>-9.825120498007605</c:v>
              </c:pt>
              <c:pt idx="1">
                <c:v>-9.2269439291107886</c:v>
              </c:pt>
            </c:numLit>
          </c:xVal>
          <c:yVal>
            <c:numLit>
              <c:formatCode>General</c:formatCode>
              <c:ptCount val="2"/>
              <c:pt idx="0">
                <c:v>1.9927403009249937E-2</c:v>
              </c:pt>
              <c:pt idx="1">
                <c:v>1.9961975319275804E-2</c:v>
              </c:pt>
            </c:numLit>
          </c:yVal>
          <c:smooth val="0"/>
          <c:extLst>
            <c:ext xmlns:c16="http://schemas.microsoft.com/office/drawing/2014/chart" uri="{C3380CC4-5D6E-409C-BE32-E72D297353CC}">
              <c16:uniqueId val="{00000065-4A09-48A6-B9BD-07AF6B2013A5}"/>
            </c:ext>
          </c:extLst>
        </c:ser>
        <c:ser>
          <c:idx val="102"/>
          <c:order val="102"/>
          <c:spPr>
            <a:ln w="3175">
              <a:solidFill>
                <a:srgbClr val="000000"/>
              </a:solidFill>
              <a:prstDash val="solid"/>
            </a:ln>
          </c:spPr>
          <c:marker>
            <c:symbol val="none"/>
          </c:marker>
          <c:xVal>
            <c:numLit>
              <c:formatCode>General</c:formatCode>
              <c:ptCount val="2"/>
              <c:pt idx="0">
                <c:v>-9.7743638069967425</c:v>
              </c:pt>
              <c:pt idx="1">
                <c:v>-9.1779374688244388</c:v>
              </c:pt>
            </c:numLit>
          </c:xVal>
          <c:yVal>
            <c:numLit>
              <c:formatCode>General</c:formatCode>
              <c:ptCount val="2"/>
              <c:pt idx="0">
                <c:v>1.9527441400141971E-2</c:v>
              </c:pt>
              <c:pt idx="1">
                <c:v>1.957580548979225E-2</c:v>
              </c:pt>
            </c:numLit>
          </c:yVal>
          <c:smooth val="0"/>
          <c:extLst>
            <c:ext xmlns:c16="http://schemas.microsoft.com/office/drawing/2014/chart" uri="{C3380CC4-5D6E-409C-BE32-E72D297353CC}">
              <c16:uniqueId val="{00000066-4A09-48A6-B9BD-07AF6B2013A5}"/>
            </c:ext>
          </c:extLst>
        </c:ser>
        <c:ser>
          <c:idx val="103"/>
          <c:order val="103"/>
          <c:spPr>
            <a:ln w="3175">
              <a:solidFill>
                <a:srgbClr val="000000"/>
              </a:solidFill>
              <a:prstDash val="solid"/>
            </a:ln>
          </c:spPr>
          <c:marker>
            <c:symbol val="none"/>
          </c:marker>
          <c:xVal>
            <c:numLit>
              <c:formatCode>General</c:formatCode>
              <c:ptCount val="2"/>
              <c:pt idx="0">
                <c:v>-9.7555947041230944</c:v>
              </c:pt>
              <c:pt idx="1">
                <c:v>-9.4577051402589021</c:v>
              </c:pt>
            </c:numLit>
          </c:xVal>
          <c:yVal>
            <c:numLit>
              <c:formatCode>General</c:formatCode>
              <c:ptCount val="2"/>
              <c:pt idx="0">
                <c:v>1.9406130083083659E-2</c:v>
              </c:pt>
              <c:pt idx="1">
                <c:v>1.9432403702340839E-2</c:v>
              </c:pt>
            </c:numLit>
          </c:yVal>
          <c:smooth val="0"/>
          <c:extLst>
            <c:ext xmlns:c16="http://schemas.microsoft.com/office/drawing/2014/chart" uri="{C3380CC4-5D6E-409C-BE32-E72D297353CC}">
              <c16:uniqueId val="{00000067-4A09-48A6-B9BD-07AF6B2013A5}"/>
            </c:ext>
          </c:extLst>
        </c:ser>
        <c:ser>
          <c:idx val="104"/>
          <c:order val="104"/>
          <c:spPr>
            <a:ln w="3175">
              <a:solidFill>
                <a:srgbClr val="000000"/>
              </a:solidFill>
              <a:prstDash val="solid"/>
            </a:ln>
          </c:spPr>
          <c:marker>
            <c:symbol val="none"/>
          </c:marker>
          <c:xVal>
            <c:numLit>
              <c:formatCode>General</c:formatCode>
              <c:ptCount val="2"/>
              <c:pt idx="0">
                <c:v>-9.7312495160578543</c:v>
              </c:pt>
              <c:pt idx="1">
                <c:v>-9.4337796968154759</c:v>
              </c:pt>
            </c:numLit>
          </c:xVal>
          <c:yVal>
            <c:numLit>
              <c:formatCode>General</c:formatCode>
              <c:ptCount val="2"/>
              <c:pt idx="0">
                <c:v>1.9262042185935597E-2</c:v>
              </c:pt>
              <c:pt idx="1">
                <c:v>1.9290800079281533E-2</c:v>
              </c:pt>
            </c:numLit>
          </c:yVal>
          <c:smooth val="0"/>
          <c:extLst>
            <c:ext xmlns:c16="http://schemas.microsoft.com/office/drawing/2014/chart" uri="{C3380CC4-5D6E-409C-BE32-E72D297353CC}">
              <c16:uniqueId val="{00000068-4A09-48A6-B9BD-07AF6B2013A5}"/>
            </c:ext>
          </c:extLst>
        </c:ser>
        <c:ser>
          <c:idx val="105"/>
          <c:order val="105"/>
          <c:spPr>
            <a:ln w="3175">
              <a:solidFill>
                <a:srgbClr val="000000"/>
              </a:solidFill>
              <a:prstDash val="solid"/>
            </a:ln>
          </c:spPr>
          <c:marker>
            <c:symbol val="none"/>
          </c:marker>
          <c:xVal>
            <c:numLit>
              <c:formatCode>General</c:formatCode>
              <c:ptCount val="2"/>
              <c:pt idx="0">
                <c:v>-9.6988930377242379</c:v>
              </c:pt>
              <c:pt idx="1">
                <c:v>-9.1050691398716754</c:v>
              </c:pt>
            </c:numLit>
          </c:xVal>
          <c:yVal>
            <c:numLit>
              <c:formatCode>General</c:formatCode>
              <c:ptCount val="2"/>
              <c:pt idx="0">
                <c:v>1.9088173676807301E-2</c:v>
              </c:pt>
              <c:pt idx="1">
                <c:v>1.9151684929331187E-2</c:v>
              </c:pt>
            </c:numLit>
          </c:yVal>
          <c:smooth val="0"/>
          <c:extLst>
            <c:ext xmlns:c16="http://schemas.microsoft.com/office/drawing/2014/chart" uri="{C3380CC4-5D6E-409C-BE32-E72D297353CC}">
              <c16:uniqueId val="{00000069-4A09-48A6-B9BD-07AF6B2013A5}"/>
            </c:ext>
          </c:extLst>
        </c:ser>
        <c:ser>
          <c:idx val="106"/>
          <c:order val="106"/>
          <c:spPr>
            <a:ln w="3175">
              <a:solidFill>
                <a:srgbClr val="000000"/>
              </a:solidFill>
              <a:prstDash val="solid"/>
            </a:ln>
          </c:spPr>
          <c:marker>
            <c:symbol val="none"/>
          </c:marker>
          <c:xVal>
            <c:numLit>
              <c:formatCode>General</c:formatCode>
              <c:ptCount val="2"/>
              <c:pt idx="0">
                <c:v>-9.6546103310984979</c:v>
              </c:pt>
              <c:pt idx="1">
                <c:v>-9.3584618771140402</c:v>
              </c:pt>
            </c:numLit>
          </c:xVal>
          <c:yVal>
            <c:numLit>
              <c:formatCode>General</c:formatCode>
              <c:ptCount val="2"/>
              <c:pt idx="0">
                <c:v>1.8874364740294421E-2</c:v>
              </c:pt>
              <c:pt idx="1">
                <c:v>1.8909806727530724E-2</c:v>
              </c:pt>
            </c:numLit>
          </c:yVal>
          <c:smooth val="0"/>
          <c:extLst>
            <c:ext xmlns:c16="http://schemas.microsoft.com/office/drawing/2014/chart" uri="{C3380CC4-5D6E-409C-BE32-E72D297353CC}">
              <c16:uniqueId val="{0000006A-4A09-48A6-B9BD-07AF6B2013A5}"/>
            </c:ext>
          </c:extLst>
        </c:ser>
        <c:ser>
          <c:idx val="107"/>
          <c:order val="107"/>
          <c:spPr>
            <a:ln w="3175">
              <a:solidFill>
                <a:srgbClr val="000000"/>
              </a:solidFill>
              <a:prstDash val="solid"/>
            </a:ln>
          </c:spPr>
          <c:marker>
            <c:symbol val="none"/>
          </c:marker>
          <c:xVal>
            <c:numLit>
              <c:formatCode>General</c:formatCode>
              <c:ptCount val="2"/>
              <c:pt idx="0">
                <c:v>-9.5917920119000488</c:v>
              </c:pt>
              <c:pt idx="1">
                <c:v>-9.0016612528690114</c:v>
              </c:pt>
            </c:numLit>
          </c:xVal>
          <c:yVal>
            <c:numLit>
              <c:formatCode>General</c:formatCode>
              <c:ptCount val="2"/>
              <c:pt idx="0">
                <c:v>1.8605334220365727E-2</c:v>
              </c:pt>
              <c:pt idx="1">
                <c:v>1.8685495109318634E-2</c:v>
              </c:pt>
            </c:numLit>
          </c:yVal>
          <c:smooth val="0"/>
          <c:extLst>
            <c:ext xmlns:c16="http://schemas.microsoft.com/office/drawing/2014/chart" uri="{C3380CC4-5D6E-409C-BE32-E72D297353CC}">
              <c16:uniqueId val="{0000006B-4A09-48A6-B9BD-07AF6B2013A5}"/>
            </c:ext>
          </c:extLst>
        </c:ser>
        <c:ser>
          <c:idx val="108"/>
          <c:order val="108"/>
          <c:spPr>
            <a:ln w="3175">
              <a:solidFill>
                <a:srgbClr val="000000"/>
              </a:solidFill>
              <a:prstDash val="solid"/>
            </a:ln>
          </c:spPr>
          <c:marker>
            <c:symbol val="none"/>
          </c:marker>
          <c:xVal>
            <c:numLit>
              <c:formatCode>General</c:formatCode>
              <c:ptCount val="2"/>
              <c:pt idx="0">
                <c:v>-9.5500552853147749</c:v>
              </c:pt>
              <c:pt idx="1">
                <c:v>-9.2557095045334847</c:v>
              </c:pt>
            </c:numLit>
          </c:xVal>
          <c:yVal>
            <c:numLit>
              <c:formatCode>General</c:formatCode>
              <c:ptCount val="2"/>
              <c:pt idx="0">
                <c:v>1.8443106339845548E-2</c:v>
              </c:pt>
              <c:pt idx="1">
                <c:v>1.8485983816744763E-2</c:v>
              </c:pt>
            </c:numLit>
          </c:yVal>
          <c:smooth val="0"/>
          <c:extLst>
            <c:ext xmlns:c16="http://schemas.microsoft.com/office/drawing/2014/chart" uri="{C3380CC4-5D6E-409C-BE32-E72D297353CC}">
              <c16:uniqueId val="{0000006C-4A09-48A6-B9BD-07AF6B2013A5}"/>
            </c:ext>
          </c:extLst>
        </c:ser>
        <c:ser>
          <c:idx val="109"/>
          <c:order val="109"/>
          <c:spPr>
            <a:ln w="3175">
              <a:solidFill>
                <a:srgbClr val="000000"/>
              </a:solidFill>
              <a:prstDash val="solid"/>
            </a:ln>
          </c:spPr>
          <c:marker>
            <c:symbol val="none"/>
          </c:marker>
          <c:xVal>
            <c:numLit>
              <c:formatCode>General</c:formatCode>
              <c:ptCount val="2"/>
              <c:pt idx="0">
                <c:v>-9.4985920174877663</c:v>
              </c:pt>
              <c:pt idx="1">
                <c:v>-8.9116750513674958</c:v>
              </c:pt>
            </c:numLit>
          </c:xVal>
          <c:yVal>
            <c:numLit>
              <c:formatCode>General</c:formatCode>
              <c:ptCount val="2"/>
              <c:pt idx="0">
                <c:v>1.8257081553294929E-2</c:v>
              </c:pt>
              <c:pt idx="1">
                <c:v>1.8349251154905447E-2</c:v>
              </c:pt>
            </c:numLit>
          </c:yVal>
          <c:smooth val="0"/>
          <c:extLst>
            <c:ext xmlns:c16="http://schemas.microsoft.com/office/drawing/2014/chart" uri="{C3380CC4-5D6E-409C-BE32-E72D297353CC}">
              <c16:uniqueId val="{0000006D-4A09-48A6-B9BD-07AF6B2013A5}"/>
            </c:ext>
          </c:extLst>
        </c:ser>
        <c:ser>
          <c:idx val="110"/>
          <c:order val="110"/>
          <c:spPr>
            <a:ln w="3175">
              <a:solidFill>
                <a:srgbClr val="000000"/>
              </a:solidFill>
              <a:prstDash val="solid"/>
            </a:ln>
          </c:spPr>
          <c:marker>
            <c:symbol val="none"/>
          </c:marker>
          <c:xVal>
            <c:numLit>
              <c:formatCode>General</c:formatCode>
              <c:ptCount val="2"/>
              <c:pt idx="0">
                <c:v>-9.4341733564072943</c:v>
              </c:pt>
              <c:pt idx="1">
                <c:v>-9.1418255399175123</c:v>
              </c:pt>
            </c:numLit>
          </c:xVal>
          <c:yVal>
            <c:numLit>
              <c:formatCode>General</c:formatCode>
              <c:ptCount val="2"/>
              <c:pt idx="0">
                <c:v>1.8041765933534418E-2</c:v>
              </c:pt>
              <c:pt idx="1">
                <c:v>1.8091563072611408E-2</c:v>
              </c:pt>
            </c:numLit>
          </c:yVal>
          <c:smooth val="0"/>
          <c:extLst>
            <c:ext xmlns:c16="http://schemas.microsoft.com/office/drawing/2014/chart" uri="{C3380CC4-5D6E-409C-BE32-E72D297353CC}">
              <c16:uniqueId val="{0000006E-4A09-48A6-B9BD-07AF6B2013A5}"/>
            </c:ext>
          </c:extLst>
        </c:ser>
        <c:ser>
          <c:idx val="111"/>
          <c:order val="111"/>
          <c:spPr>
            <a:ln w="3175">
              <a:solidFill>
                <a:srgbClr val="000000"/>
              </a:solidFill>
              <a:prstDash val="solid"/>
            </a:ln>
          </c:spPr>
          <c:marker>
            <c:symbol val="none"/>
          </c:marker>
          <c:xVal>
            <c:numLit>
              <c:formatCode>General</c:formatCode>
              <c:ptCount val="2"/>
              <c:pt idx="0">
                <c:v>-9.3521355422659074</c:v>
              </c:pt>
              <c:pt idx="1">
                <c:v>-8.7702687994291519</c:v>
              </c:pt>
            </c:numLit>
          </c:xVal>
          <c:yVal>
            <c:numLit>
              <c:formatCode>General</c:formatCode>
              <c:ptCount val="2"/>
              <c:pt idx="0">
                <c:v>1.7789900045223919E-2</c:v>
              </c:pt>
              <c:pt idx="1">
                <c:v>1.7898179354009301E-2</c:v>
              </c:pt>
            </c:numLit>
          </c:yVal>
          <c:smooth val="0"/>
          <c:extLst>
            <c:ext xmlns:c16="http://schemas.microsoft.com/office/drawing/2014/chart" uri="{C3380CC4-5D6E-409C-BE32-E72D297353CC}">
              <c16:uniqueId val="{0000006F-4A09-48A6-B9BD-07AF6B2013A5}"/>
            </c:ext>
          </c:extLst>
        </c:ser>
        <c:ser>
          <c:idx val="112"/>
          <c:order val="112"/>
          <c:spPr>
            <a:ln w="3175">
              <a:solidFill>
                <a:srgbClr val="000000"/>
              </a:solidFill>
              <a:prstDash val="solid"/>
            </a:ln>
          </c:spPr>
          <c:marker>
            <c:symbol val="none"/>
          </c:marker>
          <c:xVal>
            <c:numLit>
              <c:formatCode>General</c:formatCode>
              <c:ptCount val="2"/>
              <c:pt idx="0">
                <c:v>-9.2455590364770597</c:v>
              </c:pt>
              <c:pt idx="1">
                <c:v>-8.9564631910205588</c:v>
              </c:pt>
            </c:numLit>
          </c:xVal>
          <c:yVal>
            <c:numLit>
              <c:formatCode>General</c:formatCode>
              <c:ptCount val="2"/>
              <c:pt idx="0">
                <c:v>1.7491727600755014E-2</c:v>
              </c:pt>
              <c:pt idx="1">
                <c:v>1.7551008159362686E-2</c:v>
              </c:pt>
            </c:numLit>
          </c:yVal>
          <c:smooth val="0"/>
          <c:extLst>
            <c:ext xmlns:c16="http://schemas.microsoft.com/office/drawing/2014/chart" uri="{C3380CC4-5D6E-409C-BE32-E72D297353CC}">
              <c16:uniqueId val="{00000070-4A09-48A6-B9BD-07AF6B2013A5}"/>
            </c:ext>
          </c:extLst>
        </c:ser>
        <c:ser>
          <c:idx val="113"/>
          <c:order val="113"/>
          <c:spPr>
            <a:ln w="3175">
              <a:solidFill>
                <a:srgbClr val="000000"/>
              </a:solidFill>
              <a:prstDash val="solid"/>
            </a:ln>
          </c:spPr>
          <c:marker>
            <c:symbol val="none"/>
          </c:marker>
          <c:xVal>
            <c:numLit>
              <c:formatCode>General</c:formatCode>
              <c:ptCount val="2"/>
              <c:pt idx="0">
                <c:v>-9.1038600359190358</c:v>
              </c:pt>
              <c:pt idx="1">
                <c:v>-8.530554517439068</c:v>
              </c:pt>
            </c:numLit>
          </c:xVal>
          <c:yVal>
            <c:numLit>
              <c:formatCode>General</c:formatCode>
              <c:ptCount val="2"/>
              <c:pt idx="0">
                <c:v>1.7133900318625845E-2</c:v>
              </c:pt>
              <c:pt idx="1">
                <c:v>1.7264800307638748E-2</c:v>
              </c:pt>
            </c:numLit>
          </c:yVal>
          <c:smooth val="0"/>
          <c:extLst>
            <c:ext xmlns:c16="http://schemas.microsoft.com/office/drawing/2014/chart" uri="{C3380CC4-5D6E-409C-BE32-E72D297353CC}">
              <c16:uniqueId val="{00000071-4A09-48A6-B9BD-07AF6B2013A5}"/>
            </c:ext>
          </c:extLst>
        </c:ser>
        <c:ser>
          <c:idx val="114"/>
          <c:order val="114"/>
          <c:spPr>
            <a:ln w="3175">
              <a:solidFill>
                <a:srgbClr val="000000"/>
              </a:solidFill>
              <a:prstDash val="solid"/>
            </a:ln>
          </c:spPr>
          <c:marker>
            <c:symbol val="none"/>
          </c:marker>
          <c:xVal>
            <c:numLit>
              <c:formatCode>General</c:formatCode>
              <c:ptCount val="2"/>
              <c:pt idx="0">
                <c:v>-9.033886916005148</c:v>
              </c:pt>
              <c:pt idx="1">
                <c:v>-8.748440589867128</c:v>
              </c:pt>
            </c:numLit>
          </c:xVal>
          <c:yVal>
            <c:numLit>
              <c:formatCode>General</c:formatCode>
              <c:ptCount val="2"/>
              <c:pt idx="0">
                <c:v>1.6970127856038714E-2</c:v>
              </c:pt>
              <c:pt idx="1">
                <c:v>1.7038401513693218E-2</c:v>
              </c:pt>
            </c:numLit>
          </c:yVal>
          <c:smooth val="0"/>
          <c:extLst>
            <c:ext xmlns:c16="http://schemas.microsoft.com/office/drawing/2014/chart" uri="{C3380CC4-5D6E-409C-BE32-E72D297353CC}">
              <c16:uniqueId val="{00000072-4A09-48A6-B9BD-07AF6B2013A5}"/>
            </c:ext>
          </c:extLst>
        </c:ser>
        <c:ser>
          <c:idx val="115"/>
          <c:order val="115"/>
          <c:spPr>
            <a:ln w="3175">
              <a:solidFill>
                <a:srgbClr val="000000"/>
              </a:solidFill>
              <a:prstDash val="solid"/>
            </a:ln>
          </c:spPr>
          <c:marker>
            <c:symbol val="none"/>
          </c:marker>
          <c:xVal>
            <c:numLit>
              <c:formatCode>General</c:formatCode>
              <c:ptCount val="2"/>
              <c:pt idx="0">
                <c:v>-8.954260939861248</c:v>
              </c:pt>
              <c:pt idx="1">
                <c:v>-8.6701874753808799</c:v>
              </c:pt>
            </c:numLit>
          </c:xVal>
          <c:yVal>
            <c:numLit>
              <c:formatCode>General</c:formatCode>
              <c:ptCount val="2"/>
              <c:pt idx="0">
                <c:v>1.6792426733524612E-2</c:v>
              </c:pt>
              <c:pt idx="1">
                <c:v>1.6863764203636257E-2</c:v>
              </c:pt>
            </c:numLit>
          </c:yVal>
          <c:smooth val="0"/>
          <c:extLst>
            <c:ext xmlns:c16="http://schemas.microsoft.com/office/drawing/2014/chart" uri="{C3380CC4-5D6E-409C-BE32-E72D297353CC}">
              <c16:uniqueId val="{00000073-4A09-48A6-B9BD-07AF6B2013A5}"/>
            </c:ext>
          </c:extLst>
        </c:ser>
        <c:ser>
          <c:idx val="116"/>
          <c:order val="116"/>
          <c:spPr>
            <a:ln w="3175">
              <a:solidFill>
                <a:srgbClr val="000000"/>
              </a:solidFill>
              <a:prstDash val="solid"/>
            </a:ln>
          </c:spPr>
          <c:marker>
            <c:symbol val="none"/>
          </c:marker>
          <c:xVal>
            <c:numLit>
              <c:formatCode>General</c:formatCode>
              <c:ptCount val="2"/>
              <c:pt idx="0">
                <c:v>-8.8631822315685405</c:v>
              </c:pt>
              <c:pt idx="1">
                <c:v>-8.5806790896449439</c:v>
              </c:pt>
            </c:numLit>
          </c:xVal>
          <c:yVal>
            <c:numLit>
              <c:formatCode>General</c:formatCode>
              <c:ptCount val="2"/>
              <c:pt idx="0">
                <c:v>1.6599076898329495E-2</c:v>
              </c:pt>
              <c:pt idx="1">
                <c:v>1.6673747986289334E-2</c:v>
              </c:pt>
            </c:numLit>
          </c:yVal>
          <c:smooth val="0"/>
          <c:extLst>
            <c:ext xmlns:c16="http://schemas.microsoft.com/office/drawing/2014/chart" uri="{C3380CC4-5D6E-409C-BE32-E72D297353CC}">
              <c16:uniqueId val="{00000074-4A09-48A6-B9BD-07AF6B2013A5}"/>
            </c:ext>
          </c:extLst>
        </c:ser>
        <c:ser>
          <c:idx val="117"/>
          <c:order val="117"/>
          <c:spPr>
            <a:ln w="3175">
              <a:solidFill>
                <a:srgbClr val="000000"/>
              </a:solidFill>
              <a:prstDash val="solid"/>
            </a:ln>
          </c:spPr>
          <c:marker>
            <c:symbol val="none"/>
          </c:marker>
          <c:xVal>
            <c:numLit>
              <c:formatCode>General</c:formatCode>
              <c:ptCount val="2"/>
              <c:pt idx="0">
                <c:v>-8.7584282202067296</c:v>
              </c:pt>
              <c:pt idx="1">
                <c:v>-8.477731181927302</c:v>
              </c:pt>
            </c:numLit>
          </c:xVal>
          <c:yVal>
            <c:numLit>
              <c:formatCode>General</c:formatCode>
              <c:ptCount val="2"/>
              <c:pt idx="0">
                <c:v>1.6388094622981707E-2</c:v>
              </c:pt>
              <c:pt idx="1">
                <c:v>1.6466403336378575E-2</c:v>
              </c:pt>
            </c:numLit>
          </c:yVal>
          <c:smooth val="0"/>
          <c:extLst>
            <c:ext xmlns:c16="http://schemas.microsoft.com/office/drawing/2014/chart" uri="{C3380CC4-5D6E-409C-BE32-E72D297353CC}">
              <c16:uniqueId val="{00000075-4A09-48A6-B9BD-07AF6B2013A5}"/>
            </c:ext>
          </c:extLst>
        </c:ser>
        <c:ser>
          <c:idx val="118"/>
          <c:order val="118"/>
          <c:spPr>
            <a:ln w="3175">
              <a:solidFill>
                <a:srgbClr val="000000"/>
              </a:solidFill>
              <a:prstDash val="solid"/>
            </a:ln>
          </c:spPr>
          <c:marker>
            <c:symbol val="none"/>
          </c:marker>
          <c:xVal>
            <c:numLit>
              <c:formatCode>General</c:formatCode>
              <c:ptCount val="2"/>
              <c:pt idx="0">
                <c:v>-8.6372348348493126</c:v>
              </c:pt>
              <c:pt idx="1">
                <c:v>-8.0800198405441641</c:v>
              </c:pt>
            </c:numLit>
          </c:xVal>
          <c:yVal>
            <c:numLit>
              <c:formatCode>General</c:formatCode>
              <c:ptCount val="2"/>
              <c:pt idx="0">
                <c:v>1.6157190180898885E-2</c:v>
              </c:pt>
              <c:pt idx="1">
                <c:v>1.6321769829833407E-2</c:v>
              </c:pt>
            </c:numLit>
          </c:yVal>
          <c:smooth val="0"/>
          <c:extLst>
            <c:ext xmlns:c16="http://schemas.microsoft.com/office/drawing/2014/chart" uri="{C3380CC4-5D6E-409C-BE32-E72D297353CC}">
              <c16:uniqueId val="{00000076-4A09-48A6-B9BD-07AF6B2013A5}"/>
            </c:ext>
          </c:extLst>
        </c:ser>
        <c:ser>
          <c:idx val="119"/>
          <c:order val="119"/>
          <c:spPr>
            <a:ln w="3175">
              <a:solidFill>
                <a:srgbClr val="000000"/>
              </a:solidFill>
              <a:prstDash val="solid"/>
            </a:ln>
          </c:spPr>
          <c:marker>
            <c:symbol val="none"/>
          </c:marker>
          <c:xVal>
            <c:numLit>
              <c:formatCode>General</c:formatCode>
              <c:ptCount val="2"/>
              <c:pt idx="0">
                <c:v>-8.5694238961193641</c:v>
              </c:pt>
              <c:pt idx="1">
                <c:v>-8.2919855530828226</c:v>
              </c:pt>
            </c:numLit>
          </c:xVal>
          <c:yVal>
            <c:numLit>
              <c:formatCode>General</c:formatCode>
              <c:ptCount val="2"/>
              <c:pt idx="0">
                <c:v>1.6033456612372633E-2</c:v>
              </c:pt>
              <c:pt idx="1">
                <c:v>1.611787977422828E-2</c:v>
              </c:pt>
            </c:numLit>
          </c:yVal>
          <c:smooth val="0"/>
          <c:extLst>
            <c:ext xmlns:c16="http://schemas.microsoft.com/office/drawing/2014/chart" uri="{C3380CC4-5D6E-409C-BE32-E72D297353CC}">
              <c16:uniqueId val="{00000077-4A09-48A6-B9BD-07AF6B2013A5}"/>
            </c:ext>
          </c:extLst>
        </c:ser>
        <c:ser>
          <c:idx val="120"/>
          <c:order val="120"/>
          <c:spPr>
            <a:ln w="3175">
              <a:solidFill>
                <a:srgbClr val="000000"/>
              </a:solidFill>
              <a:prstDash val="solid"/>
            </a:ln>
          </c:spPr>
          <c:marker>
            <c:symbol val="none"/>
          </c:marker>
          <c:xVal>
            <c:numLit>
              <c:formatCode>General</c:formatCode>
              <c:ptCount val="2"/>
              <c:pt idx="0">
                <c:v>-8.496139552640436</c:v>
              </c:pt>
              <c:pt idx="1">
                <c:v>-8.2199647327673251</c:v>
              </c:pt>
            </c:numLit>
          </c:xVal>
          <c:yVal>
            <c:numLit>
              <c:formatCode>General</c:formatCode>
              <c:ptCount val="2"/>
              <c:pt idx="0">
                <c:v>1.590372165004483E-2</c:v>
              </c:pt>
              <c:pt idx="1">
                <c:v>1.599038162159578E-2</c:v>
              </c:pt>
            </c:numLit>
          </c:yVal>
          <c:smooth val="0"/>
          <c:extLst>
            <c:ext xmlns:c16="http://schemas.microsoft.com/office/drawing/2014/chart" uri="{C3380CC4-5D6E-409C-BE32-E72D297353CC}">
              <c16:uniqueId val="{00000078-4A09-48A6-B9BD-07AF6B2013A5}"/>
            </c:ext>
          </c:extLst>
        </c:ser>
        <c:ser>
          <c:idx val="121"/>
          <c:order val="121"/>
          <c:spPr>
            <a:ln w="3175">
              <a:solidFill>
                <a:srgbClr val="000000"/>
              </a:solidFill>
              <a:prstDash val="solid"/>
            </a:ln>
          </c:spPr>
          <c:marker>
            <c:symbol val="none"/>
          </c:marker>
          <c:xVal>
            <c:numLit>
              <c:formatCode>General</c:formatCode>
              <c:ptCount val="2"/>
              <c:pt idx="0">
                <c:v>-8.4168057372568565</c:v>
              </c:pt>
              <c:pt idx="1">
                <c:v>-8.1419987417869102</c:v>
              </c:pt>
            </c:numLit>
          </c:xVal>
          <c:yVal>
            <c:numLit>
              <c:formatCode>General</c:formatCode>
              <c:ptCount val="2"/>
              <c:pt idx="0">
                <c:v>1.5767592217746176E-2</c:v>
              </c:pt>
              <c:pt idx="1">
                <c:v>1.5856599248474688E-2</c:v>
              </c:pt>
            </c:numLit>
          </c:yVal>
          <c:smooth val="0"/>
          <c:extLst>
            <c:ext xmlns:c16="http://schemas.microsoft.com/office/drawing/2014/chart" uri="{C3380CC4-5D6E-409C-BE32-E72D297353CC}">
              <c16:uniqueId val="{00000079-4A09-48A6-B9BD-07AF6B2013A5}"/>
            </c:ext>
          </c:extLst>
        </c:ser>
        <c:ser>
          <c:idx val="122"/>
          <c:order val="122"/>
          <c:spPr>
            <a:ln w="3175">
              <a:solidFill>
                <a:srgbClr val="000000"/>
              </a:solidFill>
              <a:prstDash val="solid"/>
            </a:ln>
          </c:spPr>
          <c:marker>
            <c:symbol val="none"/>
          </c:marker>
          <c:xVal>
            <c:numLit>
              <c:formatCode>General</c:formatCode>
              <c:ptCount val="2"/>
              <c:pt idx="0">
                <c:v>-8.3307730905498314</c:v>
              </c:pt>
              <c:pt idx="1">
                <c:v>-8.0574494165748334</c:v>
              </c:pt>
            </c:numLit>
          </c:xVal>
          <c:yVal>
            <c:numLit>
              <c:formatCode>General</c:formatCode>
              <c:ptCount val="2"/>
              <c:pt idx="0">
                <c:v>1.5624647462044871E-2</c:v>
              </c:pt>
              <c:pt idx="1">
                <c:v>1.5716119057526855E-2</c:v>
              </c:pt>
            </c:numLit>
          </c:yVal>
          <c:smooth val="0"/>
          <c:extLst>
            <c:ext xmlns:c16="http://schemas.microsoft.com/office/drawing/2014/chart" uri="{C3380CC4-5D6E-409C-BE32-E72D297353CC}">
              <c16:uniqueId val="{0000007A-4A09-48A6-B9BD-07AF6B2013A5}"/>
            </c:ext>
          </c:extLst>
        </c:ser>
        <c:ser>
          <c:idx val="123"/>
          <c:order val="123"/>
          <c:spPr>
            <a:ln w="3175">
              <a:solidFill>
                <a:srgbClr val="000000"/>
              </a:solidFill>
              <a:prstDash val="solid"/>
            </a:ln>
          </c:spPr>
          <c:marker>
            <c:symbol val="none"/>
          </c:marker>
          <c:xVal>
            <c:numLit>
              <c:formatCode>General</c:formatCode>
              <c:ptCount val="2"/>
              <c:pt idx="0">
                <c:v>-8.2373083506110412</c:v>
              </c:pt>
              <c:pt idx="1">
                <c:v>-7.6938839247279001</c:v>
              </c:pt>
            </c:numLit>
          </c:xVal>
          <c:yVal>
            <c:numLit>
              <c:formatCode>General</c:formatCode>
              <c:ptCount val="2"/>
              <c:pt idx="0">
                <c:v>1.5474437646003199E-2</c:v>
              </c:pt>
              <c:pt idx="1">
                <c:v>1.5662560485796194E-2</c:v>
              </c:pt>
            </c:numLit>
          </c:yVal>
          <c:smooth val="0"/>
          <c:extLst>
            <c:ext xmlns:c16="http://schemas.microsoft.com/office/drawing/2014/chart" uri="{C3380CC4-5D6E-409C-BE32-E72D297353CC}">
              <c16:uniqueId val="{0000007B-4A09-48A6-B9BD-07AF6B2013A5}"/>
            </c:ext>
          </c:extLst>
        </c:ser>
        <c:ser>
          <c:idx val="124"/>
          <c:order val="124"/>
          <c:spPr>
            <a:ln w="3175">
              <a:solidFill>
                <a:srgbClr val="000000"/>
              </a:solidFill>
              <a:prstDash val="solid"/>
            </a:ln>
          </c:spPr>
          <c:marker>
            <c:symbol val="none"/>
          </c:marker>
          <c:xVal>
            <c:numLit>
              <c:formatCode>General</c:formatCode>
              <c:ptCount val="2"/>
              <c:pt idx="0">
                <c:v>-8.135582109378646</c:v>
              </c:pt>
              <c:pt idx="1">
                <c:v>-7.865623797147979</c:v>
              </c:pt>
            </c:numLit>
          </c:xVal>
          <c:yVal>
            <c:numLit>
              <c:formatCode>General</c:formatCode>
              <c:ptCount val="2"/>
              <c:pt idx="0">
                <c:v>1.5316483392004664E-2</c:v>
              </c:pt>
              <c:pt idx="1">
                <c:v>1.5413268161108032E-2</c:v>
              </c:pt>
            </c:numLit>
          </c:yVal>
          <c:smooth val="0"/>
          <c:extLst>
            <c:ext xmlns:c16="http://schemas.microsoft.com/office/drawing/2014/chart" uri="{C3380CC4-5D6E-409C-BE32-E72D297353CC}">
              <c16:uniqueId val="{0000007C-4A09-48A6-B9BD-07AF6B2013A5}"/>
            </c:ext>
          </c:extLst>
        </c:ser>
        <c:ser>
          <c:idx val="125"/>
          <c:order val="125"/>
          <c:spPr>
            <a:ln w="3175">
              <a:solidFill>
                <a:srgbClr val="000000"/>
              </a:solidFill>
              <a:prstDash val="solid"/>
            </a:ln>
          </c:spPr>
          <c:marker>
            <c:symbol val="none"/>
          </c:marker>
          <c:xVal>
            <c:numLit>
              <c:formatCode>General</c:formatCode>
              <c:ptCount val="2"/>
              <c:pt idx="0">
                <c:v>-8.0246546988258096</c:v>
              </c:pt>
              <c:pt idx="1">
                <c:v>-7.7566089281563979</c:v>
              </c:pt>
            </c:numLit>
          </c:xVal>
          <c:yVal>
            <c:numLit>
              <c:formatCode>General</c:formatCode>
              <c:ptCount val="2"/>
              <c:pt idx="0">
                <c:v>1.5150275451951677E-2</c:v>
              </c:pt>
              <c:pt idx="1">
                <c:v>1.5249925875193889E-2</c:v>
              </c:pt>
            </c:numLit>
          </c:yVal>
          <c:smooth val="0"/>
          <c:extLst>
            <c:ext xmlns:c16="http://schemas.microsoft.com/office/drawing/2014/chart" uri="{C3380CC4-5D6E-409C-BE32-E72D297353CC}">
              <c16:uniqueId val="{0000007D-4A09-48A6-B9BD-07AF6B2013A5}"/>
            </c:ext>
          </c:extLst>
        </c:ser>
        <c:ser>
          <c:idx val="126"/>
          <c:order val="126"/>
          <c:spPr>
            <a:ln w="3175">
              <a:solidFill>
                <a:srgbClr val="000000"/>
              </a:solidFill>
              <a:prstDash val="solid"/>
            </a:ln>
          </c:spPr>
          <c:marker>
            <c:symbol val="none"/>
          </c:marker>
          <c:xVal>
            <c:numLit>
              <c:formatCode>General</c:formatCode>
              <c:ptCount val="2"/>
              <c:pt idx="0">
                <c:v>-7.9034599509797507</c:v>
              </c:pt>
              <c:pt idx="1">
                <c:v>-7.6375037449283747</c:v>
              </c:pt>
            </c:numLit>
          </c:xVal>
          <c:yVal>
            <c:numLit>
              <c:formatCode>General</c:formatCode>
              <c:ptCount val="2"/>
              <c:pt idx="0">
                <c:v>1.4975275245324009E-2</c:v>
              </c:pt>
              <c:pt idx="1">
                <c:v>1.5077942913508079E-2</c:v>
              </c:pt>
            </c:numLit>
          </c:yVal>
          <c:smooth val="0"/>
          <c:extLst>
            <c:ext xmlns:c16="http://schemas.microsoft.com/office/drawing/2014/chart" uri="{C3380CC4-5D6E-409C-BE32-E72D297353CC}">
              <c16:uniqueId val="{0000007E-4A09-48A6-B9BD-07AF6B2013A5}"/>
            </c:ext>
          </c:extLst>
        </c:ser>
        <c:ser>
          <c:idx val="127"/>
          <c:order val="127"/>
          <c:spPr>
            <a:ln w="3175">
              <a:solidFill>
                <a:srgbClr val="000000"/>
              </a:solidFill>
              <a:prstDash val="solid"/>
            </a:ln>
          </c:spPr>
          <c:marker>
            <c:symbol val="none"/>
          </c:marker>
          <c:xVal>
            <c:numLit>
              <c:formatCode>General</c:formatCode>
              <c:ptCount val="2"/>
              <c:pt idx="0">
                <c:v>-7.7707865642283949</c:v>
              </c:pt>
              <c:pt idx="1">
                <c:v>-7.5071178303623878</c:v>
              </c:pt>
            </c:numLit>
          </c:xVal>
          <c:yVal>
            <c:numLit>
              <c:formatCode>General</c:formatCode>
              <c:ptCount val="2"/>
              <c:pt idx="0">
                <c:v>1.4790916486985731E-2</c:v>
              </c:pt>
              <c:pt idx="1">
                <c:v>1.4896762754451495E-2</c:v>
              </c:pt>
            </c:numLit>
          </c:yVal>
          <c:smooth val="0"/>
          <c:extLst>
            <c:ext xmlns:c16="http://schemas.microsoft.com/office/drawing/2014/chart" uri="{C3380CC4-5D6E-409C-BE32-E72D297353CC}">
              <c16:uniqueId val="{0000007F-4A09-48A6-B9BD-07AF6B2013A5}"/>
            </c:ext>
          </c:extLst>
        </c:ser>
        <c:ser>
          <c:idx val="128"/>
          <c:order val="128"/>
          <c:spPr>
            <a:ln w="3175">
              <a:solidFill>
                <a:srgbClr val="000000"/>
              </a:solidFill>
              <a:prstDash val="solid"/>
            </a:ln>
          </c:spPr>
          <c:marker>
            <c:symbol val="none"/>
          </c:marker>
          <c:xVal>
            <c:numLit>
              <c:formatCode>General</c:formatCode>
              <c:ptCount val="2"/>
              <c:pt idx="0">
                <c:v>-7.6252568113761559</c:v>
              </c:pt>
              <c:pt idx="1">
                <c:v>-7.1029376109838731</c:v>
              </c:pt>
            </c:numLit>
          </c:xVal>
          <c:yVal>
            <c:numLit>
              <c:formatCode>General</c:formatCode>
              <c:ptCount val="2"/>
              <c:pt idx="0">
                <c:v>1.4596608332400495E-2</c:v>
              </c:pt>
              <c:pt idx="1">
                <c:v>1.4815001148524616E-2</c:v>
              </c:pt>
            </c:numLit>
          </c:yVal>
          <c:smooth val="0"/>
          <c:extLst>
            <c:ext xmlns:c16="http://schemas.microsoft.com/office/drawing/2014/chart" uri="{C3380CC4-5D6E-409C-BE32-E72D297353CC}">
              <c16:uniqueId val="{00000080-4A09-48A6-B9BD-07AF6B2013A5}"/>
            </c:ext>
          </c:extLst>
        </c:ser>
        <c:ser>
          <c:idx val="129"/>
          <c:order val="129"/>
          <c:spPr>
            <a:ln w="3175">
              <a:solidFill>
                <a:srgbClr val="000000"/>
              </a:solidFill>
              <a:prstDash val="solid"/>
            </a:ln>
          </c:spPr>
          <c:marker>
            <c:symbol val="none"/>
          </c:marker>
          <c:xVal>
            <c:numLit>
              <c:formatCode>General</c:formatCode>
              <c:ptCount val="2"/>
              <c:pt idx="0">
                <c:v>-7.4653023527450681</c:v>
              </c:pt>
              <c:pt idx="1">
                <c:v>-7.2069005880425658</c:v>
              </c:pt>
            </c:numLit>
          </c:xVal>
          <c:yVal>
            <c:numLit>
              <c:formatCode>General</c:formatCode>
              <c:ptCount val="2"/>
              <c:pt idx="0">
                <c:v>1.4391740604136366E-2</c:v>
              </c:pt>
              <c:pt idx="1">
                <c:v>1.4504469214409878E-2</c:v>
              </c:pt>
            </c:numLit>
          </c:yVal>
          <c:smooth val="0"/>
          <c:extLst>
            <c:ext xmlns:c16="http://schemas.microsoft.com/office/drawing/2014/chart" uri="{C3380CC4-5D6E-409C-BE32-E72D297353CC}">
              <c16:uniqueId val="{00000081-4A09-48A6-B9BD-07AF6B2013A5}"/>
            </c:ext>
          </c:extLst>
        </c:ser>
        <c:ser>
          <c:idx val="130"/>
          <c:order val="130"/>
          <c:spPr>
            <a:ln w="3175">
              <a:solidFill>
                <a:srgbClr val="000000"/>
              </a:solidFill>
              <a:prstDash val="solid"/>
            </a:ln>
          </c:spPr>
          <c:marker>
            <c:symbol val="none"/>
          </c:marker>
          <c:xVal>
            <c:numLit>
              <c:formatCode>General</c:formatCode>
              <c:ptCount val="2"/>
              <c:pt idx="0">
                <c:v>-7.2891369857220321</c:v>
              </c:pt>
              <c:pt idx="1">
                <c:v>-7.0337725549337202</c:v>
              </c:pt>
            </c:numLit>
          </c:xVal>
          <c:yVal>
            <c:numLit>
              <c:formatCode>General</c:formatCode>
              <c:ptCount val="2"/>
              <c:pt idx="0">
                <c:v>1.4175691836973547E-2</c:v>
              </c:pt>
              <c:pt idx="1">
                <c:v>1.4292145425991245E-2</c:v>
              </c:pt>
            </c:numLit>
          </c:yVal>
          <c:smooth val="0"/>
          <c:extLst>
            <c:ext xmlns:c16="http://schemas.microsoft.com/office/drawing/2014/chart" uri="{C3380CC4-5D6E-409C-BE32-E72D297353CC}">
              <c16:uniqueId val="{00000082-4A09-48A6-B9BD-07AF6B2013A5}"/>
            </c:ext>
          </c:extLst>
        </c:ser>
        <c:ser>
          <c:idx val="131"/>
          <c:order val="131"/>
          <c:spPr>
            <a:ln w="3175">
              <a:solidFill>
                <a:srgbClr val="000000"/>
              </a:solidFill>
              <a:prstDash val="solid"/>
            </a:ln>
          </c:spPr>
          <c:marker>
            <c:symbol val="none"/>
          </c:marker>
          <c:xVal>
            <c:numLit>
              <c:formatCode>General</c:formatCode>
              <c:ptCount val="2"/>
              <c:pt idx="0">
                <c:v>-7.0947262932026645</c:v>
              </c:pt>
              <c:pt idx="1">
                <c:v>-6.8427137709060659</c:v>
              </c:pt>
            </c:numLit>
          </c:xVal>
          <c:yVal>
            <c:numLit>
              <c:formatCode>General</c:formatCode>
              <c:ptCount val="2"/>
              <c:pt idx="0">
                <c:v>1.3947841096409371E-2</c:v>
              </c:pt>
              <c:pt idx="1">
                <c:v>1.4068223146471279E-2</c:v>
              </c:pt>
            </c:numLit>
          </c:yVal>
          <c:smooth val="0"/>
          <c:extLst>
            <c:ext xmlns:c16="http://schemas.microsoft.com/office/drawing/2014/chart" uri="{C3380CC4-5D6E-409C-BE32-E72D297353CC}">
              <c16:uniqueId val="{00000083-4A09-48A6-B9BD-07AF6B2013A5}"/>
            </c:ext>
          </c:extLst>
        </c:ser>
        <c:ser>
          <c:idx val="132"/>
          <c:order val="132"/>
          <c:spPr>
            <a:ln w="3175">
              <a:solidFill>
                <a:srgbClr val="000000"/>
              </a:solidFill>
              <a:prstDash val="solid"/>
            </a:ln>
          </c:spPr>
          <c:marker>
            <c:symbol val="none"/>
          </c:marker>
          <c:xVal>
            <c:numLit>
              <c:formatCode>General</c:formatCode>
              <c:ptCount val="2"/>
              <c:pt idx="0">
                <c:v>-6.8797543799888556</c:v>
              </c:pt>
              <c:pt idx="1">
                <c:v>-6.6314482699890469</c:v>
              </c:pt>
            </c:numLit>
          </c:xVal>
          <c:yVal>
            <c:numLit>
              <c:formatCode>General</c:formatCode>
              <c:ptCount val="2"/>
              <c:pt idx="0">
                <c:v>1.3707584792488141E-2</c:v>
              </c:pt>
              <c:pt idx="1">
                <c:v>1.3832109192617657E-2</c:v>
              </c:pt>
            </c:numLit>
          </c:yVal>
          <c:smooth val="0"/>
          <c:extLst>
            <c:ext xmlns:c16="http://schemas.microsoft.com/office/drawing/2014/chart" uri="{C3380CC4-5D6E-409C-BE32-E72D297353CC}">
              <c16:uniqueId val="{00000084-4A09-48A6-B9BD-07AF6B2013A5}"/>
            </c:ext>
          </c:extLst>
        </c:ser>
        <c:ser>
          <c:idx val="133"/>
          <c:order val="133"/>
          <c:spPr>
            <a:ln w="3175">
              <a:solidFill>
                <a:srgbClr val="000000"/>
              </a:solidFill>
              <a:prstDash val="solid"/>
            </a:ln>
          </c:spPr>
          <c:marker>
            <c:symbol val="none"/>
          </c:marker>
          <c:xVal>
            <c:numLit>
              <c:formatCode>General</c:formatCode>
              <c:ptCount val="2"/>
              <c:pt idx="0">
                <c:v>-6.6415882541581794</c:v>
              </c:pt>
              <c:pt idx="1">
                <c:v>-6.1531886591872063</c:v>
              </c:pt>
            </c:numLit>
          </c:xVal>
          <c:yVal>
            <c:numLit>
              <c:formatCode>General</c:formatCode>
              <c:ptCount val="2"/>
              <c:pt idx="0">
                <c:v>1.3454360029547155E-2</c:v>
              </c:pt>
              <c:pt idx="1">
                <c:v>1.3712140718183462E-2</c:v>
              </c:pt>
            </c:numLit>
          </c:yVal>
          <c:smooth val="0"/>
          <c:extLst>
            <c:ext xmlns:c16="http://schemas.microsoft.com/office/drawing/2014/chart" uri="{C3380CC4-5D6E-409C-BE32-E72D297353CC}">
              <c16:uniqueId val="{00000085-4A09-48A6-B9BD-07AF6B2013A5}"/>
            </c:ext>
          </c:extLst>
        </c:ser>
        <c:ser>
          <c:idx val="134"/>
          <c:order val="134"/>
          <c:spPr>
            <a:ln w="3175">
              <a:solidFill>
                <a:srgbClr val="000000"/>
              </a:solidFill>
              <a:prstDash val="solid"/>
            </a:ln>
          </c:spPr>
          <c:marker>
            <c:symbol val="none"/>
          </c:marker>
          <c:xVal>
            <c:numLit>
              <c:formatCode>General</c:formatCode>
              <c:ptCount val="2"/>
              <c:pt idx="0">
                <c:v>-6.5128887746212865</c:v>
              </c:pt>
              <c:pt idx="1">
                <c:v>-6.2709079336795401</c:v>
              </c:pt>
            </c:numLit>
          </c:xVal>
          <c:yVal>
            <c:numLit>
              <c:formatCode>General</c:formatCode>
              <c:ptCount val="2"/>
              <c:pt idx="0">
                <c:v>1.3322727312893847E-2</c:v>
              </c:pt>
              <c:pt idx="1">
                <c:v>1.3453887186809472E-2</c:v>
              </c:pt>
            </c:numLit>
          </c:yVal>
          <c:smooth val="0"/>
          <c:extLst>
            <c:ext xmlns:c16="http://schemas.microsoft.com/office/drawing/2014/chart" uri="{C3380CC4-5D6E-409C-BE32-E72D297353CC}">
              <c16:uniqueId val="{00000086-4A09-48A6-B9BD-07AF6B2013A5}"/>
            </c:ext>
          </c:extLst>
        </c:ser>
        <c:ser>
          <c:idx val="135"/>
          <c:order val="135"/>
          <c:spPr>
            <a:ln w="3175">
              <a:solidFill>
                <a:srgbClr val="000000"/>
              </a:solidFill>
              <a:prstDash val="solid"/>
            </a:ln>
          </c:spPr>
          <c:marker>
            <c:symbol val="none"/>
          </c:marker>
          <c:xVal>
            <c:numLit>
              <c:formatCode>General</c:formatCode>
              <c:ptCount val="2"/>
              <c:pt idx="0">
                <c:v>-6.377240982176394</c:v>
              </c:pt>
              <c:pt idx="1">
                <c:v>-5.8979568103772069</c:v>
              </c:pt>
            </c:numLit>
          </c:xVal>
          <c:yVal>
            <c:numLit>
              <c:formatCode>General</c:formatCode>
              <c:ptCount val="2"/>
              <c:pt idx="0">
                <c:v>1.3187676396417802E-2</c:v>
              </c:pt>
              <c:pt idx="1">
                <c:v>1.3454653072403396E-2</c:v>
              </c:pt>
            </c:numLit>
          </c:yVal>
          <c:smooth val="0"/>
          <c:extLst>
            <c:ext xmlns:c16="http://schemas.microsoft.com/office/drawing/2014/chart" uri="{C3380CC4-5D6E-409C-BE32-E72D297353CC}">
              <c16:uniqueId val="{00000087-4A09-48A6-B9BD-07AF6B2013A5}"/>
            </c:ext>
          </c:extLst>
        </c:ser>
        <c:ser>
          <c:idx val="136"/>
          <c:order val="136"/>
          <c:spPr>
            <a:ln w="3175">
              <a:solidFill>
                <a:srgbClr val="000000"/>
              </a:solidFill>
              <a:prstDash val="solid"/>
            </a:ln>
          </c:spPr>
          <c:marker>
            <c:symbol val="none"/>
          </c:marker>
          <c:xVal>
            <c:numLit>
              <c:formatCode>General</c:formatCode>
              <c:ptCount val="2"/>
              <c:pt idx="0">
                <c:v>-6.2342102755987439</c:v>
              </c:pt>
              <c:pt idx="1">
                <c:v>-5.9970342363642821</c:v>
              </c:pt>
            </c:numLit>
          </c:xVal>
          <c:yVal>
            <c:numLit>
              <c:formatCode>General</c:formatCode>
              <c:ptCount val="2"/>
              <c:pt idx="0">
                <c:v>1.304916427263535E-2</c:v>
              </c:pt>
              <c:pt idx="1">
                <c:v>1.3185040750693362E-2</c:v>
              </c:pt>
            </c:numLit>
          </c:yVal>
          <c:smooth val="0"/>
          <c:extLst>
            <c:ext xmlns:c16="http://schemas.microsoft.com/office/drawing/2014/chart" uri="{C3380CC4-5D6E-409C-BE32-E72D297353CC}">
              <c16:uniqueId val="{00000088-4A09-48A6-B9BD-07AF6B2013A5}"/>
            </c:ext>
          </c:extLst>
        </c:ser>
        <c:ser>
          <c:idx val="137"/>
          <c:order val="137"/>
          <c:spPr>
            <a:ln w="3175">
              <a:solidFill>
                <a:srgbClr val="000000"/>
              </a:solidFill>
              <a:prstDash val="solid"/>
            </a:ln>
          </c:spPr>
          <c:marker>
            <c:symbol val="none"/>
          </c:marker>
          <c:xVal>
            <c:numLit>
              <c:formatCode>General</c:formatCode>
              <c:ptCount val="2"/>
              <c:pt idx="0">
                <c:v>-6.0833356038875808</c:v>
              </c:pt>
              <c:pt idx="1">
                <c:v>-5.6141861003052496</c:v>
              </c:pt>
            </c:numLit>
          </c:xVal>
          <c:yVal>
            <c:numLit>
              <c:formatCode>General</c:formatCode>
              <c:ptCount val="2"/>
              <c:pt idx="0">
                <c:v>1.2907158489149532E-2</c:v>
              </c:pt>
              <c:pt idx="1">
                <c:v>1.3183808196420238E-2</c:v>
              </c:pt>
            </c:numLit>
          </c:yVal>
          <c:smooth val="0"/>
          <c:extLst>
            <c:ext xmlns:c16="http://schemas.microsoft.com/office/drawing/2014/chart" uri="{C3380CC4-5D6E-409C-BE32-E72D297353CC}">
              <c16:uniqueId val="{00000089-4A09-48A6-B9BD-07AF6B2013A5}"/>
            </c:ext>
          </c:extLst>
        </c:ser>
        <c:ser>
          <c:idx val="138"/>
          <c:order val="138"/>
          <c:spPr>
            <a:ln w="3175">
              <a:solidFill>
                <a:srgbClr val="000000"/>
              </a:solidFill>
              <a:prstDash val="solid"/>
            </a:ln>
          </c:spPr>
          <c:marker>
            <c:symbol val="none"/>
          </c:marker>
          <c:xVal>
            <c:numLit>
              <c:formatCode>General</c:formatCode>
              <c:ptCount val="2"/>
              <c:pt idx="0">
                <c:v>-5.9241286231448873</c:v>
              </c:pt>
              <c:pt idx="1">
                <c:v>-5.6922988192975605</c:v>
              </c:pt>
            </c:numLit>
          </c:xVal>
          <c:yVal>
            <c:numLit>
              <c:formatCode>General</c:formatCode>
              <c:ptCount val="2"/>
              <c:pt idx="0">
                <c:v>1.2761639254297252E-2</c:v>
              </c:pt>
              <c:pt idx="1">
                <c:v>1.2902473060257644E-2</c:v>
              </c:pt>
            </c:numLit>
          </c:yVal>
          <c:smooth val="0"/>
          <c:extLst>
            <c:ext xmlns:c16="http://schemas.microsoft.com/office/drawing/2014/chart" uri="{C3380CC4-5D6E-409C-BE32-E72D297353CC}">
              <c16:uniqueId val="{0000008A-4A09-48A6-B9BD-07AF6B2013A5}"/>
            </c:ext>
          </c:extLst>
        </c:ser>
        <c:ser>
          <c:idx val="139"/>
          <c:order val="139"/>
          <c:spPr>
            <a:ln w="3175">
              <a:solidFill>
                <a:srgbClr val="000000"/>
              </a:solidFill>
              <a:prstDash val="solid"/>
            </a:ln>
          </c:spPr>
          <c:marker>
            <c:symbol val="none"/>
          </c:marker>
          <c:xVal>
            <c:numLit>
              <c:formatCode>General</c:formatCode>
              <c:ptCount val="2"/>
              <c:pt idx="0">
                <c:v>-5.7560730377038629</c:v>
              </c:pt>
              <c:pt idx="1">
                <c:v>-5.2982084501968325</c:v>
              </c:pt>
            </c:numLit>
          </c:xVal>
          <c:yVal>
            <c:numLit>
              <c:formatCode>General</c:formatCode>
              <c:ptCount val="2"/>
              <c:pt idx="0">
                <c:v>1.2612601820716014E-2</c:v>
              </c:pt>
              <c:pt idx="1">
                <c:v>1.2899408654484428E-2</c:v>
              </c:pt>
            </c:numLit>
          </c:yVal>
          <c:smooth val="0"/>
          <c:extLst>
            <c:ext xmlns:c16="http://schemas.microsoft.com/office/drawing/2014/chart" uri="{C3380CC4-5D6E-409C-BE32-E72D297353CC}">
              <c16:uniqueId val="{0000008B-4A09-48A6-B9BD-07AF6B2013A5}"/>
            </c:ext>
          </c:extLst>
        </c:ser>
        <c:ser>
          <c:idx val="140"/>
          <c:order val="140"/>
          <c:spPr>
            <a:ln w="3175">
              <a:solidFill>
                <a:srgbClr val="000000"/>
              </a:solidFill>
              <a:prstDash val="solid"/>
            </a:ln>
          </c:spPr>
          <c:marker>
            <c:symbol val="none"/>
          </c:marker>
          <c:xVal>
            <c:numLit>
              <c:formatCode>General</c:formatCode>
              <c:ptCount val="2"/>
              <c:pt idx="0">
                <c:v>-5.578624186981501</c:v>
              </c:pt>
              <c:pt idx="1">
                <c:v>-5.352751356171475</c:v>
              </c:pt>
            </c:numLit>
          </c:xVal>
          <c:yVal>
            <c:numLit>
              <c:formatCode>General</c:formatCode>
              <c:ptCount val="2"/>
              <c:pt idx="0">
                <c:v>1.2460059169599368E-2</c:v>
              </c:pt>
              <c:pt idx="1">
                <c:v>1.2606092632192483E-2</c:v>
              </c:pt>
            </c:numLit>
          </c:yVal>
          <c:smooth val="0"/>
          <c:extLst>
            <c:ext xmlns:c16="http://schemas.microsoft.com/office/drawing/2014/chart" uri="{C3380CC4-5D6E-409C-BE32-E72D297353CC}">
              <c16:uniqueId val="{0000008C-4A09-48A6-B9BD-07AF6B2013A5}"/>
            </c:ext>
          </c:extLst>
        </c:ser>
        <c:ser>
          <c:idx val="141"/>
          <c:order val="141"/>
          <c:spPr>
            <a:ln w="3175">
              <a:solidFill>
                <a:srgbClr val="000000"/>
              </a:solidFill>
              <a:prstDash val="solid"/>
            </a:ln>
          </c:spPr>
          <c:marker>
            <c:symbol val="none"/>
          </c:marker>
          <c:xVal>
            <c:numLit>
              <c:formatCode>General</c:formatCode>
              <c:ptCount val="2"/>
              <c:pt idx="0">
                <c:v>-5.3912089513591752</c:v>
              </c:pt>
              <c:pt idx="1">
                <c:v>-4.9459258840709275</c:v>
              </c:pt>
            </c:numLit>
          </c:xVal>
          <c:yVal>
            <c:numLit>
              <c:formatCode>General</c:formatCode>
              <c:ptCount val="2"/>
              <c:pt idx="0">
                <c:v>1.2304045016555564E-2</c:v>
              </c:pt>
              <c:pt idx="1">
                <c:v>1.2601491740122614E-2</c:v>
              </c:pt>
            </c:numLit>
          </c:yVal>
          <c:smooth val="0"/>
          <c:extLst>
            <c:ext xmlns:c16="http://schemas.microsoft.com/office/drawing/2014/chart" uri="{C3380CC4-5D6E-409C-BE32-E72D297353CC}">
              <c16:uniqueId val="{0000008D-4A09-48A6-B9BD-07AF6B2013A5}"/>
            </c:ext>
          </c:extLst>
        </c:ser>
        <c:ser>
          <c:idx val="142"/>
          <c:order val="142"/>
          <c:spPr>
            <a:ln w="3175">
              <a:solidFill>
                <a:srgbClr val="000000"/>
              </a:solidFill>
              <a:prstDash val="solid"/>
            </a:ln>
          </c:spPr>
          <c:marker>
            <c:symbol val="none"/>
          </c:marker>
          <c:xVal>
            <c:numLit>
              <c:formatCode>General</c:formatCode>
              <c:ptCount val="2"/>
              <c:pt idx="0">
                <c:v>-5.1932260635615615</c:v>
              </c:pt>
              <c:pt idx="1">
                <c:v>-4.9739980279829137</c:v>
              </c:pt>
            </c:numLit>
          </c:xVal>
          <c:yVal>
            <c:numLit>
              <c:formatCode>General</c:formatCode>
              <c:ptCount val="2"/>
              <c:pt idx="0">
                <c:v>1.214461715663261E-2</c:v>
              </c:pt>
              <c:pt idx="1">
                <c:v>1.2296089274621703E-2</c:v>
              </c:pt>
            </c:numLit>
          </c:yVal>
          <c:smooth val="0"/>
          <c:extLst>
            <c:ext xmlns:c16="http://schemas.microsoft.com/office/drawing/2014/chart" uri="{C3380CC4-5D6E-409C-BE32-E72D297353CC}">
              <c16:uniqueId val="{0000008E-4A09-48A6-B9BD-07AF6B2013A5}"/>
            </c:ext>
          </c:extLst>
        </c:ser>
        <c:ser>
          <c:idx val="143"/>
          <c:order val="143"/>
          <c:spPr>
            <a:ln w="3175">
              <a:solidFill>
                <a:srgbClr val="000000"/>
              </a:solidFill>
              <a:prstDash val="solid"/>
            </a:ln>
          </c:spPr>
          <c:marker>
            <c:symbol val="none"/>
          </c:marker>
          <c:xVal>
            <c:numLit>
              <c:formatCode>General</c:formatCode>
              <c:ptCount val="2"/>
              <c:pt idx="0">
                <c:v>-4.9840469263693068</c:v>
              </c:pt>
              <c:pt idx="1">
                <c:v>-4.5528039289082951</c:v>
              </c:pt>
            </c:numLit>
          </c:xVal>
          <c:yVal>
            <c:numLit>
              <c:formatCode>General</c:formatCode>
              <c:ptCount val="2"/>
              <c:pt idx="0">
                <c:v>1.1981861160791238E-2</c:v>
              </c:pt>
              <c:pt idx="1">
                <c:v>1.2290417672488093E-2</c:v>
              </c:pt>
            </c:numLit>
          </c:yVal>
          <c:smooth val="0"/>
          <c:extLst>
            <c:ext xmlns:c16="http://schemas.microsoft.com/office/drawing/2014/chart" uri="{C3380CC4-5D6E-409C-BE32-E72D297353CC}">
              <c16:uniqueId val="{0000008F-4A09-48A6-B9BD-07AF6B2013A5}"/>
            </c:ext>
          </c:extLst>
        </c:ser>
        <c:ser>
          <c:idx val="144"/>
          <c:order val="144"/>
          <c:spPr>
            <a:ln w="3175">
              <a:solidFill>
                <a:srgbClr val="000000"/>
              </a:solidFill>
              <a:prstDash val="solid"/>
            </a:ln>
          </c:spPr>
          <c:marker>
            <c:symbol val="none"/>
          </c:marker>
          <c:xVal>
            <c:numLit>
              <c:formatCode>General</c:formatCode>
              <c:ptCount val="2"/>
              <c:pt idx="0">
                <c:v>-4.763017052784714</c:v>
              </c:pt>
              <c:pt idx="1">
                <c:v>-4.5512064139435973</c:v>
              </c:pt>
            </c:numLit>
          </c:xVal>
          <c:yVal>
            <c:numLit>
              <c:formatCode>General</c:formatCode>
              <c:ptCount val="2"/>
              <c:pt idx="0">
                <c:v>1.1815894428391283E-2</c:v>
              </c:pt>
              <c:pt idx="1">
                <c:v>1.1973034179625917E-2</c:v>
              </c:pt>
            </c:numLit>
          </c:yVal>
          <c:smooth val="0"/>
          <c:extLst>
            <c:ext xmlns:c16="http://schemas.microsoft.com/office/drawing/2014/chart" uri="{C3380CC4-5D6E-409C-BE32-E72D297353CC}">
              <c16:uniqueId val="{00000090-4A09-48A6-B9BD-07AF6B2013A5}"/>
            </c:ext>
          </c:extLst>
        </c:ser>
        <c:ser>
          <c:idx val="145"/>
          <c:order val="145"/>
          <c:spPr>
            <a:ln w="3175">
              <a:solidFill>
                <a:srgbClr val="000000"/>
              </a:solidFill>
              <a:prstDash val="solid"/>
            </a:ln>
          </c:spPr>
          <c:marker>
            <c:symbol val="none"/>
          </c:marker>
          <c:xVal>
            <c:numLit>
              <c:formatCode>General</c:formatCode>
              <c:ptCount val="2"/>
              <c:pt idx="0">
                <c:v>-4.5294582604980791</c:v>
              </c:pt>
              <c:pt idx="1">
                <c:v>-4.1138907342740056</c:v>
              </c:pt>
            </c:numLit>
          </c:xVal>
          <c:yVal>
            <c:numLit>
              <c:formatCode>General</c:formatCode>
              <c:ptCount val="2"/>
              <c:pt idx="0">
                <c:v>1.1646870589539764E-2</c:v>
              </c:pt>
              <c:pt idx="1">
                <c:v>1.1966978500245291E-2</c:v>
              </c:pt>
            </c:numLit>
          </c:yVal>
          <c:smooth val="0"/>
          <c:extLst>
            <c:ext xmlns:c16="http://schemas.microsoft.com/office/drawing/2014/chart" uri="{C3380CC4-5D6E-409C-BE32-E72D297353CC}">
              <c16:uniqueId val="{00000091-4A09-48A6-B9BD-07AF6B2013A5}"/>
            </c:ext>
          </c:extLst>
        </c:ser>
        <c:ser>
          <c:idx val="146"/>
          <c:order val="146"/>
          <c:spPr>
            <a:ln w="3175">
              <a:solidFill>
                <a:srgbClr val="000000"/>
              </a:solidFill>
              <a:prstDash val="solid"/>
            </a:ln>
          </c:spPr>
          <c:marker>
            <c:symbol val="none"/>
          </c:marker>
          <c:xVal>
            <c:numLit>
              <c:formatCode>General</c:formatCode>
              <c:ptCount val="2"/>
              <c:pt idx="0">
                <c:v>-4.2826717679503306</c:v>
              </c:pt>
              <c:pt idx="1">
                <c:v>-4.07914294436498</c:v>
              </c:pt>
            </c:numLit>
          </c:xVal>
          <c:yVal>
            <c:numLit>
              <c:formatCode>General</c:formatCode>
              <c:ptCount val="2"/>
              <c:pt idx="0">
                <c:v>1.1474984236816857E-2</c:v>
              </c:pt>
              <c:pt idx="1">
                <c:v>1.1638001749975188E-2</c:v>
              </c:pt>
            </c:numLit>
          </c:yVal>
          <c:smooth val="0"/>
          <c:extLst>
            <c:ext xmlns:c16="http://schemas.microsoft.com/office/drawing/2014/chart" uri="{C3380CC4-5D6E-409C-BE32-E72D297353CC}">
              <c16:uniqueId val="{00000092-4A09-48A6-B9BD-07AF6B2013A5}"/>
            </c:ext>
          </c:extLst>
        </c:ser>
        <c:ser>
          <c:idx val="147"/>
          <c:order val="147"/>
          <c:spPr>
            <a:ln w="3175">
              <a:solidFill>
                <a:srgbClr val="000000"/>
              </a:solidFill>
              <a:prstDash val="solid"/>
            </a:ln>
          </c:spPr>
          <c:marker>
            <c:symbol val="none"/>
          </c:marker>
          <c:xVal>
            <c:numLit>
              <c:formatCode>General</c:formatCode>
              <c:ptCount val="2"/>
              <c:pt idx="0">
                <c:v>-4.021942353411518</c:v>
              </c:pt>
              <c:pt idx="1">
                <c:v>-3.6238753757076712</c:v>
              </c:pt>
            </c:numLit>
          </c:xVal>
          <c:yVal>
            <c:numLit>
              <c:formatCode>General</c:formatCode>
              <c:ptCount val="2"/>
              <c:pt idx="0">
                <c:v>1.1300475947320083E-2</c:v>
              </c:pt>
              <c:pt idx="1">
                <c:v>1.1632528500860769E-2</c:v>
              </c:pt>
            </c:numLit>
          </c:yVal>
          <c:smooth val="0"/>
          <c:extLst>
            <c:ext xmlns:c16="http://schemas.microsoft.com/office/drawing/2014/chart" uri="{C3380CC4-5D6E-409C-BE32-E72D297353CC}">
              <c16:uniqueId val="{00000093-4A09-48A6-B9BD-07AF6B2013A5}"/>
            </c:ext>
          </c:extLst>
        </c:ser>
        <c:ser>
          <c:idx val="148"/>
          <c:order val="148"/>
          <c:spPr>
            <a:ln w="3175">
              <a:solidFill>
                <a:srgbClr val="000000"/>
              </a:solidFill>
              <a:prstDash val="solid"/>
            </a:ln>
          </c:spPr>
          <c:marker>
            <c:symbol val="none"/>
          </c:marker>
          <c:xVal>
            <c:numLit>
              <c:formatCode>General</c:formatCode>
              <c:ptCount val="147"/>
              <c:pt idx="0">
                <c:v>19.065942353411515</c:v>
              </c:pt>
              <c:pt idx="1">
                <c:v>18.790543749866966</c:v>
              </c:pt>
              <c:pt idx="2">
                <c:v>18.499745455246352</c:v>
              </c:pt>
              <c:pt idx="3">
                <c:v>18.192821137276322</c:v>
              </c:pt>
              <c:pt idx="4">
                <c:v>17.869058802111013</c:v>
              </c:pt>
              <c:pt idx="5">
                <c:v>17.527772872567621</c:v>
              </c:pt>
              <c:pt idx="6">
                <c:v>17.168318281619168</c:v>
              </c:pt>
              <c:pt idx="7">
                <c:v>16.790106626063352</c:v>
              </c:pt>
              <c:pt idx="8">
                <c:v>16.392624340635372</c:v>
              </c:pt>
              <c:pt idx="9">
                <c:v>15.9754527418382</c:v>
              </c:pt>
              <c:pt idx="10">
                <c:v>15.538289652700842</c:v>
              </c:pt>
              <c:pt idx="11">
                <c:v>15.08097215642557</c:v>
              </c:pt>
              <c:pt idx="12">
                <c:v>14.603499843901423</c:v>
              </c:pt>
              <c:pt idx="13">
                <c:v>14.106057727229052</c:v>
              </c:pt>
              <c:pt idx="14">
                <c:v>13.589037803579986</c:v>
              </c:pt>
              <c:pt idx="15">
                <c:v>13.053058090665036</c:v>
              </c:pt>
              <c:pt idx="16">
                <c:v>12.498977840522226</c:v>
              </c:pt>
              <c:pt idx="17">
                <c:v>11.927907597824111</c:v>
              </c:pt>
              <c:pt idx="18">
                <c:v>11.341212826619152</c:v>
              </c:pt>
              <c:pt idx="19">
                <c:v>10.740510003894533</c:v>
              </c:pt>
              <c:pt idx="20">
                <c:v>10.127654377823859</c:v>
              </c:pt>
              <c:pt idx="21">
                <c:v>9.5047190068155949</c:v>
              </c:pt>
              <c:pt idx="22">
                <c:v>8.8739652091894179</c:v>
              </c:pt>
              <c:pt idx="23">
                <c:v>8.2378051220730821</c:v>
              </c:pt>
              <c:pt idx="24">
                <c:v>7.5987576377376911</c:v>
              </c:pt>
              <c:pt idx="25">
                <c:v>6.9593994946761999</c:v>
              </c:pt>
              <c:pt idx="26">
                <c:v>6.3223136896666619</c:v>
              </c:pt>
              <c:pt idx="27">
                <c:v>5.690037597761866</c:v>
              </c:pt>
              <c:pt idx="28">
                <c:v>5.0650132114445139</c:v>
              </c:pt>
              <c:pt idx="29">
                <c:v>4.4495417349447202</c:v>
              </c:pt>
              <c:pt idx="30">
                <c:v>3.8457444174013791</c:v>
              </c:pt>
              <c:pt idx="31">
                <c:v>3.255531023136959</c:v>
              </c:pt>
              <c:pt idx="32">
                <c:v>2.6805767765256308</c:v>
              </c:pt>
              <c:pt idx="33">
                <c:v>2.1223080446173976</c:v>
              </c:pt>
              <c:pt idx="34">
                <c:v>1.5818964894711631</c:v>
              </c:pt>
              <c:pt idx="35">
                <c:v>1.0602609781934789</c:v>
              </c:pt>
              <c:pt idx="36">
                <c:v>0.55807620951249115</c:v>
              </c:pt>
              <c:pt idx="37">
                <c:v>7.5786811510906382E-2</c:v>
              </c:pt>
              <c:pt idx="38">
                <c:v>-0.38637441921499299</c:v>
              </c:pt>
              <c:pt idx="39">
                <c:v>-0.82836544769946818</c:v>
              </c:pt>
              <c:pt idx="40">
                <c:v>-1.2503123116501493</c:v>
              </c:pt>
              <c:pt idx="41">
                <c:v>-1.6524858712974235</c:v>
              </c:pt>
              <c:pt idx="42">
                <c:v>-2.0352788721065513</c:v>
              </c:pt>
              <c:pt idx="43">
                <c:v>-2.3991840012325829</c:v>
              </c:pt>
              <c:pt idx="44">
                <c:v>-2.7447734321668316</c:v>
              </c:pt>
              <c:pt idx="45">
                <c:v>-3.072680183386634</c:v>
              </c:pt>
              <c:pt idx="46">
                <c:v>-3.3835814724217705</c:v>
              </c:pt>
              <c:pt idx="47">
                <c:v>-3.6781841292440793</c:v>
              </c:pt>
              <c:pt idx="48">
                <c:v>-3.9572120420841821</c:v>
              </c:pt>
              <c:pt idx="49">
                <c:v>-4.221395542588029</c:v>
              </c:pt>
              <c:pt idx="50">
                <c:v>-4.4714625924504272</c:v>
              </c:pt>
              <c:pt idx="51">
                <c:v>-4.7081316066320262</c:v>
              </c:pt>
              <c:pt idx="52">
                <c:v>-4.9321057352905999</c:v>
              </c:pt>
              <c:pt idx="53">
                <c:v>-5.1440684242141916</c:v>
              </c:pt>
              <c:pt idx="54">
                <c:v>-5.3446800788427877</c:v>
              </c:pt>
              <c:pt idx="55">
                <c:v>-5.5345756674157736</c:v>
              </c:pt>
              <c:pt idx="56">
                <c:v>-5.714363112392145</c:v>
              </c:pt>
              <c:pt idx="57">
                <c:v>-6.0459048297431641</c:v>
              </c:pt>
              <c:pt idx="58">
                <c:v>-6.3436038686490521</c:v>
              </c:pt>
              <c:pt idx="59">
                <c:v>-6.6113117622552888</c:v>
              </c:pt>
              <c:pt idx="60">
                <c:v>-6.8524545533004888</c:v>
              </c:pt>
              <c:pt idx="61">
                <c:v>-7.0700641161397257</c:v>
              </c:pt>
              <c:pt idx="62">
                <c:v>-7.2668139627913737</c:v>
              </c:pt>
              <c:pt idx="63">
                <c:v>-7.4450561220153224</c:v>
              </c:pt>
              <c:pt idx="64">
                <c:v>-7.6068569785848918</c:v>
              </c:pt>
              <c:pt idx="65">
                <c:v>-7.7540308580023209</c:v>
              </c:pt>
              <c:pt idx="66">
                <c:v>-7.8881707432153219</c:v>
              </c:pt>
              <c:pt idx="67">
                <c:v>-8.0106758986490121</c:v>
              </c:pt>
              <c:pt idx="68">
                <c:v>-8.1227764177225303</c:v>
              </c:pt>
              <c:pt idx="69">
                <c:v>-8.2255548505858034</c:v>
              </c:pt>
              <c:pt idx="70">
                <c:v>-8.3199651431045574</c:v>
              </c:pt>
              <c:pt idx="71">
                <c:v>-8.4068491498525173</c:v>
              </c:pt>
              <c:pt idx="72">
                <c:v>-8.486950989224928</c:v>
              </c:pt>
              <c:pt idx="73">
                <c:v>-8.5609294985956481</c:v>
              </c:pt>
              <c:pt idx="74">
                <c:v>-8.6293690287967184</c:v>
              </c:pt>
              <c:pt idx="75">
                <c:v>-8.6927887946424995</c:v>
              </c:pt>
              <c:pt idx="76">
                <c:v>-8.7516509745654023</c:v>
              </c:pt>
              <c:pt idx="77">
                <c:v>-8.8573072883626267</c:v>
              </c:pt>
              <c:pt idx="78">
                <c:v>-8.9491390821074628</c:v>
              </c:pt>
              <c:pt idx="79">
                <c:v>-9.0293977395002667</c:v>
              </c:pt>
              <c:pt idx="80">
                <c:v>-9.0999057043833709</c:v>
              </c:pt>
              <c:pt idx="81">
                <c:v>-9.1621483944066782</c:v>
              </c:pt>
              <c:pt idx="82">
                <c:v>-9.2890805085034174</c:v>
              </c:pt>
              <c:pt idx="83">
                <c:v>-9.3854262264463078</c:v>
              </c:pt>
              <c:pt idx="84">
                <c:v>-9.4601719381821585</c:v>
              </c:pt>
              <c:pt idx="85">
                <c:v>-9.5192631793601503</c:v>
              </c:pt>
              <c:pt idx="86">
                <c:v>-9.5667494735594438</c:v>
              </c:pt>
              <c:pt idx="87">
                <c:v>-9.6054604899925025</c:v>
              </c:pt>
              <c:pt idx="88">
                <c:v>-9.6640995467395676</c:v>
              </c:pt>
              <c:pt idx="89">
                <c:v>-9.7057408037734945</c:v>
              </c:pt>
              <c:pt idx="90">
                <c:v>-9.7363488755763594</c:v>
              </c:pt>
              <c:pt idx="91">
                <c:v>-9.7594920592975569</c:v>
              </c:pt>
              <c:pt idx="92">
                <c:v>-9.7774082431157812</c:v>
              </c:pt>
              <c:pt idx="93">
                <c:v>-9.826239533393677</c:v>
              </c:pt>
              <c:pt idx="94">
                <c:v>-9.8465584490956477</c:v>
              </c:pt>
              <c:pt idx="95">
                <c:v>-9.862870431265371</c:v>
              </c:pt>
              <c:pt idx="96">
                <c:v>-9.8691357952931487</c:v>
              </c:pt>
              <c:pt idx="97">
                <c:v>-9.8780000000000001</c:v>
              </c:pt>
              <c:pt idx="98">
                <c:v>-9.8665090567206697</c:v>
              </c:pt>
              <c:pt idx="99">
                <c:v>-9.8566117153194046</c:v>
              </c:pt>
              <c:pt idx="100">
                <c:v>-9.825120498007605</c:v>
              </c:pt>
              <c:pt idx="101">
                <c:v>-9.7743638069967425</c:v>
              </c:pt>
              <c:pt idx="102">
                <c:v>-9.7555947041230944</c:v>
              </c:pt>
              <c:pt idx="103">
                <c:v>-9.7312495160578543</c:v>
              </c:pt>
              <c:pt idx="104">
                <c:v>-9.6988930377242379</c:v>
              </c:pt>
              <c:pt idx="105">
                <c:v>-9.6546103310984979</c:v>
              </c:pt>
              <c:pt idx="106">
                <c:v>-9.5917920119000488</c:v>
              </c:pt>
              <c:pt idx="107">
                <c:v>-9.5500552853147749</c:v>
              </c:pt>
              <c:pt idx="108">
                <c:v>-9.4985920174877663</c:v>
              </c:pt>
              <c:pt idx="109">
                <c:v>-9.4341733564072943</c:v>
              </c:pt>
              <c:pt idx="110">
                <c:v>-9.3521355422659074</c:v>
              </c:pt>
              <c:pt idx="111">
                <c:v>-9.2455590364770597</c:v>
              </c:pt>
              <c:pt idx="112">
                <c:v>-9.1038600359190358</c:v>
              </c:pt>
              <c:pt idx="113">
                <c:v>-9.033886916005148</c:v>
              </c:pt>
              <c:pt idx="114">
                <c:v>-8.954260939861248</c:v>
              </c:pt>
              <c:pt idx="115">
                <c:v>-8.8631822315685405</c:v>
              </c:pt>
              <c:pt idx="116">
                <c:v>-8.7584282202067296</c:v>
              </c:pt>
              <c:pt idx="117">
                <c:v>-8.6372348348493126</c:v>
              </c:pt>
              <c:pt idx="118">
                <c:v>-8.5694238961193641</c:v>
              </c:pt>
              <c:pt idx="119">
                <c:v>-8.496139552640436</c:v>
              </c:pt>
              <c:pt idx="120">
                <c:v>-8.4168057372568565</c:v>
              </c:pt>
              <c:pt idx="121">
                <c:v>-8.3307730905498314</c:v>
              </c:pt>
              <c:pt idx="122">
                <c:v>-8.2373083506110412</c:v>
              </c:pt>
              <c:pt idx="123">
                <c:v>-8.135582109378646</c:v>
              </c:pt>
              <c:pt idx="124">
                <c:v>-8.0246546988258096</c:v>
              </c:pt>
              <c:pt idx="125">
                <c:v>-7.9034599509797507</c:v>
              </c:pt>
              <c:pt idx="126">
                <c:v>-7.7707865642283949</c:v>
              </c:pt>
              <c:pt idx="127">
                <c:v>-7.6252568113761559</c:v>
              </c:pt>
              <c:pt idx="128">
                <c:v>-7.4653023527450681</c:v>
              </c:pt>
              <c:pt idx="129">
                <c:v>-7.2891369857220321</c:v>
              </c:pt>
              <c:pt idx="130">
                <c:v>-7.0947262932026645</c:v>
              </c:pt>
              <c:pt idx="131">
                <c:v>-6.8797543799888556</c:v>
              </c:pt>
              <c:pt idx="132">
                <c:v>-6.6415882541581794</c:v>
              </c:pt>
              <c:pt idx="133">
                <c:v>-6.5128887746212865</c:v>
              </c:pt>
              <c:pt idx="134">
                <c:v>-6.377240982176394</c:v>
              </c:pt>
              <c:pt idx="135">
                <c:v>-6.2342102755987439</c:v>
              </c:pt>
              <c:pt idx="136">
                <c:v>-6.0833356038875808</c:v>
              </c:pt>
              <c:pt idx="137">
                <c:v>-5.9241286231448873</c:v>
              </c:pt>
              <c:pt idx="138">
                <c:v>-5.7560730377038629</c:v>
              </c:pt>
              <c:pt idx="139">
                <c:v>-5.578624186981501</c:v>
              </c:pt>
              <c:pt idx="140">
                <c:v>-5.3912089513591752</c:v>
              </c:pt>
              <c:pt idx="141">
                <c:v>-5.1932260635615615</c:v>
              </c:pt>
              <c:pt idx="142">
                <c:v>-4.9840469263693068</c:v>
              </c:pt>
              <c:pt idx="143">
                <c:v>-4.763017052784714</c:v>
              </c:pt>
              <c:pt idx="144">
                <c:v>-4.5294582604980791</c:v>
              </c:pt>
              <c:pt idx="145">
                <c:v>-4.2826717679503306</c:v>
              </c:pt>
              <c:pt idx="146">
                <c:v>-4.021942353411518</c:v>
              </c:pt>
            </c:numLit>
          </c:xVal>
          <c:yVal>
            <c:numLit>
              <c:formatCode>General</c:formatCode>
              <c:ptCount val="147"/>
              <c:pt idx="0">
                <c:v>3.0559524052679921E-2</c:v>
              </c:pt>
              <c:pt idx="1">
                <c:v>3.0736362467444784E-2</c:v>
              </c:pt>
              <c:pt idx="2">
                <c:v>3.0915182575025162E-2</c:v>
              </c:pt>
              <c:pt idx="3">
                <c:v>3.1095573924337105E-2</c:v>
              </c:pt>
              <c:pt idx="4">
                <c:v>3.1277058802111013E-2</c:v>
              </c:pt>
              <c:pt idx="5">
                <c:v>3.145908735335045E-2</c:v>
              </c:pt>
              <c:pt idx="6">
                <c:v>3.1641033323740492E-2</c:v>
              </c:pt>
              <c:pt idx="7">
                <c:v>3.1822190731097821E-2</c:v>
              </c:pt>
              <c:pt idx="8">
                <c:v>3.2001771819701222E-2</c:v>
              </c:pt>
              <c:pt idx="9">
                <c:v>3.2178906690858773E-2</c:v>
              </c:pt>
              <c:pt idx="10">
                <c:v>3.2352645029202619E-2</c:v>
              </c:pt>
              <c:pt idx="11">
                <c:v>3.2521960349640437E-2</c:v>
              </c:pt>
              <c:pt idx="12">
                <c:v>3.2685757166608632E-2</c:v>
              </c:pt>
              <c:pt idx="13">
                <c:v>3.2842881427324513E-2</c:v>
              </c:pt>
              <c:pt idx="14">
                <c:v>3.2992134447433728E-2</c:v>
              </c:pt>
              <c:pt idx="15">
                <c:v>3.3132290436861909E-2</c:v>
              </c:pt>
              <c:pt idx="16">
                <c:v>3.3262117506318627E-2</c:v>
              </c:pt>
              <c:pt idx="17">
                <c:v>3.3380401807334426E-2</c:v>
              </c:pt>
              <c:pt idx="18">
                <c:v>3.348597419470218E-2</c:v>
              </c:pt>
              <c:pt idx="19">
                <c:v>3.3577738530929296E-2</c:v>
              </c:pt>
              <c:pt idx="20">
                <c:v>3.3654700505295149E-2</c:v>
              </c:pt>
              <c:pt idx="21">
                <c:v>3.3715995646515944E-2</c:v>
              </c:pt>
              <c:pt idx="22">
                <c:v>3.3760915098533552E-2</c:v>
              </c:pt>
              <c:pt idx="23">
                <c:v>3.378892772867001E-2</c:v>
              </c:pt>
              <c:pt idx="24">
                <c:v>3.3799697260686282E-2</c:v>
              </c:pt>
              <c:pt idx="25">
                <c:v>3.3793093371721462E-2</c:v>
              </c:pt>
              <c:pt idx="26">
                <c:v>3.3769196044631293E-2</c:v>
              </c:pt>
              <c:pt idx="27">
                <c:v>3.3728292893413635E-2</c:v>
              </c:pt>
              <c:pt idx="28">
                <c:v>3.3670869635499083E-2</c:v>
              </c:pt>
              <c:pt idx="29">
                <c:v>3.3597594322318097E-2</c:v>
              </c:pt>
              <c:pt idx="30">
                <c:v>3.3509296313245625E-2</c:v>
              </c:pt>
              <c:pt idx="31">
                <c:v>3.3406941252105297E-2</c:v>
              </c:pt>
              <c:pt idx="32">
                <c:v>3.3291603458921876E-2</c:v>
              </c:pt>
              <c:pt idx="33">
                <c:v>3.3164437178186706E-2</c:v>
              </c:pt>
              <c:pt idx="34">
                <c:v>3.3026648039659948E-2</c:v>
              </c:pt>
              <c:pt idx="35">
                <c:v>3.2879465911649565E-2</c:v>
              </c:pt>
              <c:pt idx="36">
                <c:v>3.2724120089613527E-2</c:v>
              </c:pt>
              <c:pt idx="37">
                <c:v>3.2561817496304393E-2</c:v>
              </c:pt>
              <c:pt idx="38">
                <c:v>3.2393724302205024E-2</c:v>
              </c:pt>
              <c:pt idx="39">
                <c:v>3.2220951129550625E-2</c:v>
              </c:pt>
              <c:pt idx="40">
                <c:v>3.2044541795365311E-2</c:v>
              </c:pt>
              <c:pt idx="41">
                <c:v>3.1865465386878213E-2</c:v>
              </c:pt>
              <c:pt idx="42">
                <c:v>3.1684611348254135E-2</c:v>
              </c:pt>
              <c:pt idx="43">
                <c:v>3.1502787187754219E-2</c:v>
              </c:pt>
              <c:pt idx="44">
                <c:v>3.1320718383058194E-2</c:v>
              </c:pt>
              <c:pt idx="45">
                <c:v>3.1139050061769116E-2</c:v>
              </c:pt>
              <c:pt idx="46">
                <c:v>3.0958350055992959E-2</c:v>
              </c:pt>
              <c:pt idx="47">
                <c:v>3.0779112966800307E-2</c:v>
              </c:pt>
              <c:pt idx="48">
                <c:v>3.0601764919879974E-2</c:v>
              </c:pt>
              <c:pt idx="49">
                <c:v>3.0426668742639516E-2</c:v>
              </c:pt>
              <c:pt idx="50">
                <c:v>3.0254129341580477E-2</c:v>
              </c:pt>
              <c:pt idx="51">
                <c:v>3.0084399104368914E-2</c:v>
              </c:pt>
              <c:pt idx="52">
                <c:v>2.9917683192038989E-2</c:v>
              </c:pt>
              <c:pt idx="53">
                <c:v>2.9754144622409617E-2</c:v>
              </c:pt>
              <c:pt idx="54">
                <c:v>2.9593909075847288E-2</c:v>
              </c:pt>
              <c:pt idx="55">
                <c:v>2.9437069379158205E-2</c:v>
              </c:pt>
              <c:pt idx="56">
                <c:v>2.9283689643078106E-2</c:v>
              </c:pt>
              <c:pt idx="57">
                <c:v>2.8987445253082427E-2</c:v>
              </c:pt>
              <c:pt idx="58">
                <c:v>2.8705249438049581E-2</c:v>
              </c:pt>
              <c:pt idx="59">
                <c:v>2.843692272060656E-2</c:v>
              </c:pt>
              <c:pt idx="60">
                <c:v>2.8182106961193734E-2</c:v>
              </c:pt>
              <c:pt idx="61">
                <c:v>2.7940323066302088E-2</c:v>
              </c:pt>
              <c:pt idx="62">
                <c:v>2.771101497108848E-2</c:v>
              </c:pt>
              <c:pt idx="63">
                <c:v>2.7493582588817535E-2</c:v>
              </c:pt>
              <c:pt idx="64">
                <c:v>2.7287406065353549E-2</c:v>
              </c:pt>
              <c:pt idx="65">
                <c:v>2.7091863289154108E-2</c:v>
              </c:pt>
              <c:pt idx="66">
                <c:v>2.690634223888767E-2</c:v>
              </c:pt>
              <c:pt idx="67">
                <c:v>2.673024942614733E-2</c:v>
              </c:pt>
              <c:pt idx="68">
                <c:v>2.6563015417404752E-2</c:v>
              </c:pt>
              <c:pt idx="69">
                <c:v>2.640409819616079E-2</c:v>
              </c:pt>
              <c:pt idx="70">
                <c:v>2.6252984947883497E-2</c:v>
              </c:pt>
              <c:pt idx="71">
                <c:v>2.610919271000376E-2</c:v>
              </c:pt>
              <c:pt idx="72">
                <c:v>2.597226822015037E-2</c:v>
              </c:pt>
              <c:pt idx="73">
                <c:v>2.5841787211775113E-2</c:v>
              </c:pt>
              <c:pt idx="74">
                <c:v>2.5717353342065267E-2</c:v>
              </c:pt>
              <c:pt idx="75">
                <c:v>2.5598596888211325E-2</c:v>
              </c:pt>
              <c:pt idx="76">
                <c:v>2.5485173311188873E-2</c:v>
              </c:pt>
              <c:pt idx="77">
                <c:v>2.5273063556165737E-2</c:v>
              </c:pt>
              <c:pt idx="78">
                <c:v>2.5078714550976496E-2</c:v>
              </c:pt>
              <c:pt idx="79">
                <c:v>2.4900125447290717E-2</c:v>
              </c:pt>
              <c:pt idx="80">
                <c:v>2.4735561478973527E-2</c:v>
              </c:pt>
              <c:pt idx="81">
                <c:v>2.4583516169954973E-2</c:v>
              </c:pt>
              <c:pt idx="82">
                <c:v>2.4249973889194042E-2</c:v>
              </c:pt>
              <c:pt idx="83">
                <c:v>2.3970556092921879E-2</c:v>
              </c:pt>
              <c:pt idx="84">
                <c:v>2.3733423854580125E-2</c:v>
              </c:pt>
              <c:pt idx="85">
                <c:v>2.3529865143833231E-2</c:v>
              </c:pt>
              <c:pt idx="86">
                <c:v>2.3353355225599216E-2</c:v>
              </c:pt>
              <c:pt idx="87">
                <c:v>2.3198926159195745E-2</c:v>
              </c:pt>
              <c:pt idx="88">
                <c:v>2.294177753595765E-2</c:v>
              </c:pt>
              <c:pt idx="89">
                <c:v>2.2736452704669185E-2</c:v>
              </c:pt>
              <c:pt idx="90">
                <c:v>2.2568842643838953E-2</c:v>
              </c:pt>
              <c:pt idx="91">
                <c:v>2.2429498103471914E-2</c:v>
              </c:pt>
              <c:pt idx="92">
                <c:v>2.2311864752467405E-2</c:v>
              </c:pt>
              <c:pt idx="93">
                <c:v>2.19219477646126E-2</c:v>
              </c:pt>
              <c:pt idx="94">
                <c:v>2.1703336717703383E-2</c:v>
              </c:pt>
              <c:pt idx="95">
                <c:v>2.1466576659932901E-2</c:v>
              </c:pt>
              <c:pt idx="96">
                <c:v>2.1340749932151591E-2</c:v>
              </c:pt>
              <c:pt idx="97">
                <c:v>2.0930000000000001E-2</c:v>
              </c:pt>
              <c:pt idx="98">
                <c:v>2.0462352026117177E-2</c:v>
              </c:pt>
              <c:pt idx="99">
                <c:v>2.0292078253462336E-2</c:v>
              </c:pt>
              <c:pt idx="100">
                <c:v>1.9927403009249937E-2</c:v>
              </c:pt>
              <c:pt idx="101">
                <c:v>1.9527441400141971E-2</c:v>
              </c:pt>
              <c:pt idx="102">
                <c:v>1.9406130083083659E-2</c:v>
              </c:pt>
              <c:pt idx="103">
                <c:v>1.9262042185935597E-2</c:v>
              </c:pt>
              <c:pt idx="104">
                <c:v>1.9088173676807301E-2</c:v>
              </c:pt>
              <c:pt idx="105">
                <c:v>1.8874364740294421E-2</c:v>
              </c:pt>
              <c:pt idx="106">
                <c:v>1.8605334220365727E-2</c:v>
              </c:pt>
              <c:pt idx="107">
                <c:v>1.8443106339845548E-2</c:v>
              </c:pt>
              <c:pt idx="108">
                <c:v>1.8257081553294929E-2</c:v>
              </c:pt>
              <c:pt idx="109">
                <c:v>1.8041765933534418E-2</c:v>
              </c:pt>
              <c:pt idx="110">
                <c:v>1.7789900045223919E-2</c:v>
              </c:pt>
              <c:pt idx="111">
                <c:v>1.7491727600755014E-2</c:v>
              </c:pt>
              <c:pt idx="112">
                <c:v>1.7133900318625845E-2</c:v>
              </c:pt>
              <c:pt idx="113">
                <c:v>1.6970127856038714E-2</c:v>
              </c:pt>
              <c:pt idx="114">
                <c:v>1.6792426733524612E-2</c:v>
              </c:pt>
              <c:pt idx="115">
                <c:v>1.6599076898329495E-2</c:v>
              </c:pt>
              <c:pt idx="116">
                <c:v>1.6388094622981707E-2</c:v>
              </c:pt>
              <c:pt idx="117">
                <c:v>1.6157190180898885E-2</c:v>
              </c:pt>
              <c:pt idx="118">
                <c:v>1.6033456612372633E-2</c:v>
              </c:pt>
              <c:pt idx="119">
                <c:v>1.590372165004483E-2</c:v>
              </c:pt>
              <c:pt idx="120">
                <c:v>1.5767592217746176E-2</c:v>
              </c:pt>
              <c:pt idx="121">
                <c:v>1.5624647462044871E-2</c:v>
              </c:pt>
              <c:pt idx="122">
                <c:v>1.5474437646003199E-2</c:v>
              </c:pt>
              <c:pt idx="123">
                <c:v>1.5316483392004664E-2</c:v>
              </c:pt>
              <c:pt idx="124">
                <c:v>1.5150275451951677E-2</c:v>
              </c:pt>
              <c:pt idx="125">
                <c:v>1.4975275245324009E-2</c:v>
              </c:pt>
              <c:pt idx="126">
                <c:v>1.4790916486985731E-2</c:v>
              </c:pt>
              <c:pt idx="127">
                <c:v>1.4596608332400495E-2</c:v>
              </c:pt>
              <c:pt idx="128">
                <c:v>1.4391740604136366E-2</c:v>
              </c:pt>
              <c:pt idx="129">
                <c:v>1.4175691836973547E-2</c:v>
              </c:pt>
              <c:pt idx="130">
                <c:v>1.3947841096409371E-2</c:v>
              </c:pt>
              <c:pt idx="131">
                <c:v>1.3707584792488141E-2</c:v>
              </c:pt>
              <c:pt idx="132">
                <c:v>1.3454360029547155E-2</c:v>
              </c:pt>
              <c:pt idx="133">
                <c:v>1.3322727312893847E-2</c:v>
              </c:pt>
              <c:pt idx="134">
                <c:v>1.3187676396417802E-2</c:v>
              </c:pt>
              <c:pt idx="135">
                <c:v>1.304916427263535E-2</c:v>
              </c:pt>
              <c:pt idx="136">
                <c:v>1.2907158489149532E-2</c:v>
              </c:pt>
              <c:pt idx="137">
                <c:v>1.2761639254297252E-2</c:v>
              </c:pt>
              <c:pt idx="138">
                <c:v>1.2612601820716014E-2</c:v>
              </c:pt>
              <c:pt idx="139">
                <c:v>1.2460059169599368E-2</c:v>
              </c:pt>
              <c:pt idx="140">
                <c:v>1.2304045016555564E-2</c:v>
              </c:pt>
              <c:pt idx="141">
                <c:v>1.214461715663261E-2</c:v>
              </c:pt>
              <c:pt idx="142">
                <c:v>1.1981861160791238E-2</c:v>
              </c:pt>
              <c:pt idx="143">
                <c:v>1.1815894428391283E-2</c:v>
              </c:pt>
              <c:pt idx="144">
                <c:v>1.1646870589539764E-2</c:v>
              </c:pt>
              <c:pt idx="145">
                <c:v>1.1474984236816857E-2</c:v>
              </c:pt>
              <c:pt idx="146">
                <c:v>1.1300475947320083E-2</c:v>
              </c:pt>
            </c:numLit>
          </c:yVal>
          <c:smooth val="1"/>
          <c:extLst>
            <c:ext xmlns:c16="http://schemas.microsoft.com/office/drawing/2014/chart" uri="{C3380CC4-5D6E-409C-BE32-E72D297353CC}">
              <c16:uniqueId val="{00000094-4A09-48A6-B9BD-07AF6B2013A5}"/>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A9DB-44E4-9932-EB31B57AD14C}"/>
            </c:ext>
          </c:extLst>
        </c:ser>
        <c:ser>
          <c:idx val="1"/>
          <c:order val="1"/>
          <c:spPr>
            <a:ln w="3175">
              <a:solidFill>
                <a:srgbClr val="000000"/>
              </a:solidFill>
              <a:prstDash val="solid"/>
            </a:ln>
          </c:spPr>
          <c:marker>
            <c:symbol val="none"/>
          </c:marker>
          <c:xVal>
            <c:numLit>
              <c:formatCode>General</c:formatCode>
              <c:ptCount val="2"/>
              <c:pt idx="0">
                <c:v>16.810229479756391</c:v>
              </c:pt>
              <c:pt idx="1">
                <c:v>17.208296457460236</c:v>
              </c:pt>
            </c:numLit>
          </c:xVal>
          <c:yVal>
            <c:numLit>
              <c:formatCode>General</c:formatCode>
              <c:ptCount val="2"/>
              <c:pt idx="0">
                <c:v>2.8677892915949361E-2</c:v>
              </c:pt>
              <c:pt idx="1">
                <c:v>2.900994546949005E-2</c:v>
              </c:pt>
            </c:numLit>
          </c:yVal>
          <c:smooth val="0"/>
          <c:extLst>
            <c:ext xmlns:c16="http://schemas.microsoft.com/office/drawing/2014/chart" uri="{C3380CC4-5D6E-409C-BE32-E72D297353CC}">
              <c16:uniqueId val="{00000001-A9DB-44E4-9932-EB31B57AD14C}"/>
            </c:ext>
          </c:extLst>
        </c:ser>
        <c:ser>
          <c:idx val="2"/>
          <c:order val="2"/>
          <c:spPr>
            <a:ln w="3175">
              <a:solidFill>
                <a:srgbClr val="000000"/>
              </a:solidFill>
              <a:prstDash val="solid"/>
            </a:ln>
          </c:spPr>
          <c:marker>
            <c:symbol val="none"/>
          </c:marker>
          <c:dLbls>
            <c:dLbl>
              <c:idx val="0"/>
              <c:tx>
                <c:rich>
                  <a:bodyPr rot="-28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3800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9DB-44E4-9932-EB31B57AD1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17.938085916583955</c:v>
              </c:pt>
            </c:numLit>
          </c:xVal>
          <c:yVal>
            <c:numLit>
              <c:formatCode>General</c:formatCode>
              <c:ptCount val="1"/>
              <c:pt idx="0">
                <c:v>2.9618708484314641E-2</c:v>
              </c:pt>
            </c:numLit>
          </c:yVal>
          <c:smooth val="0"/>
          <c:extLst>
            <c:ext xmlns:c16="http://schemas.microsoft.com/office/drawing/2014/chart" uri="{C3380CC4-5D6E-409C-BE32-E72D297353CC}">
              <c16:uniqueId val="{00000003-A9DB-44E4-9932-EB31B57AD14C}"/>
            </c:ext>
          </c:extLst>
        </c:ser>
        <c:ser>
          <c:idx val="3"/>
          <c:order val="3"/>
          <c:spPr>
            <a:ln w="3175">
              <a:solidFill>
                <a:srgbClr val="000000"/>
              </a:solidFill>
              <a:prstDash val="solid"/>
            </a:ln>
          </c:spPr>
          <c:marker>
            <c:symbol val="none"/>
          </c:marker>
          <c:xVal>
            <c:numLit>
              <c:formatCode>General</c:formatCode>
              <c:ptCount val="2"/>
              <c:pt idx="0">
                <c:v>16.588644396444685</c:v>
              </c:pt>
              <c:pt idx="1">
                <c:v>16.782929633511358</c:v>
              </c:pt>
            </c:numLit>
          </c:xVal>
          <c:yVal>
            <c:numLit>
              <c:formatCode>General</c:formatCode>
              <c:ptCount val="2"/>
              <c:pt idx="0">
                <c:v>2.882017669794408E-2</c:v>
              </c:pt>
              <c:pt idx="1">
                <c:v>2.8989251912900024E-2</c:v>
              </c:pt>
            </c:numLit>
          </c:yVal>
          <c:smooth val="0"/>
          <c:extLst>
            <c:ext xmlns:c16="http://schemas.microsoft.com/office/drawing/2014/chart" uri="{C3380CC4-5D6E-409C-BE32-E72D297353CC}">
              <c16:uniqueId val="{00000004-A9DB-44E4-9932-EB31B57AD14C}"/>
            </c:ext>
          </c:extLst>
        </c:ser>
        <c:ser>
          <c:idx val="4"/>
          <c:order val="4"/>
          <c:spPr>
            <a:ln w="3175">
              <a:solidFill>
                <a:srgbClr val="000000"/>
              </a:solidFill>
              <a:prstDash val="solid"/>
            </a:ln>
          </c:spPr>
          <c:marker>
            <c:symbol val="none"/>
          </c:marker>
          <c:xVal>
            <c:numLit>
              <c:formatCode>General</c:formatCode>
              <c:ptCount val="2"/>
              <c:pt idx="0">
                <c:v>16.354668757094764</c:v>
              </c:pt>
              <c:pt idx="1">
                <c:v>16.733211703827397</c:v>
              </c:pt>
            </c:numLit>
          </c:xVal>
          <c:yVal>
            <c:numLit>
              <c:formatCode>General</c:formatCode>
              <c:ptCount val="2"/>
              <c:pt idx="0">
                <c:v>2.8964054945422545E-2</c:v>
              </c:pt>
              <c:pt idx="1">
                <c:v>2.9308371585940653E-2</c:v>
              </c:pt>
            </c:numLit>
          </c:yVal>
          <c:smooth val="0"/>
          <c:extLst>
            <c:ext xmlns:c16="http://schemas.microsoft.com/office/drawing/2014/chart" uri="{C3380CC4-5D6E-409C-BE32-E72D297353CC}">
              <c16:uniqueId val="{00000005-A9DB-44E4-9932-EB31B57AD14C}"/>
            </c:ext>
          </c:extLst>
        </c:ser>
        <c:ser>
          <c:idx val="5"/>
          <c:order val="5"/>
          <c:spPr>
            <a:ln w="3175">
              <a:solidFill>
                <a:srgbClr val="000000"/>
              </a:solidFill>
              <a:prstDash val="solid"/>
            </a:ln>
          </c:spPr>
          <c:marker>
            <c:symbol val="none"/>
          </c:marker>
          <c:xVal>
            <c:numLit>
              <c:formatCode>General</c:formatCode>
              <c:ptCount val="2"/>
              <c:pt idx="0">
                <c:v>16.107718156429225</c:v>
              </c:pt>
              <c:pt idx="1">
                <c:v>16.291697831209852</c:v>
              </c:pt>
            </c:numLit>
          </c:xVal>
          <c:yVal>
            <c:numLit>
              <c:formatCode>General</c:formatCode>
              <c:ptCount val="2"/>
              <c:pt idx="0">
                <c:v>2.9109197410386176E-2</c:v>
              </c:pt>
              <c:pt idx="1">
                <c:v>2.9284465926323024E-2</c:v>
              </c:pt>
            </c:numLit>
          </c:yVal>
          <c:smooth val="0"/>
          <c:extLst>
            <c:ext xmlns:c16="http://schemas.microsoft.com/office/drawing/2014/chart" uri="{C3380CC4-5D6E-409C-BE32-E72D297353CC}">
              <c16:uniqueId val="{00000006-A9DB-44E4-9932-EB31B57AD14C}"/>
            </c:ext>
          </c:extLst>
        </c:ser>
        <c:ser>
          <c:idx val="6"/>
          <c:order val="6"/>
          <c:spPr>
            <a:ln w="3175">
              <a:solidFill>
                <a:srgbClr val="000000"/>
              </a:solidFill>
              <a:prstDash val="solid"/>
            </a:ln>
          </c:spPr>
          <c:marker>
            <c:symbol val="none"/>
          </c:marker>
          <c:xVal>
            <c:numLit>
              <c:formatCode>General</c:formatCode>
              <c:ptCount val="2"/>
              <c:pt idx="0">
                <c:v>15.847219725836448</c:v>
              </c:pt>
              <c:pt idx="1">
                <c:v>16.204014856943722</c:v>
              </c:pt>
            </c:numLit>
          </c:xVal>
          <c:yVal>
            <c:numLit>
              <c:formatCode>General</c:formatCode>
              <c:ptCount val="2"/>
              <c:pt idx="0">
                <c:v>2.9255219725836449E-2</c:v>
              </c:pt>
              <c:pt idx="1">
                <c:v>2.9612014856943723E-2</c:v>
              </c:pt>
            </c:numLit>
          </c:yVal>
          <c:smooth val="0"/>
          <c:extLst>
            <c:ext xmlns:c16="http://schemas.microsoft.com/office/drawing/2014/chart" uri="{C3380CC4-5D6E-409C-BE32-E72D297353CC}">
              <c16:uniqueId val="{00000007-A9DB-44E4-9932-EB31B57AD14C}"/>
            </c:ext>
          </c:extLst>
        </c:ser>
        <c:ser>
          <c:idx val="7"/>
          <c:order val="7"/>
          <c:spPr>
            <a:ln w="3175">
              <a:solidFill>
                <a:srgbClr val="000000"/>
              </a:solidFill>
              <a:prstDash val="solid"/>
            </a:ln>
          </c:spPr>
          <c:marker>
            <c:symbol val="none"/>
          </c:marker>
          <c:dLbls>
            <c:dLbl>
              <c:idx val="0"/>
              <c:tx>
                <c:rich>
                  <a:bodyPr rot="-32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3600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9DB-44E4-9932-EB31B57AD1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16.85813926397373</c:v>
              </c:pt>
            </c:numLit>
          </c:xVal>
          <c:yVal>
            <c:numLit>
              <c:formatCode>General</c:formatCode>
              <c:ptCount val="1"/>
              <c:pt idx="0">
                <c:v>3.0266139263973729E-2</c:v>
              </c:pt>
            </c:numLit>
          </c:yVal>
          <c:smooth val="0"/>
          <c:extLst>
            <c:ext xmlns:c16="http://schemas.microsoft.com/office/drawing/2014/chart" uri="{C3380CC4-5D6E-409C-BE32-E72D297353CC}">
              <c16:uniqueId val="{00000009-A9DB-44E4-9932-EB31B57AD14C}"/>
            </c:ext>
          </c:extLst>
        </c:ser>
        <c:ser>
          <c:idx val="8"/>
          <c:order val="8"/>
          <c:spPr>
            <a:ln w="3175">
              <a:solidFill>
                <a:srgbClr val="000000"/>
              </a:solidFill>
              <a:prstDash val="solid"/>
            </a:ln>
          </c:spPr>
          <c:marker>
            <c:symbol val="none"/>
          </c:marker>
          <c:xVal>
            <c:numLit>
              <c:formatCode>General</c:formatCode>
              <c:ptCount val="2"/>
              <c:pt idx="0">
                <c:v>15.572621851491188</c:v>
              </c:pt>
              <c:pt idx="1">
                <c:v>15.745135176880286</c:v>
              </c:pt>
            </c:numLit>
          </c:xVal>
          <c:yVal>
            <c:numLit>
              <c:formatCode>General</c:formatCode>
              <c:ptCount val="2"/>
              <c:pt idx="0">
                <c:v>2.9401679479707257E-2</c:v>
              </c:pt>
              <c:pt idx="1">
                <c:v>2.9583215468558126E-2</c:v>
              </c:pt>
            </c:numLit>
          </c:yVal>
          <c:smooth val="0"/>
          <c:extLst>
            <c:ext xmlns:c16="http://schemas.microsoft.com/office/drawing/2014/chart" uri="{C3380CC4-5D6E-409C-BE32-E72D297353CC}">
              <c16:uniqueId val="{0000000A-A9DB-44E4-9932-EB31B57AD14C}"/>
            </c:ext>
          </c:extLst>
        </c:ser>
        <c:ser>
          <c:idx val="9"/>
          <c:order val="9"/>
          <c:spPr>
            <a:ln w="3175">
              <a:solidFill>
                <a:srgbClr val="000000"/>
              </a:solidFill>
              <a:prstDash val="solid"/>
            </a:ln>
          </c:spPr>
          <c:marker>
            <c:symbol val="none"/>
          </c:marker>
          <c:xVal>
            <c:numLit>
              <c:formatCode>General</c:formatCode>
              <c:ptCount val="2"/>
              <c:pt idx="0">
                <c:v>15.283405513946459</c:v>
              </c:pt>
              <c:pt idx="1">
                <c:v>15.616037178829878</c:v>
              </c:pt>
            </c:numLit>
          </c:xVal>
          <c:yVal>
            <c:numLit>
              <c:formatCode>General</c:formatCode>
              <c:ptCount val="2"/>
              <c:pt idx="0">
                <c:v>2.9548072789216489E-2</c:v>
              </c:pt>
              <c:pt idx="1">
                <c:v>2.9917418765897194E-2</c:v>
              </c:pt>
            </c:numLit>
          </c:yVal>
          <c:smooth val="0"/>
          <c:extLst>
            <c:ext xmlns:c16="http://schemas.microsoft.com/office/drawing/2014/chart" uri="{C3380CC4-5D6E-409C-BE32-E72D297353CC}">
              <c16:uniqueId val="{0000000B-A9DB-44E4-9932-EB31B57AD14C}"/>
            </c:ext>
          </c:extLst>
        </c:ser>
        <c:ser>
          <c:idx val="10"/>
          <c:order val="10"/>
          <c:spPr>
            <a:ln w="3175">
              <a:solidFill>
                <a:srgbClr val="000000"/>
              </a:solidFill>
              <a:prstDash val="solid"/>
            </a:ln>
          </c:spPr>
          <c:marker>
            <c:symbol val="none"/>
          </c:marker>
          <c:xVal>
            <c:numLit>
              <c:formatCode>General</c:formatCode>
              <c:ptCount val="2"/>
              <c:pt idx="0">
                <c:v>14.97909728533833</c:v>
              </c:pt>
              <c:pt idx="1">
                <c:v>15.138892227167009</c:v>
              </c:pt>
            </c:numLit>
          </c:xVal>
          <c:yVal>
            <c:numLit>
              <c:formatCode>General</c:formatCode>
              <c:ptCount val="2"/>
              <c:pt idx="0">
                <c:v>2.9693831622722384E-2</c:v>
              </c:pt>
              <c:pt idx="1">
                <c:v>2.9881628014637864E-2</c:v>
              </c:pt>
            </c:numLit>
          </c:yVal>
          <c:smooth val="0"/>
          <c:extLst>
            <c:ext xmlns:c16="http://schemas.microsoft.com/office/drawing/2014/chart" uri="{C3380CC4-5D6E-409C-BE32-E72D297353CC}">
              <c16:uniqueId val="{0000000C-A9DB-44E4-9932-EB31B57AD14C}"/>
            </c:ext>
          </c:extLst>
        </c:ser>
        <c:ser>
          <c:idx val="11"/>
          <c:order val="11"/>
          <c:spPr>
            <a:ln w="3175">
              <a:solidFill>
                <a:srgbClr val="000000"/>
              </a:solidFill>
              <a:prstDash val="solid"/>
            </a:ln>
          </c:spPr>
          <c:marker>
            <c:symbol val="none"/>
          </c:marker>
          <c:xVal>
            <c:numLit>
              <c:formatCode>General</c:formatCode>
              <c:ptCount val="2"/>
              <c:pt idx="0">
                <c:v>14.659283952235356</c:v>
              </c:pt>
              <c:pt idx="1">
                <c:v>14.965167550188299</c:v>
              </c:pt>
            </c:numLit>
          </c:xVal>
          <c:yVal>
            <c:numLit>
              <c:formatCode>General</c:formatCode>
              <c:ptCount val="2"/>
              <c:pt idx="0">
                <c:v>2.9838322153782595E-2</c:v>
              </c:pt>
              <c:pt idx="1">
                <c:v>3.0220107388944706E-2</c:v>
              </c:pt>
            </c:numLit>
          </c:yVal>
          <c:smooth val="0"/>
          <c:extLst>
            <c:ext xmlns:c16="http://schemas.microsoft.com/office/drawing/2014/chart" uri="{C3380CC4-5D6E-409C-BE32-E72D297353CC}">
              <c16:uniqueId val="{0000000D-A9DB-44E4-9932-EB31B57AD14C}"/>
            </c:ext>
          </c:extLst>
        </c:ser>
        <c:ser>
          <c:idx val="12"/>
          <c:order val="12"/>
          <c:spPr>
            <a:ln w="3175">
              <a:solidFill>
                <a:srgbClr val="000000"/>
              </a:solidFill>
              <a:prstDash val="solid"/>
            </a:ln>
          </c:spPr>
          <c:marker>
            <c:symbol val="none"/>
          </c:marker>
          <c:dLbls>
            <c:dLbl>
              <c:idx val="0"/>
              <c:tx>
                <c:rich>
                  <a:bodyPr rot="-35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3400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9DB-44E4-9932-EB31B57AD1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15.525954146435364</c:v>
              </c:pt>
            </c:numLit>
          </c:xVal>
          <c:yVal>
            <c:numLit>
              <c:formatCode>General</c:formatCode>
              <c:ptCount val="1"/>
              <c:pt idx="0">
                <c:v>3.0920046986741907E-2</c:v>
              </c:pt>
            </c:numLit>
          </c:yVal>
          <c:smooth val="0"/>
          <c:extLst>
            <c:ext xmlns:c16="http://schemas.microsoft.com/office/drawing/2014/chart" uri="{C3380CC4-5D6E-409C-BE32-E72D297353CC}">
              <c16:uniqueId val="{0000000F-A9DB-44E4-9932-EB31B57AD14C}"/>
            </c:ext>
          </c:extLst>
        </c:ser>
        <c:ser>
          <c:idx val="13"/>
          <c:order val="13"/>
          <c:spPr>
            <a:ln w="3175">
              <a:solidFill>
                <a:srgbClr val="000000"/>
              </a:solidFill>
              <a:prstDash val="solid"/>
            </a:ln>
          </c:spPr>
          <c:marker>
            <c:symbol val="none"/>
          </c:marker>
          <c:xVal>
            <c:numLit>
              <c:formatCode>General</c:formatCode>
              <c:ptCount val="2"/>
              <c:pt idx="0">
                <c:v>14.323628642858322</c:v>
              </c:pt>
              <c:pt idx="1">
                <c:v>14.469377828062429</c:v>
              </c:pt>
            </c:numLit>
          </c:xVal>
          <c:yVal>
            <c:numLit>
              <c:formatCode>General</c:formatCode>
              <c:ptCount val="2"/>
              <c:pt idx="0">
                <c:v>2.9980844463909358E-2</c:v>
              </c:pt>
              <c:pt idx="1">
                <c:v>3.0174791130993129E-2</c:v>
              </c:pt>
            </c:numLit>
          </c:yVal>
          <c:smooth val="0"/>
          <c:extLst>
            <c:ext xmlns:c16="http://schemas.microsoft.com/office/drawing/2014/chart" uri="{C3380CC4-5D6E-409C-BE32-E72D297353CC}">
              <c16:uniqueId val="{00000010-A9DB-44E4-9932-EB31B57AD14C}"/>
            </c:ext>
          </c:extLst>
        </c:ser>
        <c:ser>
          <c:idx val="14"/>
          <c:order val="14"/>
          <c:spPr>
            <a:ln w="3175">
              <a:solidFill>
                <a:srgbClr val="000000"/>
              </a:solidFill>
              <a:prstDash val="solid"/>
            </a:ln>
          </c:spPr>
          <c:marker>
            <c:symbol val="none"/>
          </c:marker>
          <c:xVal>
            <c:numLit>
              <c:formatCode>General</c:formatCode>
              <c:ptCount val="2"/>
              <c:pt idx="0">
                <c:v>13.971888226311023</c:v>
              </c:pt>
              <c:pt idx="1">
                <c:v>14.248312007438637</c:v>
              </c:pt>
            </c:numLit>
          </c:xVal>
          <c:yVal>
            <c:numLit>
              <c:formatCode>General</c:formatCode>
              <c:ptCount val="2"/>
              <c:pt idx="0">
                <c:v>3.0120633931542337E-2</c:v>
              </c:pt>
              <c:pt idx="1">
                <c:v>3.051451824289415E-2</c:v>
              </c:pt>
            </c:numLit>
          </c:yVal>
          <c:smooth val="0"/>
          <c:extLst>
            <c:ext xmlns:c16="http://schemas.microsoft.com/office/drawing/2014/chart" uri="{C3380CC4-5D6E-409C-BE32-E72D297353CC}">
              <c16:uniqueId val="{00000011-A9DB-44E4-9932-EB31B57AD14C}"/>
            </c:ext>
          </c:extLst>
        </c:ser>
        <c:ser>
          <c:idx val="15"/>
          <c:order val="15"/>
          <c:spPr>
            <a:ln w="3175">
              <a:solidFill>
                <a:srgbClr val="000000"/>
              </a:solidFill>
              <a:prstDash val="solid"/>
            </a:ln>
          </c:spPr>
          <c:marker>
            <c:symbol val="none"/>
          </c:marker>
          <c:xVal>
            <c:numLit>
              <c:formatCode>General</c:formatCode>
              <c:ptCount val="2"/>
              <c:pt idx="0">
                <c:v>13.603931620112528</c:v>
              </c:pt>
              <c:pt idx="1">
                <c:v>13.734258726257798</c:v>
              </c:pt>
            </c:numLit>
          </c:xVal>
          <c:yVal>
            <c:numLit>
              <c:formatCode>General</c:formatCode>
              <c:ptCount val="2"/>
              <c:pt idx="0">
                <c:v>3.0256864649135986E-2</c:v>
              </c:pt>
              <c:pt idx="1">
                <c:v>3.0456726034474614E-2</c:v>
              </c:pt>
            </c:numLit>
          </c:yVal>
          <c:smooth val="0"/>
          <c:extLst>
            <c:ext xmlns:c16="http://schemas.microsoft.com/office/drawing/2014/chart" uri="{C3380CC4-5D6E-409C-BE32-E72D297353CC}">
              <c16:uniqueId val="{00000012-A9DB-44E4-9932-EB31B57AD14C}"/>
            </c:ext>
          </c:extLst>
        </c:ser>
        <c:ser>
          <c:idx val="16"/>
          <c:order val="16"/>
          <c:spPr>
            <a:ln w="3175">
              <a:solidFill>
                <a:srgbClr val="000000"/>
              </a:solidFill>
              <a:prstDash val="solid"/>
            </a:ln>
          </c:spPr>
          <c:marker>
            <c:symbol val="none"/>
          </c:marker>
          <c:xVal>
            <c:numLit>
              <c:formatCode>General</c:formatCode>
              <c:ptCount val="2"/>
              <c:pt idx="0">
                <c:v>13.2197584950931</c:v>
              </c:pt>
              <c:pt idx="1">
                <c:v>13.463948144882803</c:v>
              </c:pt>
            </c:numLit>
          </c:xVal>
          <c:yVal>
            <c:numLit>
              <c:formatCode>General</c:formatCode>
              <c:ptCount val="2"/>
              <c:pt idx="0">
                <c:v>3.0388655191524186E-2</c:v>
              </c:pt>
              <c:pt idx="1">
                <c:v>3.0794026128303793E-2</c:v>
              </c:pt>
            </c:numLit>
          </c:yVal>
          <c:smooth val="0"/>
          <c:extLst>
            <c:ext xmlns:c16="http://schemas.microsoft.com/office/drawing/2014/chart" uri="{C3380CC4-5D6E-409C-BE32-E72D297353CC}">
              <c16:uniqueId val="{00000013-A9DB-44E4-9932-EB31B57AD14C}"/>
            </c:ext>
          </c:extLst>
        </c:ser>
        <c:ser>
          <c:idx val="17"/>
          <c:order val="17"/>
          <c:spPr>
            <a:ln w="3175">
              <a:solidFill>
                <a:srgbClr val="000000"/>
              </a:solidFill>
              <a:prstDash val="solid"/>
            </a:ln>
          </c:spPr>
          <c:marker>
            <c:symbol val="none"/>
          </c:marker>
          <c:dLbls>
            <c:dLbl>
              <c:idx val="0"/>
              <c:tx>
                <c:rich>
                  <a:bodyPr rot="-39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3200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9DB-44E4-9932-EB31B57AD1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13.91162916949726</c:v>
              </c:pt>
            </c:numLit>
          </c:xVal>
          <c:yVal>
            <c:numLit>
              <c:formatCode>General</c:formatCode>
              <c:ptCount val="1"/>
              <c:pt idx="0">
                <c:v>3.1537206179066406E-2</c:v>
              </c:pt>
            </c:numLit>
          </c:yVal>
          <c:smooth val="0"/>
          <c:extLst>
            <c:ext xmlns:c16="http://schemas.microsoft.com/office/drawing/2014/chart" uri="{C3380CC4-5D6E-409C-BE32-E72D297353CC}">
              <c16:uniqueId val="{00000015-A9DB-44E4-9932-EB31B57AD14C}"/>
            </c:ext>
          </c:extLst>
        </c:ser>
        <c:ser>
          <c:idx val="18"/>
          <c:order val="18"/>
          <c:spPr>
            <a:ln w="3175">
              <a:solidFill>
                <a:srgbClr val="000000"/>
              </a:solidFill>
              <a:prstDash val="solid"/>
            </a:ln>
          </c:spPr>
          <c:marker>
            <c:symbol val="none"/>
          </c:marker>
          <c:xVal>
            <c:numLit>
              <c:formatCode>General</c:formatCode>
              <c:ptCount val="2"/>
              <c:pt idx="0">
                <c:v>12.819517711563606</c:v>
              </c:pt>
              <c:pt idx="1">
                <c:v>12.933035948239969</c:v>
              </c:pt>
            </c:numLit>
          </c:xVal>
          <c:yVal>
            <c:numLit>
              <c:formatCode>General</c:formatCode>
              <c:ptCount val="2"/>
              <c:pt idx="0">
                <c:v>3.0515077010490988E-2</c:v>
              </c:pt>
              <c:pt idx="1">
                <c:v>3.0720471517858654E-2</c:v>
              </c:pt>
            </c:numLit>
          </c:yVal>
          <c:smooth val="0"/>
          <c:extLst>
            <c:ext xmlns:c16="http://schemas.microsoft.com/office/drawing/2014/chart" uri="{C3380CC4-5D6E-409C-BE32-E72D297353CC}">
              <c16:uniqueId val="{00000016-A9DB-44E4-9932-EB31B57AD14C}"/>
            </c:ext>
          </c:extLst>
        </c:ser>
        <c:ser>
          <c:idx val="19"/>
          <c:order val="19"/>
          <c:spPr>
            <a:ln w="3175">
              <a:solidFill>
                <a:srgbClr val="000000"/>
              </a:solidFill>
              <a:prstDash val="solid"/>
            </a:ln>
          </c:spPr>
          <c:marker>
            <c:symbol val="none"/>
          </c:marker>
          <c:xVal>
            <c:numLit>
              <c:formatCode>General</c:formatCode>
              <c:ptCount val="2"/>
              <c:pt idx="0">
                <c:v>12.403524669547116</c:v>
              </c:pt>
              <c:pt idx="1">
                <c:v>12.612732869670563</c:v>
              </c:pt>
            </c:numLit>
          </c:xVal>
          <c:yVal>
            <c:numLit>
              <c:formatCode>General</c:formatCode>
              <c:ptCount val="2"/>
              <c:pt idx="0">
                <c:v>3.0635165647360473E-2</c:v>
              </c:pt>
              <c:pt idx="1">
                <c:v>3.1051101317961634E-2</c:v>
              </c:pt>
            </c:numLit>
          </c:yVal>
          <c:smooth val="0"/>
          <c:extLst>
            <c:ext xmlns:c16="http://schemas.microsoft.com/office/drawing/2014/chart" uri="{C3380CC4-5D6E-409C-BE32-E72D297353CC}">
              <c16:uniqueId val="{00000017-A9DB-44E4-9932-EB31B57AD14C}"/>
            </c:ext>
          </c:extLst>
        </c:ser>
        <c:ser>
          <c:idx val="20"/>
          <c:order val="20"/>
          <c:spPr>
            <a:ln w="3175">
              <a:solidFill>
                <a:srgbClr val="000000"/>
              </a:solidFill>
              <a:prstDash val="solid"/>
            </a:ln>
          </c:spPr>
          <c:marker>
            <c:symbol val="none"/>
          </c:marker>
          <c:xVal>
            <c:numLit>
              <c:formatCode>General</c:formatCode>
              <c:ptCount val="2"/>
              <c:pt idx="0">
                <c:v>11.972276624673018</c:v>
              </c:pt>
              <c:pt idx="1">
                <c:v>12.067639695201725</c:v>
              </c:pt>
            </c:numLit>
          </c:xVal>
          <c:yVal>
            <c:numLit>
              <c:formatCode>General</c:formatCode>
              <c:ptCount val="2"/>
              <c:pt idx="0">
                <c:v>3.0747934834256706E-2</c:v>
              </c:pt>
              <c:pt idx="1">
                <c:v>3.0958319152133637E-2</c:v>
              </c:pt>
            </c:numLit>
          </c:yVal>
          <c:smooth val="0"/>
          <c:extLst>
            <c:ext xmlns:c16="http://schemas.microsoft.com/office/drawing/2014/chart" uri="{C3380CC4-5D6E-409C-BE32-E72D297353CC}">
              <c16:uniqueId val="{00000018-A9DB-44E4-9932-EB31B57AD14C}"/>
            </c:ext>
          </c:extLst>
        </c:ser>
        <c:ser>
          <c:idx val="21"/>
          <c:order val="21"/>
          <c:spPr>
            <a:ln w="3175">
              <a:solidFill>
                <a:srgbClr val="000000"/>
              </a:solidFill>
              <a:prstDash val="solid"/>
            </a:ln>
          </c:spPr>
          <c:marker>
            <c:symbol val="none"/>
          </c:marker>
          <c:xVal>
            <c:numLit>
              <c:formatCode>General</c:formatCode>
              <c:ptCount val="2"/>
              <c:pt idx="0">
                <c:v>11.526464929155814</c:v>
              </c:pt>
              <c:pt idx="1">
                <c:v>11.698084854691064</c:v>
              </c:pt>
            </c:numLit>
          </c:xVal>
          <c:yVal>
            <c:numLit>
              <c:formatCode>General</c:formatCode>
              <c:ptCount val="2"/>
              <c:pt idx="0">
                <c:v>3.085239339588855E-2</c:v>
              </c:pt>
              <c:pt idx="1">
                <c:v>3.1277638827140915E-2</c:v>
              </c:pt>
            </c:numLit>
          </c:yVal>
          <c:smooth val="0"/>
          <c:extLst>
            <c:ext xmlns:c16="http://schemas.microsoft.com/office/drawing/2014/chart" uri="{C3380CC4-5D6E-409C-BE32-E72D297353CC}">
              <c16:uniqueId val="{00000019-A9DB-44E4-9932-EB31B57AD14C}"/>
            </c:ext>
          </c:extLst>
        </c:ser>
        <c:ser>
          <c:idx val="22"/>
          <c:order val="22"/>
          <c:spPr>
            <a:ln w="3175">
              <a:solidFill>
                <a:srgbClr val="000000"/>
              </a:solidFill>
              <a:prstDash val="solid"/>
            </a:ln>
          </c:spPr>
          <c:marker>
            <c:symbol val="none"/>
          </c:marker>
          <c:dLbls>
            <c:dLbl>
              <c:idx val="0"/>
              <c:tx>
                <c:rich>
                  <a:bodyPr rot="-43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9DB-44E4-9932-EB31B57AD1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12.01272138483902</c:v>
              </c:pt>
            </c:numLit>
          </c:xVal>
          <c:yVal>
            <c:numLit>
              <c:formatCode>General</c:formatCode>
              <c:ptCount val="1"/>
              <c:pt idx="0">
                <c:v>3.2057255451103592E-2</c:v>
              </c:pt>
            </c:numLit>
          </c:yVal>
          <c:smooth val="0"/>
          <c:extLst>
            <c:ext xmlns:c16="http://schemas.microsoft.com/office/drawing/2014/chart" uri="{C3380CC4-5D6E-409C-BE32-E72D297353CC}">
              <c16:uniqueId val="{0000001B-A9DB-44E4-9932-EB31B57AD14C}"/>
            </c:ext>
          </c:extLst>
        </c:ser>
        <c:ser>
          <c:idx val="23"/>
          <c:order val="23"/>
          <c:spPr>
            <a:ln w="3175">
              <a:solidFill>
                <a:srgbClr val="000000"/>
              </a:solidFill>
              <a:prstDash val="solid"/>
            </a:ln>
          </c:spPr>
          <c:marker>
            <c:symbol val="none"/>
          </c:marker>
          <c:xVal>
            <c:numLit>
              <c:formatCode>General</c:formatCode>
              <c:ptCount val="2"/>
              <c:pt idx="0">
                <c:v>11.066983124686066</c:v>
              </c:pt>
              <c:pt idx="1">
                <c:v>11.142947048786482</c:v>
              </c:pt>
            </c:numLit>
          </c:xVal>
          <c:yVal>
            <c:numLit>
              <c:formatCode>General</c:formatCode>
              <c:ptCount val="2"/>
              <c:pt idx="0">
                <c:v>3.0947564672567929E-2</c:v>
              </c:pt>
              <c:pt idx="1">
                <c:v>3.1162226772694385E-2</c:v>
              </c:pt>
            </c:numLit>
          </c:yVal>
          <c:smooth val="0"/>
          <c:extLst>
            <c:ext xmlns:c16="http://schemas.microsoft.com/office/drawing/2014/chart" uri="{C3380CC4-5D6E-409C-BE32-E72D297353CC}">
              <c16:uniqueId val="{0000001C-A9DB-44E4-9932-EB31B57AD14C}"/>
            </c:ext>
          </c:extLst>
        </c:ser>
        <c:ser>
          <c:idx val="24"/>
          <c:order val="24"/>
          <c:spPr>
            <a:ln w="3175">
              <a:solidFill>
                <a:srgbClr val="000000"/>
              </a:solidFill>
              <a:prstDash val="solid"/>
            </a:ln>
          </c:spPr>
          <c:marker>
            <c:symbol val="none"/>
          </c:marker>
          <c:xVal>
            <c:numLit>
              <c:formatCode>General</c:formatCode>
              <c:ptCount val="2"/>
              <c:pt idx="0">
                <c:v>10.594929860498169</c:v>
              </c:pt>
              <c:pt idx="1">
                <c:v>10.72662685451952</c:v>
              </c:pt>
            </c:numLit>
          </c:xVal>
          <c:yVal>
            <c:numLit>
              <c:formatCode>General</c:formatCode>
              <c:ptCount val="2"/>
              <c:pt idx="0">
                <c:v>3.1032507972748882E-2</c:v>
              </c:pt>
              <c:pt idx="1">
                <c:v>3.1465472600152408E-2</c:v>
              </c:pt>
            </c:numLit>
          </c:yVal>
          <c:smooth val="0"/>
          <c:extLst>
            <c:ext xmlns:c16="http://schemas.microsoft.com/office/drawing/2014/chart" uri="{C3380CC4-5D6E-409C-BE32-E72D297353CC}">
              <c16:uniqueId val="{0000001D-A9DB-44E4-9932-EB31B57AD14C}"/>
            </c:ext>
          </c:extLst>
        </c:ser>
        <c:ser>
          <c:idx val="25"/>
          <c:order val="25"/>
          <c:spPr>
            <a:ln w="3175">
              <a:solidFill>
                <a:srgbClr val="000000"/>
              </a:solidFill>
              <a:prstDash val="solid"/>
            </a:ln>
          </c:spPr>
          <c:marker>
            <c:symbol val="none"/>
          </c:marker>
          <c:xVal>
            <c:numLit>
              <c:formatCode>General</c:formatCode>
              <c:ptCount val="2"/>
              <c:pt idx="0">
                <c:v>10.111605750259969</c:v>
              </c:pt>
              <c:pt idx="1">
                <c:v>10.167097302051253</c:v>
              </c:pt>
            </c:numLit>
          </c:xVal>
          <c:yVal>
            <c:numLit>
              <c:formatCode>General</c:formatCode>
              <c:ptCount val="2"/>
              <c:pt idx="0">
                <c:v>3.1106341346724724E-2</c:v>
              </c:pt>
              <c:pt idx="1">
                <c:v>3.1324405804154541E-2</c:v>
              </c:pt>
            </c:numLit>
          </c:yVal>
          <c:smooth val="0"/>
          <c:extLst>
            <c:ext xmlns:c16="http://schemas.microsoft.com/office/drawing/2014/chart" uri="{C3380CC4-5D6E-409C-BE32-E72D297353CC}">
              <c16:uniqueId val="{0000001E-A9DB-44E4-9932-EB31B57AD14C}"/>
            </c:ext>
          </c:extLst>
        </c:ser>
        <c:ser>
          <c:idx val="26"/>
          <c:order val="26"/>
          <c:spPr>
            <a:ln w="3175">
              <a:solidFill>
                <a:srgbClr val="000000"/>
              </a:solidFill>
              <a:prstDash val="solid"/>
            </a:ln>
          </c:spPr>
          <c:marker>
            <c:symbol val="none"/>
          </c:marker>
          <c:xVal>
            <c:numLit>
              <c:formatCode>General</c:formatCode>
              <c:ptCount val="2"/>
              <c:pt idx="0">
                <c:v>9.6185035223870123</c:v>
              </c:pt>
              <c:pt idx="1">
                <c:v>9.7083536733464566</c:v>
              </c:pt>
            </c:numLit>
          </c:xVal>
          <c:yVal>
            <c:numLit>
              <c:formatCode>General</c:formatCode>
              <c:ptCount val="2"/>
              <c:pt idx="0">
                <c:v>3.1168264774375409E-2</c:v>
              </c:pt>
              <c:pt idx="1">
                <c:v>3.160704755042007E-2</c:v>
              </c:pt>
            </c:numLit>
          </c:yVal>
          <c:smooth val="0"/>
          <c:extLst>
            <c:ext xmlns:c16="http://schemas.microsoft.com/office/drawing/2014/chart" uri="{C3380CC4-5D6E-409C-BE32-E72D297353CC}">
              <c16:uniqueId val="{0000001F-A9DB-44E4-9932-EB31B57AD14C}"/>
            </c:ext>
          </c:extLst>
        </c:ser>
        <c:ser>
          <c:idx val="27"/>
          <c:order val="27"/>
          <c:spPr>
            <a:ln w="3175">
              <a:solidFill>
                <a:srgbClr val="000000"/>
              </a:solidFill>
              <a:prstDash val="solid"/>
            </a:ln>
          </c:spPr>
          <c:marker>
            <c:symbol val="none"/>
          </c:marker>
          <c:dLbls>
            <c:dLbl>
              <c:idx val="0"/>
              <c:tx>
                <c:rich>
                  <a:bodyPr rot="-48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2800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0-A9DB-44E4-9932-EB31B57AD1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9.8730789501054357</c:v>
              </c:pt>
            </c:numLit>
          </c:xVal>
          <c:yVal>
            <c:numLit>
              <c:formatCode>General</c:formatCode>
              <c:ptCount val="1"/>
              <c:pt idx="0">
                <c:v>3.241148263983528E-2</c:v>
              </c:pt>
            </c:numLit>
          </c:yVal>
          <c:smooth val="0"/>
          <c:extLst>
            <c:ext xmlns:c16="http://schemas.microsoft.com/office/drawing/2014/chart" uri="{C3380CC4-5D6E-409C-BE32-E72D297353CC}">
              <c16:uniqueId val="{00000021-A9DB-44E4-9932-EB31B57AD14C}"/>
            </c:ext>
          </c:extLst>
        </c:ser>
        <c:ser>
          <c:idx val="28"/>
          <c:order val="28"/>
          <c:spPr>
            <a:ln w="3175">
              <a:solidFill>
                <a:srgbClr val="000000"/>
              </a:solidFill>
              <a:prstDash val="solid"/>
            </a:ln>
          </c:spPr>
          <c:marker>
            <c:symbol val="none"/>
          </c:marker>
          <c:xVal>
            <c:numLit>
              <c:formatCode>General</c:formatCode>
              <c:ptCount val="2"/>
              <c:pt idx="0">
                <c:v>9.1172911549090987</c:v>
              </c:pt>
              <c:pt idx="1">
                <c:v>9.1514759653714375</c:v>
              </c:pt>
            </c:numLit>
          </c:xVal>
          <c:yVal>
            <c:numLit>
              <c:formatCode>General</c:formatCode>
              <c:ptCount val="2"/>
              <c:pt idx="0">
                <c:v>3.1217582704093288E-2</c:v>
              </c:pt>
              <c:pt idx="1">
                <c:v>3.1438030904895289E-2</c:v>
              </c:pt>
            </c:numLit>
          </c:yVal>
          <c:smooth val="0"/>
          <c:extLst>
            <c:ext xmlns:c16="http://schemas.microsoft.com/office/drawing/2014/chart" uri="{C3380CC4-5D6E-409C-BE32-E72D297353CC}">
              <c16:uniqueId val="{00000022-A9DB-44E4-9932-EB31B57AD14C}"/>
            </c:ext>
          </c:extLst>
        </c:ser>
        <c:ser>
          <c:idx val="29"/>
          <c:order val="29"/>
          <c:spPr>
            <a:ln w="3175">
              <a:solidFill>
                <a:srgbClr val="000000"/>
              </a:solidFill>
              <a:prstDash val="solid"/>
            </a:ln>
          </c:spPr>
          <c:marker>
            <c:symbol val="none"/>
          </c:marker>
          <c:xVal>
            <c:numLit>
              <c:formatCode>General</c:formatCode>
              <c:ptCount val="2"/>
              <c:pt idx="0">
                <c:v>8.6097880993478064</c:v>
              </c:pt>
              <c:pt idx="1">
                <c:v>8.6564075893198567</c:v>
              </c:pt>
            </c:numLit>
          </c:xVal>
          <c:yVal>
            <c:numLit>
              <c:formatCode>General</c:formatCode>
              <c:ptCount val="2"/>
              <c:pt idx="0">
                <c:v>3.1253724791923544E-2</c:v>
              </c:pt>
              <c:pt idx="1">
                <c:v>3.169617014014884E-2</c:v>
              </c:pt>
            </c:numLit>
          </c:yVal>
          <c:smooth val="0"/>
          <c:extLst>
            <c:ext xmlns:c16="http://schemas.microsoft.com/office/drawing/2014/chart" uri="{C3380CC4-5D6E-409C-BE32-E72D297353CC}">
              <c16:uniqueId val="{00000023-A9DB-44E4-9932-EB31B57AD14C}"/>
            </c:ext>
          </c:extLst>
        </c:ser>
        <c:ser>
          <c:idx val="30"/>
          <c:order val="30"/>
          <c:spPr>
            <a:ln w="3175">
              <a:solidFill>
                <a:srgbClr val="000000"/>
              </a:solidFill>
              <a:prstDash val="solid"/>
            </a:ln>
          </c:spPr>
          <c:marker>
            <c:symbol val="none"/>
          </c:marker>
          <c:xVal>
            <c:numLit>
              <c:formatCode>General</c:formatCode>
              <c:ptCount val="2"/>
              <c:pt idx="0">
                <c:v>8.0979351556909851</c:v>
              </c:pt>
              <c:pt idx="1">
                <c:v>8.1102766233129344</c:v>
              </c:pt>
            </c:numLit>
          </c:xVal>
          <c:yVal>
            <c:numLit>
              <c:formatCode>General</c:formatCode>
              <c:ptCount val="2"/>
              <c:pt idx="0">
                <c:v>3.127626368973449E-2</c:v>
              </c:pt>
              <c:pt idx="1">
                <c:v>3.1497969340228804E-2</c:v>
              </c:pt>
            </c:numLit>
          </c:yVal>
          <c:smooth val="0"/>
          <c:extLst>
            <c:ext xmlns:c16="http://schemas.microsoft.com/office/drawing/2014/chart" uri="{C3380CC4-5D6E-409C-BE32-E72D297353CC}">
              <c16:uniqueId val="{00000024-A9DB-44E4-9932-EB31B57AD14C}"/>
            </c:ext>
          </c:extLst>
        </c:ser>
        <c:ser>
          <c:idx val="31"/>
          <c:order val="31"/>
          <c:spPr>
            <a:ln w="3175">
              <a:solidFill>
                <a:srgbClr val="000000"/>
              </a:solidFill>
              <a:prstDash val="solid"/>
            </a:ln>
          </c:spPr>
          <c:marker>
            <c:symbol val="none"/>
          </c:marker>
          <c:xVal>
            <c:numLit>
              <c:formatCode>General</c:formatCode>
              <c:ptCount val="2"/>
              <c:pt idx="0">
                <c:v>7.5837590188694071</c:v>
              </c:pt>
              <c:pt idx="1">
                <c:v>7.5864058339638101</c:v>
              </c:pt>
            </c:numLit>
          </c:xVal>
          <c:yVal>
            <c:numLit>
              <c:formatCode>General</c:formatCode>
              <c:ptCount val="2"/>
              <c:pt idx="0">
                <c:v>3.1284928830437236E-2</c:v>
              </c:pt>
              <c:pt idx="1">
                <c:v>3.1728711494598834E-2</c:v>
              </c:pt>
            </c:numLit>
          </c:yVal>
          <c:smooth val="0"/>
          <c:extLst>
            <c:ext xmlns:c16="http://schemas.microsoft.com/office/drawing/2014/chart" uri="{C3380CC4-5D6E-409C-BE32-E72D297353CC}">
              <c16:uniqueId val="{00000025-A9DB-44E4-9932-EB31B57AD14C}"/>
            </c:ext>
          </c:extLst>
        </c:ser>
        <c:ser>
          <c:idx val="32"/>
          <c:order val="32"/>
          <c:spPr>
            <a:ln w="3175">
              <a:solidFill>
                <a:srgbClr val="000000"/>
              </a:solidFill>
              <a:prstDash val="solid"/>
            </a:ln>
          </c:spPr>
          <c:marker>
            <c:symbol val="none"/>
          </c:marker>
          <c:dLbls>
            <c:dLbl>
              <c:idx val="0"/>
              <c:tx>
                <c:rich>
                  <a:bodyPr rot="-54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2600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6-A9DB-44E4-9932-EB31B57AD1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7.5912583283035486</c:v>
              </c:pt>
            </c:numLit>
          </c:xVal>
          <c:yVal>
            <c:numLit>
              <c:formatCode>General</c:formatCode>
              <c:ptCount val="1"/>
              <c:pt idx="0">
                <c:v>3.2542313045561759E-2</c:v>
              </c:pt>
            </c:numLit>
          </c:yVal>
          <c:smooth val="0"/>
          <c:extLst>
            <c:ext xmlns:c16="http://schemas.microsoft.com/office/drawing/2014/chart" uri="{C3380CC4-5D6E-409C-BE32-E72D297353CC}">
              <c16:uniqueId val="{00000027-A9DB-44E4-9932-EB31B57AD14C}"/>
            </c:ext>
          </c:extLst>
        </c:ser>
        <c:ser>
          <c:idx val="33"/>
          <c:order val="33"/>
          <c:spPr>
            <a:ln w="3175">
              <a:solidFill>
                <a:srgbClr val="000000"/>
              </a:solidFill>
              <a:prstDash val="solid"/>
            </a:ln>
          </c:spPr>
          <c:marker>
            <c:symbol val="none"/>
          </c:marker>
          <c:xVal>
            <c:numLit>
              <c:formatCode>General</c:formatCode>
              <c:ptCount val="2"/>
              <c:pt idx="0">
                <c:v>7.069332926750965</c:v>
              </c:pt>
              <c:pt idx="1">
                <c:v>7.0596329180384858</c:v>
              </c:pt>
            </c:numLit>
          </c:xVal>
          <c:yVal>
            <c:numLit>
              <c:formatCode>General</c:formatCode>
              <c:ptCount val="2"/>
              <c:pt idx="0">
                <c:v>3.1279615356557502E-2</c:v>
              </c:pt>
              <c:pt idx="1">
                <c:v>3.1501392828483736E-2</c:v>
              </c:pt>
            </c:numLit>
          </c:yVal>
          <c:smooth val="0"/>
          <c:extLst>
            <c:ext xmlns:c16="http://schemas.microsoft.com/office/drawing/2014/chart" uri="{C3380CC4-5D6E-409C-BE32-E72D297353CC}">
              <c16:uniqueId val="{00000028-A9DB-44E4-9932-EB31B57AD14C}"/>
            </c:ext>
          </c:extLst>
        </c:ser>
        <c:ser>
          <c:idx val="34"/>
          <c:order val="34"/>
          <c:spPr>
            <a:ln w="3175">
              <a:solidFill>
                <a:srgbClr val="000000"/>
              </a:solidFill>
              <a:prstDash val="solid"/>
            </a:ln>
          </c:spPr>
          <c:marker>
            <c:symbol val="none"/>
          </c:marker>
          <c:xVal>
            <c:numLit>
              <c:formatCode>General</c:formatCode>
              <c:ptCount val="2"/>
              <c:pt idx="0">
                <c:v>6.5567351526053601</c:v>
              </c:pt>
              <c:pt idx="1">
                <c:v>6.5153666591455899</c:v>
              </c:pt>
            </c:numLit>
          </c:xVal>
          <c:yVal>
            <c:numLit>
              <c:formatCode>General</c:formatCode>
              <c:ptCount val="2"/>
              <c:pt idx="0">
                <c:v>3.1260387622117129E-2</c:v>
              </c:pt>
              <c:pt idx="1">
                <c:v>3.1703118520207865E-2</c:v>
              </c:pt>
            </c:numLit>
          </c:yVal>
          <c:smooth val="0"/>
          <c:extLst>
            <c:ext xmlns:c16="http://schemas.microsoft.com/office/drawing/2014/chart" uri="{C3380CC4-5D6E-409C-BE32-E72D297353CC}">
              <c16:uniqueId val="{00000029-A9DB-44E4-9932-EB31B57AD14C}"/>
            </c:ext>
          </c:extLst>
        </c:ser>
        <c:ser>
          <c:idx val="35"/>
          <c:order val="35"/>
          <c:spPr>
            <a:ln w="3175">
              <a:solidFill>
                <a:srgbClr val="000000"/>
              </a:solidFill>
              <a:prstDash val="solid"/>
            </a:ln>
          </c:spPr>
          <c:marker>
            <c:symbol val="none"/>
          </c:marker>
          <c:xVal>
            <c:numLit>
              <c:formatCode>General</c:formatCode>
              <c:ptCount val="2"/>
              <c:pt idx="0">
                <c:v>6.048007262567018</c:v>
              </c:pt>
              <c:pt idx="1">
                <c:v>6.0164217039077394</c:v>
              </c:pt>
            </c:numLit>
          </c:xVal>
          <c:yVal>
            <c:numLit>
              <c:formatCode>General</c:formatCode>
              <c:ptCount val="2"/>
              <c:pt idx="0">
                <c:v>3.1227477040677638E-2</c:v>
              </c:pt>
              <c:pt idx="1">
                <c:v>3.1448137262977877E-2</c:v>
              </c:pt>
            </c:numLit>
          </c:yVal>
          <c:smooth val="0"/>
          <c:extLst>
            <c:ext xmlns:c16="http://schemas.microsoft.com/office/drawing/2014/chart" uri="{C3380CC4-5D6E-409C-BE32-E72D297353CC}">
              <c16:uniqueId val="{0000002A-A9DB-44E4-9932-EB31B57AD14C}"/>
            </c:ext>
          </c:extLst>
        </c:ser>
        <c:ser>
          <c:idx val="36"/>
          <c:order val="36"/>
          <c:spPr>
            <a:ln w="3175">
              <a:solidFill>
                <a:srgbClr val="000000"/>
              </a:solidFill>
              <a:prstDash val="solid"/>
            </a:ln>
          </c:spPr>
          <c:marker>
            <c:symbol val="none"/>
          </c:marker>
          <c:xVal>
            <c:numLit>
              <c:formatCode>General</c:formatCode>
              <c:ptCount val="2"/>
              <c:pt idx="0">
                <c:v>5.5451140781737465</c:v>
              </c:pt>
              <c:pt idx="1">
                <c:v>5.4603903958097648</c:v>
              </c:pt>
            </c:numLit>
          </c:xVal>
          <c:yVal>
            <c:numLit>
              <c:formatCode>General</c:formatCode>
              <c:ptCount val="2"/>
              <c:pt idx="0">
                <c:v>3.1181274419367078E-2</c:v>
              </c:pt>
              <c:pt idx="1">
                <c:v>3.1620614751625663E-2</c:v>
              </c:pt>
            </c:numLit>
          </c:yVal>
          <c:smooth val="0"/>
          <c:extLst>
            <c:ext xmlns:c16="http://schemas.microsoft.com/office/drawing/2014/chart" uri="{C3380CC4-5D6E-409C-BE32-E72D297353CC}">
              <c16:uniqueId val="{0000002B-A9DB-44E4-9932-EB31B57AD14C}"/>
            </c:ext>
          </c:extLst>
        </c:ser>
        <c:ser>
          <c:idx val="37"/>
          <c:order val="37"/>
          <c:spPr>
            <a:ln w="3175">
              <a:solidFill>
                <a:srgbClr val="000000"/>
              </a:solidFill>
              <a:prstDash val="solid"/>
            </a:ln>
          </c:spPr>
          <c:marker>
            <c:symbol val="none"/>
          </c:marker>
          <c:dLbls>
            <c:dLbl>
              <c:idx val="0"/>
              <c:tx>
                <c:rich>
                  <a:bodyPr rot="49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2400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C-A9DB-44E4-9932-EB31B57AD1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5.3050636448091302</c:v>
              </c:pt>
            </c:numLit>
          </c:xVal>
          <c:yVal>
            <c:numLit>
              <c:formatCode>General</c:formatCode>
              <c:ptCount val="1"/>
              <c:pt idx="0">
                <c:v>3.2426072027433077E-2</c:v>
              </c:pt>
            </c:numLit>
          </c:yVal>
          <c:smooth val="0"/>
          <c:extLst>
            <c:ext xmlns:c16="http://schemas.microsoft.com/office/drawing/2014/chart" uri="{C3380CC4-5D6E-409C-BE32-E72D297353CC}">
              <c16:uniqueId val="{0000002D-A9DB-44E4-9932-EB31B57AD14C}"/>
            </c:ext>
          </c:extLst>
        </c:ser>
        <c:ser>
          <c:idx val="38"/>
          <c:order val="38"/>
          <c:spPr>
            <a:ln w="3175">
              <a:solidFill>
                <a:srgbClr val="000000"/>
              </a:solidFill>
              <a:prstDash val="solid"/>
            </a:ln>
          </c:spPr>
          <c:marker>
            <c:symbol val="none"/>
          </c:marker>
          <c:xVal>
            <c:numLit>
              <c:formatCode>General</c:formatCode>
              <c:ptCount val="2"/>
              <c:pt idx="0">
                <c:v>5.0499071430589693</c:v>
              </c:pt>
              <c:pt idx="1">
                <c:v>4.9969337246959471</c:v>
              </c:pt>
            </c:numLit>
          </c:xVal>
          <c:yVal>
            <c:numLit>
              <c:formatCode>General</c:formatCode>
              <c:ptCount val="2"/>
              <c:pt idx="0">
                <c:v>3.1122317270830653E-2</c:v>
              </c:pt>
              <c:pt idx="1">
                <c:v>3.1340724069491309E-2</c:v>
              </c:pt>
            </c:numLit>
          </c:yVal>
          <c:smooth val="0"/>
          <c:extLst>
            <c:ext xmlns:c16="http://schemas.microsoft.com/office/drawing/2014/chart" uri="{C3380CC4-5D6E-409C-BE32-E72D297353CC}">
              <c16:uniqueId val="{0000002E-A9DB-44E4-9932-EB31B57AD14C}"/>
            </c:ext>
          </c:extLst>
        </c:ser>
        <c:ser>
          <c:idx val="39"/>
          <c:order val="39"/>
          <c:spPr>
            <a:ln w="3175">
              <a:solidFill>
                <a:srgbClr val="000000"/>
              </a:solidFill>
              <a:prstDash val="solid"/>
            </a:ln>
          </c:spPr>
          <c:marker>
            <c:symbol val="none"/>
          </c:marker>
          <c:xVal>
            <c:numLit>
              <c:formatCode>General</c:formatCode>
              <c:ptCount val="2"/>
              <c:pt idx="0">
                <c:v>4.5640932094034081</c:v>
              </c:pt>
              <c:pt idx="1">
                <c:v>4.437325775520697</c:v>
              </c:pt>
            </c:numLit>
          </c:xVal>
          <c:yVal>
            <c:numLit>
              <c:formatCode>General</c:formatCode>
              <c:ptCount val="2"/>
              <c:pt idx="0">
                <c:v>3.1051272895714872E-2</c:v>
              </c:pt>
              <c:pt idx="1">
                <c:v>3.1485041734102652E-2</c:v>
              </c:pt>
            </c:numLit>
          </c:yVal>
          <c:smooth val="0"/>
          <c:extLst>
            <c:ext xmlns:c16="http://schemas.microsoft.com/office/drawing/2014/chart" uri="{C3380CC4-5D6E-409C-BE32-E72D297353CC}">
              <c16:uniqueId val="{0000002F-A9DB-44E4-9932-EB31B57AD14C}"/>
            </c:ext>
          </c:extLst>
        </c:ser>
        <c:ser>
          <c:idx val="40"/>
          <c:order val="40"/>
          <c:spPr>
            <a:ln w="3175">
              <a:solidFill>
                <a:srgbClr val="000000"/>
              </a:solidFill>
              <a:prstDash val="solid"/>
            </a:ln>
          </c:spPr>
          <c:marker>
            <c:symbol val="none"/>
          </c:marker>
          <c:xVal>
            <c:numLit>
              <c:formatCode>General</c:formatCode>
              <c:ptCount val="2"/>
              <c:pt idx="0">
                <c:v>4.0892088691906565</c:v>
              </c:pt>
              <c:pt idx="1">
                <c:v>4.0156490592447414</c:v>
              </c:pt>
            </c:numLit>
          </c:xVal>
          <c:yVal>
            <c:numLit>
              <c:formatCode>General</c:formatCode>
              <c:ptCount val="2"/>
              <c:pt idx="0">
                <c:v>3.0968918248820355E-2</c:v>
              </c:pt>
              <c:pt idx="1">
                <c:v>3.118403792558079E-2</c:v>
              </c:pt>
            </c:numLit>
          </c:yVal>
          <c:smooth val="0"/>
          <c:extLst>
            <c:ext xmlns:c16="http://schemas.microsoft.com/office/drawing/2014/chart" uri="{C3380CC4-5D6E-409C-BE32-E72D297353CC}">
              <c16:uniqueId val="{00000030-A9DB-44E4-9932-EB31B57AD14C}"/>
            </c:ext>
          </c:extLst>
        </c:ser>
        <c:ser>
          <c:idx val="41"/>
          <c:order val="41"/>
          <c:spPr>
            <a:ln w="3175">
              <a:solidFill>
                <a:srgbClr val="000000"/>
              </a:solidFill>
              <a:prstDash val="solid"/>
            </a:ln>
          </c:spPr>
          <c:marker>
            <c:symbol val="none"/>
          </c:marker>
          <c:xVal>
            <c:numLit>
              <c:formatCode>General</c:formatCode>
              <c:ptCount val="2"/>
              <c:pt idx="0">
                <c:v>3.6266020041010818</c:v>
              </c:pt>
              <c:pt idx="1">
                <c:v>3.4596563757054137</c:v>
              </c:pt>
            </c:numLit>
          </c:xVal>
          <c:yVal>
            <c:numLit>
              <c:formatCode>General</c:formatCode>
              <c:ptCount val="2"/>
              <c:pt idx="0">
                <c:v>3.0876117725569325E-2</c:v>
              </c:pt>
              <c:pt idx="1">
                <c:v>3.1302379913808007E-2</c:v>
              </c:pt>
            </c:numLit>
          </c:yVal>
          <c:smooth val="0"/>
          <c:extLst>
            <c:ext xmlns:c16="http://schemas.microsoft.com/office/drawing/2014/chart" uri="{C3380CC4-5D6E-409C-BE32-E72D297353CC}">
              <c16:uniqueId val="{00000031-A9DB-44E4-9932-EB31B57AD14C}"/>
            </c:ext>
          </c:extLst>
        </c:ser>
        <c:ser>
          <c:idx val="42"/>
          <c:order val="42"/>
          <c:spPr>
            <a:ln w="3175">
              <a:solidFill>
                <a:srgbClr val="000000"/>
              </a:solidFill>
              <a:prstDash val="solid"/>
            </a:ln>
          </c:spPr>
          <c:marker>
            <c:symbol val="none"/>
          </c:marker>
          <c:dLbls>
            <c:dLbl>
              <c:idx val="0"/>
              <c:tx>
                <c:rich>
                  <a:bodyPr rot="44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2200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2-A9DB-44E4-9932-EB31B57AD1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3.1535893903133561</c:v>
              </c:pt>
            </c:numLit>
          </c:xVal>
          <c:yVal>
            <c:numLit>
              <c:formatCode>General</c:formatCode>
              <c:ptCount val="1"/>
              <c:pt idx="0">
                <c:v>3.2083860592245599E-2</c:v>
              </c:pt>
            </c:numLit>
          </c:yVal>
          <c:smooth val="0"/>
          <c:extLst>
            <c:ext xmlns:c16="http://schemas.microsoft.com/office/drawing/2014/chart" uri="{C3380CC4-5D6E-409C-BE32-E72D297353CC}">
              <c16:uniqueId val="{00000033-A9DB-44E4-9932-EB31B57AD14C}"/>
            </c:ext>
          </c:extLst>
        </c:ser>
        <c:ser>
          <c:idx val="43"/>
          <c:order val="43"/>
          <c:spPr>
            <a:ln w="3175">
              <a:solidFill>
                <a:srgbClr val="000000"/>
              </a:solidFill>
              <a:prstDash val="solid"/>
            </a:ln>
          </c:spPr>
          <c:marker>
            <c:symbol val="none"/>
          </c:marker>
          <c:xVal>
            <c:numLit>
              <c:formatCode>General</c:formatCode>
              <c:ptCount val="2"/>
              <c:pt idx="0">
                <c:v>3.1774202657841126</c:v>
              </c:pt>
              <c:pt idx="1">
                <c:v>3.0843221286223432</c:v>
              </c:pt>
            </c:numLit>
          </c:xVal>
          <c:yVal>
            <c:numLit>
              <c:formatCode>General</c:formatCode>
              <c:ptCount val="2"/>
              <c:pt idx="0">
                <c:v>3.0773800028426088E-2</c:v>
              </c:pt>
              <c:pt idx="1">
                <c:v>3.0984738600463791E-2</c:v>
              </c:pt>
            </c:numLit>
          </c:yVal>
          <c:smooth val="0"/>
          <c:extLst>
            <c:ext xmlns:c16="http://schemas.microsoft.com/office/drawing/2014/chart" uri="{C3380CC4-5D6E-409C-BE32-E72D297353CC}">
              <c16:uniqueId val="{00000034-A9DB-44E4-9932-EB31B57AD14C}"/>
            </c:ext>
          </c:extLst>
        </c:ser>
        <c:ser>
          <c:idx val="44"/>
          <c:order val="44"/>
          <c:spPr>
            <a:ln w="3175">
              <a:solidFill>
                <a:srgbClr val="000000"/>
              </a:solidFill>
              <a:prstDash val="solid"/>
            </a:ln>
          </c:spPr>
          <c:marker>
            <c:symbol val="none"/>
          </c:marker>
          <c:xVal>
            <c:numLit>
              <c:formatCode>General</c:formatCode>
              <c:ptCount val="2"/>
              <c:pt idx="0">
                <c:v>2.7426063708388666</c:v>
              </c:pt>
              <c:pt idx="1">
                <c:v>2.5377752153033892</c:v>
              </c:pt>
            </c:numLit>
          </c:xVal>
          <c:yVal>
            <c:numLit>
              <c:formatCode>General</c:formatCode>
              <c:ptCount val="2"/>
              <c:pt idx="0">
                <c:v>3.0662935204324095E-2</c:v>
              </c:pt>
              <c:pt idx="1">
                <c:v>3.1080060998795126E-2</c:v>
              </c:pt>
            </c:numLit>
          </c:yVal>
          <c:smooth val="0"/>
          <c:extLst>
            <c:ext xmlns:c16="http://schemas.microsoft.com/office/drawing/2014/chart" uri="{C3380CC4-5D6E-409C-BE32-E72D297353CC}">
              <c16:uniqueId val="{00000035-A9DB-44E4-9932-EB31B57AD14C}"/>
            </c:ext>
          </c:extLst>
        </c:ser>
        <c:ser>
          <c:idx val="45"/>
          <c:order val="45"/>
          <c:spPr>
            <a:ln w="3175">
              <a:solidFill>
                <a:srgbClr val="000000"/>
              </a:solidFill>
              <a:prstDash val="solid"/>
            </a:ln>
          </c:spPr>
          <c:marker>
            <c:symbol val="none"/>
          </c:marker>
          <c:xVal>
            <c:numLit>
              <c:formatCode>General</c:formatCode>
              <c:ptCount val="2"/>
              <c:pt idx="0">
                <c:v>2.3228996376269366</c:v>
              </c:pt>
              <c:pt idx="1">
                <c:v>2.2114903441475136</c:v>
              </c:pt>
            </c:numLit>
          </c:xVal>
          <c:yVal>
            <c:numLit>
              <c:formatCode>General</c:formatCode>
              <c:ptCount val="2"/>
              <c:pt idx="0">
                <c:v>3.0544512802476664E-2</c:v>
              </c:pt>
              <c:pt idx="1">
                <c:v>3.0750538076815451E-2</c:v>
              </c:pt>
            </c:numLit>
          </c:yVal>
          <c:smooth val="0"/>
          <c:extLst>
            <c:ext xmlns:c16="http://schemas.microsoft.com/office/drawing/2014/chart" uri="{C3380CC4-5D6E-409C-BE32-E72D297353CC}">
              <c16:uniqueId val="{00000036-A9DB-44E4-9932-EB31B57AD14C}"/>
            </c:ext>
          </c:extLst>
        </c:ser>
        <c:ser>
          <c:idx val="46"/>
          <c:order val="46"/>
          <c:spPr>
            <a:ln w="3175">
              <a:solidFill>
                <a:srgbClr val="000000"/>
              </a:solidFill>
              <a:prstDash val="solid"/>
            </a:ln>
          </c:spPr>
          <c:marker>
            <c:symbol val="none"/>
          </c:marker>
          <c:xVal>
            <c:numLit>
              <c:formatCode>General</c:formatCode>
              <c:ptCount val="2"/>
              <c:pt idx="0">
                <c:v>1.9188429271939578</c:v>
              </c:pt>
              <c:pt idx="1">
                <c:v>1.6787076240736989</c:v>
              </c:pt>
            </c:numLit>
          </c:xVal>
          <c:yVal>
            <c:numLit>
              <c:formatCode>General</c:formatCode>
              <c:ptCount val="2"/>
              <c:pt idx="0">
                <c:v>3.04195219111833E-2</c:v>
              </c:pt>
              <c:pt idx="1">
                <c:v>3.0826215707376869E-2</c:v>
              </c:pt>
            </c:numLit>
          </c:yVal>
          <c:smooth val="0"/>
          <c:extLst>
            <c:ext xmlns:c16="http://schemas.microsoft.com/office/drawing/2014/chart" uri="{C3380CC4-5D6E-409C-BE32-E72D297353CC}">
              <c16:uniqueId val="{00000037-A9DB-44E4-9932-EB31B57AD14C}"/>
            </c:ext>
          </c:extLst>
        </c:ser>
        <c:ser>
          <c:idx val="47"/>
          <c:order val="47"/>
          <c:spPr>
            <a:ln w="3175">
              <a:solidFill>
                <a:srgbClr val="000000"/>
              </a:solidFill>
              <a:prstDash val="solid"/>
            </a:ln>
          </c:spPr>
          <c:marker>
            <c:symbol val="none"/>
          </c:marker>
          <c:dLbls>
            <c:dLbl>
              <c:idx val="0"/>
              <c:tx>
                <c:rich>
                  <a:bodyPr rot="39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8-A9DB-44E4-9932-EB31B57AD1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1.2384595683532245</c:v>
              </c:pt>
            </c:numLit>
          </c:xVal>
          <c:yVal>
            <c:numLit>
              <c:formatCode>General</c:formatCode>
              <c:ptCount val="1"/>
              <c:pt idx="0">
                <c:v>3.1571821000398417E-2</c:v>
              </c:pt>
            </c:numLit>
          </c:yVal>
          <c:smooth val="0"/>
          <c:extLst>
            <c:ext xmlns:c16="http://schemas.microsoft.com/office/drawing/2014/chart" uri="{C3380CC4-5D6E-409C-BE32-E72D297353CC}">
              <c16:uniqueId val="{00000039-A9DB-44E4-9932-EB31B57AD14C}"/>
            </c:ext>
          </c:extLst>
        </c:ser>
        <c:ser>
          <c:idx val="48"/>
          <c:order val="48"/>
          <c:spPr>
            <a:ln w="3175">
              <a:solidFill>
                <a:srgbClr val="000000"/>
              </a:solidFill>
              <a:prstDash val="solid"/>
            </a:ln>
          </c:spPr>
          <c:marker>
            <c:symbol val="none"/>
          </c:marker>
          <c:xVal>
            <c:numLit>
              <c:formatCode>General</c:formatCode>
              <c:ptCount val="2"/>
              <c:pt idx="0">
                <c:v>1.5307939862731423</c:v>
              </c:pt>
              <c:pt idx="1">
                <c:v>1.4024110002647094</c:v>
              </c:pt>
            </c:numLit>
          </c:xVal>
          <c:yVal>
            <c:numLit>
              <c:formatCode>General</c:formatCode>
              <c:ptCount val="2"/>
              <c:pt idx="0">
                <c:v>3.0288933617716181E-2</c:v>
              </c:pt>
              <c:pt idx="1">
                <c:v>3.0489482195238671E-2</c:v>
              </c:pt>
            </c:numLit>
          </c:yVal>
          <c:smooth val="0"/>
          <c:extLst>
            <c:ext xmlns:c16="http://schemas.microsoft.com/office/drawing/2014/chart" uri="{C3380CC4-5D6E-409C-BE32-E72D297353CC}">
              <c16:uniqueId val="{0000003A-A9DB-44E4-9932-EB31B57AD14C}"/>
            </c:ext>
          </c:extLst>
        </c:ser>
        <c:ser>
          <c:idx val="49"/>
          <c:order val="49"/>
          <c:spPr>
            <a:ln w="3175">
              <a:solidFill>
                <a:srgbClr val="000000"/>
              </a:solidFill>
              <a:prstDash val="solid"/>
            </a:ln>
          </c:spPr>
          <c:marker>
            <c:symbol val="none"/>
          </c:marker>
          <c:xVal>
            <c:numLit>
              <c:formatCode>General</c:formatCode>
              <c:ptCount val="2"/>
              <c:pt idx="0">
                <c:v>1.1589401224706948</c:v>
              </c:pt>
              <c:pt idx="1">
                <c:v>0.88623755629086753</c:v>
              </c:pt>
            </c:numLit>
          </c:xVal>
          <c:yVal>
            <c:numLit>
              <c:formatCode>General</c:formatCode>
              <c:ptCount val="2"/>
              <c:pt idx="0">
                <c:v>3.0153686220164965E-2</c:v>
              </c:pt>
              <c:pt idx="1">
                <c:v>3.0548987058172033E-2</c:v>
              </c:pt>
            </c:numLit>
          </c:yVal>
          <c:smooth val="0"/>
          <c:extLst>
            <c:ext xmlns:c16="http://schemas.microsoft.com/office/drawing/2014/chart" uri="{C3380CC4-5D6E-409C-BE32-E72D297353CC}">
              <c16:uniqueId val="{0000003B-A9DB-44E4-9932-EB31B57AD14C}"/>
            </c:ext>
          </c:extLst>
        </c:ser>
        <c:ser>
          <c:idx val="50"/>
          <c:order val="50"/>
          <c:spPr>
            <a:ln w="3175">
              <a:solidFill>
                <a:srgbClr val="000000"/>
              </a:solidFill>
              <a:prstDash val="solid"/>
            </a:ln>
          </c:spPr>
          <c:marker>
            <c:symbol val="none"/>
          </c:marker>
          <c:xVal>
            <c:numLit>
              <c:formatCode>General</c:formatCode>
              <c:ptCount val="2"/>
              <c:pt idx="0">
                <c:v>0.80331515702341572</c:v>
              </c:pt>
              <c:pt idx="1">
                <c:v>0.65934333895963149</c:v>
              </c:pt>
            </c:numLit>
          </c:xVal>
          <c:yVal>
            <c:numLit>
              <c:formatCode>General</c:formatCode>
              <c:ptCount val="2"/>
              <c:pt idx="0">
                <c:v>3.0014673322626941E-2</c:v>
              </c:pt>
              <c:pt idx="1">
                <c:v>3.0209344893826089E-2</c:v>
              </c:pt>
            </c:numLit>
          </c:yVal>
          <c:smooth val="0"/>
          <c:extLst>
            <c:ext xmlns:c16="http://schemas.microsoft.com/office/drawing/2014/chart" uri="{C3380CC4-5D6E-409C-BE32-E72D297353CC}">
              <c16:uniqueId val="{0000003C-A9DB-44E4-9932-EB31B57AD14C}"/>
            </c:ext>
          </c:extLst>
        </c:ser>
        <c:ser>
          <c:idx val="51"/>
          <c:order val="51"/>
          <c:spPr>
            <a:ln w="3175">
              <a:solidFill>
                <a:srgbClr val="000000"/>
              </a:solidFill>
              <a:prstDash val="solid"/>
            </a:ln>
          </c:spPr>
          <c:marker>
            <c:symbol val="none"/>
          </c:marker>
          <c:xVal>
            <c:numLit>
              <c:formatCode>General</c:formatCode>
              <c:ptCount val="2"/>
              <c:pt idx="0">
                <c:v>0.4638176802814884</c:v>
              </c:pt>
              <c:pt idx="1">
                <c:v>0.1613241522935524</c:v>
              </c:pt>
            </c:numLit>
          </c:xVal>
          <c:yVal>
            <c:numLit>
              <c:formatCode>General</c:formatCode>
              <c:ptCount val="2"/>
              <c:pt idx="0">
                <c:v>2.9872734777880133E-2</c:v>
              </c:pt>
              <c:pt idx="1">
                <c:v>3.0255994839789281E-2</c:v>
              </c:pt>
            </c:numLit>
          </c:yVal>
          <c:smooth val="0"/>
          <c:extLst>
            <c:ext xmlns:c16="http://schemas.microsoft.com/office/drawing/2014/chart" uri="{C3380CC4-5D6E-409C-BE32-E72D297353CC}">
              <c16:uniqueId val="{0000003D-A9DB-44E4-9932-EB31B57AD14C}"/>
            </c:ext>
          </c:extLst>
        </c:ser>
        <c:ser>
          <c:idx val="52"/>
          <c:order val="52"/>
          <c:spPr>
            <a:ln w="3175">
              <a:solidFill>
                <a:srgbClr val="000000"/>
              </a:solidFill>
              <a:prstDash val="solid"/>
            </a:ln>
          </c:spPr>
          <c:marker>
            <c:symbol val="none"/>
          </c:marker>
          <c:dLbls>
            <c:dLbl>
              <c:idx val="0"/>
              <c:tx>
                <c:rich>
                  <a:bodyPr rot="36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1800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E-A9DB-44E4-9932-EB31B57AD1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-0.39324731568433041</c:v>
              </c:pt>
            </c:numLit>
          </c:xVal>
          <c:yVal>
            <c:numLit>
              <c:formatCode>General</c:formatCode>
              <c:ptCount val="1"/>
              <c:pt idx="0">
                <c:v>3.0958638286622722E-2</c:v>
              </c:pt>
            </c:numLit>
          </c:yVal>
          <c:smooth val="0"/>
          <c:extLst>
            <c:ext xmlns:c16="http://schemas.microsoft.com/office/drawing/2014/chart" uri="{C3380CC4-5D6E-409C-BE32-E72D297353CC}">
              <c16:uniqueId val="{0000003F-A9DB-44E4-9932-EB31B57AD14C}"/>
            </c:ext>
          </c:extLst>
        </c:ser>
        <c:ser>
          <c:idx val="53"/>
          <c:order val="53"/>
          <c:spPr>
            <a:ln w="3175">
              <a:solidFill>
                <a:srgbClr val="000000"/>
              </a:solidFill>
              <a:prstDash val="solid"/>
            </a:ln>
          </c:spPr>
          <c:marker>
            <c:symbol val="none"/>
          </c:marker>
          <c:xVal>
            <c:numLit>
              <c:formatCode>General</c:formatCode>
              <c:ptCount val="2"/>
              <c:pt idx="0">
                <c:v>0.14022975872621024</c:v>
              </c:pt>
              <c:pt idx="1">
                <c:v>-1.7951032158228471E-2</c:v>
              </c:pt>
            </c:numLit>
          </c:xVal>
          <c:yVal>
            <c:numLit>
              <c:formatCode>General</c:formatCode>
              <c:ptCount val="2"/>
              <c:pt idx="0">
                <c:v>2.9728650311281322E-2</c:v>
              </c:pt>
              <c:pt idx="1">
                <c:v>2.9917192817951636E-2</c:v>
              </c:pt>
            </c:numLit>
          </c:yVal>
          <c:smooth val="0"/>
          <c:extLst>
            <c:ext xmlns:c16="http://schemas.microsoft.com/office/drawing/2014/chart" uri="{C3380CC4-5D6E-409C-BE32-E72D297353CC}">
              <c16:uniqueId val="{00000040-A9DB-44E4-9932-EB31B57AD14C}"/>
            </c:ext>
          </c:extLst>
        </c:ser>
        <c:ser>
          <c:idx val="54"/>
          <c:order val="54"/>
          <c:spPr>
            <a:ln w="3175">
              <a:solidFill>
                <a:srgbClr val="000000"/>
              </a:solidFill>
              <a:prstDash val="solid"/>
            </a:ln>
          </c:spPr>
          <c:marker>
            <c:symbol val="none"/>
          </c:marker>
          <c:xVal>
            <c:numLit>
              <c:formatCode>General</c:formatCode>
              <c:ptCount val="2"/>
              <c:pt idx="0">
                <c:v>-0.16776460974090424</c:v>
              </c:pt>
              <c:pt idx="1">
                <c:v>-0.49732595015837133</c:v>
              </c:pt>
            </c:numLit>
          </c:xVal>
          <c:yVal>
            <c:numLit>
              <c:formatCode>General</c:formatCode>
              <c:ptCount val="2"/>
              <c:pt idx="0">
                <c:v>2.95831355675608E-2</c:v>
              </c:pt>
              <c:pt idx="1">
                <c:v>2.9953984234741979E-2</c:v>
              </c:pt>
            </c:numLit>
          </c:yVal>
          <c:smooth val="0"/>
          <c:extLst>
            <c:ext xmlns:c16="http://schemas.microsoft.com/office/drawing/2014/chart" uri="{C3380CC4-5D6E-409C-BE32-E72D297353CC}">
              <c16:uniqueId val="{00000041-A9DB-44E4-9932-EB31B57AD14C}"/>
            </c:ext>
          </c:extLst>
        </c:ser>
        <c:ser>
          <c:idx val="55"/>
          <c:order val="55"/>
          <c:spPr>
            <a:ln w="3175">
              <a:solidFill>
                <a:srgbClr val="000000"/>
              </a:solidFill>
              <a:prstDash val="solid"/>
            </a:ln>
          </c:spPr>
          <c:marker>
            <c:symbol val="none"/>
          </c:marker>
          <c:xVal>
            <c:numLit>
              <c:formatCode>General</c:formatCode>
              <c:ptCount val="2"/>
              <c:pt idx="0">
                <c:v>-0.46056184007219381</c:v>
              </c:pt>
              <c:pt idx="1">
                <c:v>-0.63161673664516982</c:v>
              </c:pt>
            </c:numLit>
          </c:xVal>
          <c:yVal>
            <c:numLit>
              <c:formatCode>General</c:formatCode>
              <c:ptCount val="2"/>
              <c:pt idx="0">
                <c:v>2.9436840266009144E-2</c:v>
              </c:pt>
              <c:pt idx="1">
                <c:v>2.9619129700280768E-2</c:v>
              </c:pt>
            </c:numLit>
          </c:yVal>
          <c:smooth val="0"/>
          <c:extLst>
            <c:ext xmlns:c16="http://schemas.microsoft.com/office/drawing/2014/chart" uri="{C3380CC4-5D6E-409C-BE32-E72D297353CC}">
              <c16:uniqueId val="{00000042-A9DB-44E4-9932-EB31B57AD14C}"/>
            </c:ext>
          </c:extLst>
        </c:ser>
        <c:ser>
          <c:idx val="56"/>
          <c:order val="56"/>
          <c:spPr>
            <a:ln w="3175">
              <a:solidFill>
                <a:srgbClr val="000000"/>
              </a:solidFill>
              <a:prstDash val="solid"/>
            </a:ln>
          </c:spPr>
          <c:marker>
            <c:symbol val="none"/>
          </c:marker>
          <c:xVal>
            <c:numLit>
              <c:formatCode>General</c:formatCode>
              <c:ptCount val="2"/>
              <c:pt idx="0">
                <c:v>-0.73862230174342836</c:v>
              </c:pt>
              <c:pt idx="1">
                <c:v>-1.0926489718181465</c:v>
              </c:pt>
            </c:numLit>
          </c:xVal>
          <c:yVal>
            <c:numLit>
              <c:formatCode>General</c:formatCode>
              <c:ptCount val="2"/>
              <c:pt idx="0">
                <c:v>2.9290348124299693E-2</c:v>
              </c:pt>
              <c:pt idx="1">
                <c:v>2.9648648758198254E-2</c:v>
              </c:pt>
            </c:numLit>
          </c:yVal>
          <c:smooth val="0"/>
          <c:extLst>
            <c:ext xmlns:c16="http://schemas.microsoft.com/office/drawing/2014/chart" uri="{C3380CC4-5D6E-409C-BE32-E72D297353CC}">
              <c16:uniqueId val="{00000043-A9DB-44E4-9932-EB31B57AD14C}"/>
            </c:ext>
          </c:extLst>
        </c:ser>
        <c:ser>
          <c:idx val="57"/>
          <c:order val="57"/>
          <c:spPr>
            <a:ln w="3175">
              <a:solidFill>
                <a:srgbClr val="000000"/>
              </a:solidFill>
              <a:prstDash val="solid"/>
            </a:ln>
          </c:spPr>
          <c:marker>
            <c:symbol val="none"/>
          </c:marker>
          <c:dLbls>
            <c:dLbl>
              <c:idx val="0"/>
              <c:tx>
                <c:rich>
                  <a:bodyPr rot="32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1600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4-A9DB-44E4-9932-EB31B57AD1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-1.74169786695513</c:v>
              </c:pt>
            </c:numLit>
          </c:xVal>
          <c:yVal>
            <c:numLit>
              <c:formatCode>General</c:formatCode>
              <c:ptCount val="1"/>
              <c:pt idx="0">
                <c:v>3.0305533253678942E-2</c:v>
              </c:pt>
            </c:numLit>
          </c:yVal>
          <c:smooth val="0"/>
          <c:extLst>
            <c:ext xmlns:c16="http://schemas.microsoft.com/office/drawing/2014/chart" uri="{C3380CC4-5D6E-409C-BE32-E72D297353CC}">
              <c16:uniqueId val="{00000045-A9DB-44E4-9932-EB31B57AD14C}"/>
            </c:ext>
          </c:extLst>
        </c:ser>
        <c:ser>
          <c:idx val="58"/>
          <c:order val="58"/>
          <c:spPr>
            <a:ln w="3175">
              <a:solidFill>
                <a:srgbClr val="000000"/>
              </a:solidFill>
              <a:prstDash val="solid"/>
            </a:ln>
          </c:spPr>
          <c:marker>
            <c:symbol val="none"/>
          </c:marker>
          <c:xVal>
            <c:numLit>
              <c:formatCode>General</c:formatCode>
              <c:ptCount val="2"/>
              <c:pt idx="0">
                <c:v>-1.002455319966258</c:v>
              </c:pt>
              <c:pt idx="1">
                <c:v>-1.1851222196798212</c:v>
              </c:pt>
            </c:numLit>
          </c:xVal>
          <c:yVal>
            <c:numLit>
              <c:formatCode>General</c:formatCode>
              <c:ptCount val="2"/>
              <c:pt idx="0">
                <c:v>2.9144178210618831E-2</c:v>
              </c:pt>
              <c:pt idx="1">
                <c:v>2.932019631513209E-2</c:v>
              </c:pt>
            </c:numLit>
          </c:yVal>
          <c:smooth val="0"/>
          <c:extLst>
            <c:ext xmlns:c16="http://schemas.microsoft.com/office/drawing/2014/chart" uri="{C3380CC4-5D6E-409C-BE32-E72D297353CC}">
              <c16:uniqueId val="{00000046-A9DB-44E4-9932-EB31B57AD14C}"/>
            </c:ext>
          </c:extLst>
        </c:ser>
        <c:ser>
          <c:idx val="59"/>
          <c:order val="59"/>
          <c:spPr>
            <a:ln w="3175">
              <a:solidFill>
                <a:srgbClr val="000000"/>
              </a:solidFill>
              <a:prstDash val="solid"/>
            </a:ln>
          </c:spPr>
          <c:marker>
            <c:symbol val="none"/>
          </c:marker>
          <c:xVal>
            <c:numLit>
              <c:formatCode>General</c:formatCode>
              <c:ptCount val="2"/>
              <c:pt idx="0">
                <c:v>-1.2526057824083219</c:v>
              </c:pt>
              <c:pt idx="1">
                <c:v>-1.6286603159401067</c:v>
              </c:pt>
            </c:numLit>
          </c:xVal>
          <c:yVal>
            <c:numLit>
              <c:formatCode>General</c:formatCode>
              <c:ptCount val="2"/>
              <c:pt idx="0">
                <c:v>2.8998787401373648E-2</c:v>
              </c:pt>
              <c:pt idx="1">
                <c:v>2.9344592575718233E-2</c:v>
              </c:pt>
            </c:numLit>
          </c:yVal>
          <c:smooth val="0"/>
          <c:extLst>
            <c:ext xmlns:c16="http://schemas.microsoft.com/office/drawing/2014/chart" uri="{C3380CC4-5D6E-409C-BE32-E72D297353CC}">
              <c16:uniqueId val="{00000047-A9DB-44E4-9932-EB31B57AD14C}"/>
            </c:ext>
          </c:extLst>
        </c:ser>
        <c:ser>
          <c:idx val="60"/>
          <c:order val="60"/>
          <c:spPr>
            <a:ln w="3175">
              <a:solidFill>
                <a:srgbClr val="000000"/>
              </a:solidFill>
              <a:prstDash val="solid"/>
            </a:ln>
          </c:spPr>
          <c:marker>
            <c:symbol val="none"/>
          </c:marker>
          <c:xVal>
            <c:numLit>
              <c:formatCode>General</c:formatCode>
              <c:ptCount val="2"/>
              <c:pt idx="0">
                <c:v>-1.4896424028400646</c:v>
              </c:pt>
              <c:pt idx="1">
                <c:v>-1.6827490257580664</c:v>
              </c:pt>
            </c:numLit>
          </c:xVal>
          <c:yVal>
            <c:numLit>
              <c:formatCode>General</c:formatCode>
              <c:ptCount val="2"/>
              <c:pt idx="0">
                <c:v>2.8854573651448525E-2</c:v>
              </c:pt>
              <c:pt idx="1">
                <c:v>2.9024385943979564E-2</c:v>
              </c:pt>
            </c:numLit>
          </c:yVal>
          <c:smooth val="0"/>
          <c:extLst>
            <c:ext xmlns:c16="http://schemas.microsoft.com/office/drawing/2014/chart" uri="{C3380CC4-5D6E-409C-BE32-E72D297353CC}">
              <c16:uniqueId val="{00000048-A9DB-44E4-9932-EB31B57AD14C}"/>
            </c:ext>
          </c:extLst>
        </c:ser>
        <c:ser>
          <c:idx val="61"/>
          <c:order val="61"/>
          <c:spPr>
            <a:ln w="3175">
              <a:solidFill>
                <a:srgbClr val="000000"/>
              </a:solidFill>
              <a:prstDash val="solid"/>
            </a:ln>
          </c:spPr>
          <c:marker>
            <c:symbol val="none"/>
          </c:marker>
          <c:xVal>
            <c:numLit>
              <c:formatCode>General</c:formatCode>
              <c:ptCount val="2"/>
              <c:pt idx="0">
                <c:v>-1.7141476200677335</c:v>
              </c:pt>
              <c:pt idx="1">
                <c:v>-2.1099825180706362</c:v>
              </c:pt>
            </c:numLit>
          </c:xVal>
          <c:yVal>
            <c:numLit>
              <c:formatCode>General</c:formatCode>
              <c:ptCount val="2"/>
              <c:pt idx="0">
                <c:v>2.8711879820593082E-2</c:v>
              </c:pt>
              <c:pt idx="1">
                <c:v>2.9045388955761357E-2</c:v>
              </c:pt>
            </c:numLit>
          </c:yVal>
          <c:smooth val="0"/>
          <c:extLst>
            <c:ext xmlns:c16="http://schemas.microsoft.com/office/drawing/2014/chart" uri="{C3380CC4-5D6E-409C-BE32-E72D297353CC}">
              <c16:uniqueId val="{00000049-A9DB-44E4-9932-EB31B57AD14C}"/>
            </c:ext>
          </c:extLst>
        </c:ser>
        <c:ser>
          <c:idx val="62"/>
          <c:order val="62"/>
          <c:spPr>
            <a:ln w="3175">
              <a:solidFill>
                <a:srgbClr val="000000"/>
              </a:solidFill>
              <a:prstDash val="solid"/>
            </a:ln>
          </c:spPr>
          <c:marker>
            <c:symbol val="none"/>
          </c:marker>
          <c:dLbls>
            <c:dLbl>
              <c:idx val="0"/>
              <c:tx>
                <c:rich>
                  <a:bodyPr rot="29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1400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A-A9DB-44E4-9932-EB31B57AD1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-2.8356798310759577</c:v>
              </c:pt>
            </c:numLit>
          </c:xVal>
          <c:yVal>
            <c:numLit>
              <c:formatCode>General</c:formatCode>
              <c:ptCount val="1"/>
              <c:pt idx="0">
                <c:v>2.9656822370236528E-2</c:v>
              </c:pt>
            </c:numLit>
          </c:yVal>
          <c:smooth val="0"/>
          <c:extLst>
            <c:ext xmlns:c16="http://schemas.microsoft.com/office/drawing/2014/chart" uri="{C3380CC4-5D6E-409C-BE32-E72D297353CC}">
              <c16:uniqueId val="{0000004B-A9DB-44E4-9932-EB31B57AD14C}"/>
            </c:ext>
          </c:extLst>
        </c:ser>
        <c:ser>
          <c:idx val="63"/>
          <c:order val="63"/>
          <c:spPr>
            <a:ln w="3175">
              <a:solidFill>
                <a:srgbClr val="000000"/>
              </a:solidFill>
              <a:prstDash val="solid"/>
            </a:ln>
          </c:spPr>
          <c:marker>
            <c:symbol val="none"/>
          </c:marker>
          <c:xVal>
            <c:numLit>
              <c:formatCode>General</c:formatCode>
              <c:ptCount val="2"/>
              <c:pt idx="0">
                <c:v>-1.9267090572547372</c:v>
              </c:pt>
              <c:pt idx="1">
                <c:v>-2.1291813941959106</c:v>
              </c:pt>
            </c:numLit>
          </c:xVal>
          <c:yVal>
            <c:numLit>
              <c:formatCode>General</c:formatCode>
              <c:ptCount val="2"/>
              <c:pt idx="0">
                <c:v>2.8570997838905359E-2</c:v>
              </c:pt>
              <c:pt idx="1">
                <c:v>2.8734733506881903E-2</c:v>
              </c:pt>
            </c:numLit>
          </c:yVal>
          <c:smooth val="0"/>
          <c:extLst>
            <c:ext xmlns:c16="http://schemas.microsoft.com/office/drawing/2014/chart" uri="{C3380CC4-5D6E-409C-BE32-E72D297353CC}">
              <c16:uniqueId val="{0000004C-A9DB-44E4-9932-EB31B57AD14C}"/>
            </c:ext>
          </c:extLst>
        </c:ser>
        <c:ser>
          <c:idx val="64"/>
          <c:order val="64"/>
          <c:spPr>
            <a:ln w="3175">
              <a:solidFill>
                <a:srgbClr val="000000"/>
              </a:solidFill>
              <a:prstDash val="solid"/>
            </a:ln>
          </c:spPr>
          <c:marker>
            <c:symbol val="none"/>
          </c:marker>
          <c:xVal>
            <c:numLit>
              <c:formatCode>General</c:formatCode>
              <c:ptCount val="2"/>
              <c:pt idx="0">
                <c:v>-2.1279124307072412</c:v>
              </c:pt>
              <c:pt idx="1">
                <c:v>-2.5414801063089798</c:v>
              </c:pt>
            </c:numLit>
          </c:xVal>
          <c:yVal>
            <c:numLit>
              <c:formatCode>General</c:formatCode>
              <c:ptCount val="2"/>
              <c:pt idx="0">
                <c:v>2.8432173033455556E-2</c:v>
              </c:pt>
              <c:pt idx="1">
                <c:v>2.8753694734889368E-2</c:v>
              </c:pt>
            </c:numLit>
          </c:yVal>
          <c:smooth val="0"/>
          <c:extLst>
            <c:ext xmlns:c16="http://schemas.microsoft.com/office/drawing/2014/chart" uri="{C3380CC4-5D6E-409C-BE32-E72D297353CC}">
              <c16:uniqueId val="{0000004D-A9DB-44E4-9932-EB31B57AD14C}"/>
            </c:ext>
          </c:extLst>
        </c:ser>
        <c:ser>
          <c:idx val="65"/>
          <c:order val="65"/>
          <c:spPr>
            <a:ln w="3175">
              <a:solidFill>
                <a:srgbClr val="000000"/>
              </a:solidFill>
              <a:prstDash val="solid"/>
            </a:ln>
          </c:spPr>
          <c:marker>
            <c:symbol val="none"/>
          </c:marker>
          <c:xVal>
            <c:numLit>
              <c:formatCode>General</c:formatCode>
              <c:ptCount val="2"/>
              <c:pt idx="0">
                <c:v>-2.3183357754510565</c:v>
              </c:pt>
              <c:pt idx="1">
                <c:v>-2.529200113496437</c:v>
              </c:pt>
            </c:numLit>
          </c:xVal>
          <c:yVal>
            <c:numLit>
              <c:formatCode>General</c:formatCode>
              <c:ptCount val="2"/>
              <c:pt idx="0">
                <c:v>2.8295608474779587E-2</c:v>
              </c:pt>
              <c:pt idx="1">
                <c:v>2.8453442942096292E-2</c:v>
              </c:pt>
            </c:numLit>
          </c:yVal>
          <c:smooth val="0"/>
          <c:extLst>
            <c:ext xmlns:c16="http://schemas.microsoft.com/office/drawing/2014/chart" uri="{C3380CC4-5D6E-409C-BE32-E72D297353CC}">
              <c16:uniqueId val="{0000004E-A9DB-44E4-9932-EB31B57AD14C}"/>
            </c:ext>
          </c:extLst>
        </c:ser>
        <c:ser>
          <c:idx val="66"/>
          <c:order val="66"/>
          <c:spPr>
            <a:ln w="3175">
              <a:solidFill>
                <a:srgbClr val="000000"/>
              </a:solidFill>
              <a:prstDash val="solid"/>
            </a:ln>
          </c:spPr>
          <c:marker>
            <c:symbol val="none"/>
          </c:marker>
          <c:xVal>
            <c:numLit>
              <c:formatCode>General</c:formatCode>
              <c:ptCount val="2"/>
              <c:pt idx="0">
                <c:v>-2.4985448444866902</c:v>
              </c:pt>
              <c:pt idx="1">
                <c:v>-2.9279967663932625</c:v>
              </c:pt>
            </c:numLit>
          </c:xVal>
          <c:yVal>
            <c:numLit>
              <c:formatCode>General</c:formatCode>
              <c:ptCount val="2"/>
              <c:pt idx="0">
                <c:v>2.8161469234973899E-2</c:v>
              </c:pt>
              <c:pt idx="1">
                <c:v>2.8471389345044212E-2</c:v>
              </c:pt>
            </c:numLit>
          </c:yVal>
          <c:smooth val="0"/>
          <c:extLst>
            <c:ext xmlns:c16="http://schemas.microsoft.com/office/drawing/2014/chart" uri="{C3380CC4-5D6E-409C-BE32-E72D297353CC}">
              <c16:uniqueId val="{0000004F-A9DB-44E4-9932-EB31B57AD14C}"/>
            </c:ext>
          </c:extLst>
        </c:ser>
        <c:ser>
          <c:idx val="67"/>
          <c:order val="67"/>
          <c:spPr>
            <a:ln w="3175">
              <a:solidFill>
                <a:srgbClr val="000000"/>
              </a:solidFill>
              <a:prstDash val="solid"/>
            </a:ln>
          </c:spPr>
          <c:marker>
            <c:symbol val="none"/>
          </c:marker>
          <c:dLbls>
            <c:dLbl>
              <c:idx val="0"/>
              <c:tx>
                <c:rich>
                  <a:bodyPr rot="26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1200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0-A9DB-44E4-9932-EB31B57AD1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-3.7153252898886451</c:v>
              </c:pt>
            </c:numLit>
          </c:xVal>
          <c:yVal>
            <c:numLit>
              <c:formatCode>General</c:formatCode>
              <c:ptCount val="1"/>
              <c:pt idx="0">
                <c:v>2.9039576213506446E-2</c:v>
              </c:pt>
            </c:numLit>
          </c:yVal>
          <c:smooth val="0"/>
          <c:extLst>
            <c:ext xmlns:c16="http://schemas.microsoft.com/office/drawing/2014/chart" uri="{C3380CC4-5D6E-409C-BE32-E72D297353CC}">
              <c16:uniqueId val="{00000051-A9DB-44E4-9932-EB31B57AD14C}"/>
            </c:ext>
          </c:extLst>
        </c:ser>
        <c:ser>
          <c:idx val="68"/>
          <c:order val="68"/>
          <c:spPr>
            <a:ln w="3175">
              <a:solidFill>
                <a:srgbClr val="000000"/>
              </a:solidFill>
              <a:prstDash val="solid"/>
            </a:ln>
          </c:spPr>
          <c:marker>
            <c:symbol val="none"/>
          </c:marker>
          <c:xVal>
            <c:numLit>
              <c:formatCode>General</c:formatCode>
              <c:ptCount val="2"/>
              <c:pt idx="0">
                <c:v>-2.669089536724063</c:v>
              </c:pt>
              <c:pt idx="1">
                <c:v>-2.8874700267967222</c:v>
              </c:pt>
            </c:numLit>
          </c:xVal>
          <c:yVal>
            <c:numLit>
              <c:formatCode>General</c:formatCode>
              <c:ptCount val="2"/>
              <c:pt idx="0">
                <c:v>2.8029886477800841E-2</c:v>
              </c:pt>
              <c:pt idx="1">
                <c:v>2.8182026902325148E-2</c:v>
              </c:pt>
            </c:numLit>
          </c:yVal>
          <c:smooth val="0"/>
          <c:extLst>
            <c:ext xmlns:c16="http://schemas.microsoft.com/office/drawing/2014/chart" uri="{C3380CC4-5D6E-409C-BE32-E72D297353CC}">
              <c16:uniqueId val="{00000052-A9DB-44E4-9932-EB31B57AD14C}"/>
            </c:ext>
          </c:extLst>
        </c:ser>
        <c:ser>
          <c:idx val="69"/>
          <c:order val="69"/>
          <c:spPr>
            <a:ln w="3175">
              <a:solidFill>
                <a:srgbClr val="000000"/>
              </a:solidFill>
              <a:prstDash val="solid"/>
            </a:ln>
          </c:spPr>
          <c:marker>
            <c:symbol val="none"/>
          </c:marker>
          <c:xVal>
            <c:numLit>
              <c:formatCode>General</c:formatCode>
              <c:ptCount val="2"/>
              <c:pt idx="0">
                <c:v>-2.8305012128620142</c:v>
              </c:pt>
              <c:pt idx="1">
                <c:v>-3.274179836270386</c:v>
              </c:pt>
            </c:numLit>
          </c:xVal>
          <c:yVal>
            <c:numLit>
              <c:formatCode>General</c:formatCode>
              <c:ptCount val="2"/>
              <c:pt idx="0">
                <c:v>2.7900961325394373E-2</c:v>
              </c:pt>
              <c:pt idx="1">
                <c:v>2.8199716810768417E-2</c:v>
              </c:pt>
            </c:numLit>
          </c:yVal>
          <c:smooth val="0"/>
          <c:extLst>
            <c:ext xmlns:c16="http://schemas.microsoft.com/office/drawing/2014/chart" uri="{C3380CC4-5D6E-409C-BE32-E72D297353CC}">
              <c16:uniqueId val="{00000053-A9DB-44E4-9932-EB31B57AD14C}"/>
            </c:ext>
          </c:extLst>
        </c:ser>
        <c:ser>
          <c:idx val="70"/>
          <c:order val="70"/>
          <c:spPr>
            <a:ln w="3175">
              <a:solidFill>
                <a:srgbClr val="000000"/>
              </a:solidFill>
              <a:prstDash val="solid"/>
            </a:ln>
          </c:spPr>
          <c:marker>
            <c:symbol val="none"/>
          </c:marker>
          <c:xVal>
            <c:numLit>
              <c:formatCode>General</c:formatCode>
              <c:ptCount val="2"/>
              <c:pt idx="0">
                <c:v>-2.9832907668862556</c:v>
              </c:pt>
              <c:pt idx="1">
                <c:v>-3.20840414046239</c:v>
              </c:pt>
            </c:numLit>
          </c:xVal>
          <c:yVal>
            <c:numLit>
              <c:formatCode>General</c:formatCode>
              <c:ptCount val="2"/>
              <c:pt idx="0">
                <c:v>2.777476846598936E-2</c:v>
              </c:pt>
              <c:pt idx="1">
                <c:v>2.7921442075974846E-2</c:v>
              </c:pt>
            </c:numLit>
          </c:yVal>
          <c:smooth val="0"/>
          <c:extLst>
            <c:ext xmlns:c16="http://schemas.microsoft.com/office/drawing/2014/chart" uri="{C3380CC4-5D6E-409C-BE32-E72D297353CC}">
              <c16:uniqueId val="{00000054-A9DB-44E4-9932-EB31B57AD14C}"/>
            </c:ext>
          </c:extLst>
        </c:ser>
        <c:ser>
          <c:idx val="71"/>
          <c:order val="71"/>
          <c:spPr>
            <a:ln w="3175">
              <a:solidFill>
                <a:srgbClr val="000000"/>
              </a:solidFill>
              <a:prstDash val="solid"/>
            </a:ln>
          </c:spPr>
          <c:marker>
            <c:symbol val="none"/>
          </c:marker>
          <c:xVal>
            <c:numLit>
              <c:formatCode>General</c:formatCode>
              <c:ptCount val="2"/>
              <c:pt idx="0">
                <c:v>-3.1279473318097732</c:v>
              </c:pt>
              <c:pt idx="1">
                <c:v>-3.5843736460301914</c:v>
              </c:pt>
            </c:numLit>
          </c:xVal>
          <c:yVal>
            <c:numLit>
              <c:formatCode>General</c:formatCode>
              <c:ptCount val="2"/>
              <c:pt idx="0">
                <c:v>2.765135948293641E-2</c:v>
              </c:pt>
              <c:pt idx="1">
                <c:v>2.7939417746490825E-2</c:v>
              </c:pt>
            </c:numLit>
          </c:yVal>
          <c:smooth val="0"/>
          <c:extLst>
            <c:ext xmlns:c16="http://schemas.microsoft.com/office/drawing/2014/chart" uri="{C3380CC4-5D6E-409C-BE32-E72D297353CC}">
              <c16:uniqueId val="{00000055-A9DB-44E4-9932-EB31B57AD14C}"/>
            </c:ext>
          </c:extLst>
        </c:ser>
        <c:ser>
          <c:idx val="72"/>
          <c:order val="72"/>
          <c:spPr>
            <a:ln w="3175">
              <a:solidFill>
                <a:srgbClr val="000000"/>
              </a:solidFill>
              <a:prstDash val="solid"/>
            </a:ln>
          </c:spPr>
          <c:marker>
            <c:symbol val="none"/>
          </c:marker>
          <c:dLbls>
            <c:dLbl>
              <c:idx val="0"/>
              <c:tx>
                <c:rich>
                  <a:bodyPr rot="24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6-A9DB-44E4-9932-EB31B57AD1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-4.4211552221009596</c:v>
              </c:pt>
            </c:numLit>
          </c:xVal>
          <c:yVal>
            <c:numLit>
              <c:formatCode>General</c:formatCode>
              <c:ptCount val="1"/>
              <c:pt idx="0">
                <c:v>2.8467524563007256E-2</c:v>
              </c:pt>
            </c:numLit>
          </c:yVal>
          <c:smooth val="0"/>
          <c:extLst>
            <c:ext xmlns:c16="http://schemas.microsoft.com/office/drawing/2014/chart" uri="{C3380CC4-5D6E-409C-BE32-E72D297353CC}">
              <c16:uniqueId val="{00000057-A9DB-44E4-9932-EB31B57AD14C}"/>
            </c:ext>
          </c:extLst>
        </c:ser>
        <c:ser>
          <c:idx val="73"/>
          <c:order val="73"/>
          <c:spPr>
            <a:ln w="3175">
              <a:solidFill>
                <a:srgbClr val="000000"/>
              </a:solidFill>
              <a:prstDash val="solid"/>
            </a:ln>
          </c:spPr>
          <c:marker>
            <c:symbol val="none"/>
          </c:marker>
          <c:xVal>
            <c:numLit>
              <c:formatCode>General</c:formatCode>
              <c:ptCount val="2"/>
              <c:pt idx="0">
                <c:v>-3.3947050354255355</c:v>
              </c:pt>
              <c:pt idx="1">
                <c:v>-3.6286344290417976</c:v>
              </c:pt>
            </c:numLit>
          </c:xVal>
          <c:yVal>
            <c:numLit>
              <c:formatCode>General</c:formatCode>
              <c:ptCount val="2"/>
              <c:pt idx="0">
                <c:v>2.741300192776747E-2</c:v>
              </c:pt>
              <c:pt idx="1">
                <c:v>2.7551923397648202E-2</c:v>
              </c:pt>
            </c:numLit>
          </c:yVal>
          <c:smooth val="0"/>
          <c:extLst>
            <c:ext xmlns:c16="http://schemas.microsoft.com/office/drawing/2014/chart" uri="{C3380CC4-5D6E-409C-BE32-E72D297353CC}">
              <c16:uniqueId val="{00000058-A9DB-44E4-9932-EB31B57AD14C}"/>
            </c:ext>
          </c:extLst>
        </c:ser>
        <c:ser>
          <c:idx val="74"/>
          <c:order val="74"/>
          <c:spPr>
            <a:ln w="3175">
              <a:solidFill>
                <a:srgbClr val="000000"/>
              </a:solidFill>
              <a:prstDash val="solid"/>
            </a:ln>
          </c:spPr>
          <c:marker>
            <c:symbol val="none"/>
          </c:marker>
          <c:xVal>
            <c:numLit>
              <c:formatCode>General</c:formatCode>
              <c:ptCount val="2"/>
              <c:pt idx="0">
                <c:v>-3.6342329977636059</c:v>
              </c:pt>
              <c:pt idx="1">
                <c:v>-3.8732951334299695</c:v>
              </c:pt>
            </c:numLit>
          </c:xVal>
          <c:yVal>
            <c:numLit>
              <c:formatCode>General</c:formatCode>
              <c:ptCount val="2"/>
              <c:pt idx="0">
                <c:v>2.7185947823718054E-2</c:v>
              </c:pt>
              <c:pt idx="1">
                <c:v>2.7320003848512013E-2</c:v>
              </c:pt>
            </c:numLit>
          </c:yVal>
          <c:smooth val="0"/>
          <c:extLst>
            <c:ext xmlns:c16="http://schemas.microsoft.com/office/drawing/2014/chart" uri="{C3380CC4-5D6E-409C-BE32-E72D297353CC}">
              <c16:uniqueId val="{00000059-A9DB-44E4-9932-EB31B57AD14C}"/>
            </c:ext>
          </c:extLst>
        </c:ser>
        <c:ser>
          <c:idx val="75"/>
          <c:order val="75"/>
          <c:spPr>
            <a:ln w="3175">
              <a:solidFill>
                <a:srgbClr val="000000"/>
              </a:solidFill>
              <a:prstDash val="solid"/>
            </a:ln>
          </c:spPr>
          <c:marker>
            <c:symbol val="none"/>
          </c:marker>
          <c:xVal>
            <c:numLit>
              <c:formatCode>General</c:formatCode>
              <c:ptCount val="2"/>
              <c:pt idx="0">
                <c:v>-3.8496301535387389</c:v>
              </c:pt>
              <c:pt idx="1">
                <c:v>-4.0933079425431407</c:v>
              </c:pt>
            </c:numLit>
          </c:xVal>
          <c:yVal>
            <c:numLit>
              <c:formatCode>General</c:formatCode>
              <c:ptCount val="2"/>
              <c:pt idx="0">
                <c:v>2.6970052763706429E-2</c:v>
              </c:pt>
              <c:pt idx="1">
                <c:v>2.7099482465785852E-2</c:v>
              </c:pt>
            </c:numLit>
          </c:yVal>
          <c:smooth val="0"/>
          <c:extLst>
            <c:ext xmlns:c16="http://schemas.microsoft.com/office/drawing/2014/chart" uri="{C3380CC4-5D6E-409C-BE32-E72D297353CC}">
              <c16:uniqueId val="{0000005A-A9DB-44E4-9932-EB31B57AD14C}"/>
            </c:ext>
          </c:extLst>
        </c:ser>
        <c:ser>
          <c:idx val="76"/>
          <c:order val="76"/>
          <c:spPr>
            <a:ln w="3175">
              <a:solidFill>
                <a:srgbClr val="000000"/>
              </a:solidFill>
              <a:prstDash val="solid"/>
            </a:ln>
          </c:spPr>
          <c:marker>
            <c:symbol val="none"/>
          </c:marker>
          <c:xVal>
            <c:numLit>
              <c:formatCode>General</c:formatCode>
              <c:ptCount val="2"/>
              <c:pt idx="0">
                <c:v>-4.0436530888624631</c:v>
              </c:pt>
              <c:pt idx="1">
                <c:v>-4.2914885121952313</c:v>
              </c:pt>
            </c:numLit>
          </c:xVal>
          <c:yVal>
            <c:numLit>
              <c:formatCode>General</c:formatCode>
              <c:ptCount val="2"/>
              <c:pt idx="0">
                <c:v>2.6765028589466222E-2</c:v>
              </c:pt>
              <c:pt idx="1">
                <c:v>2.6890064916383356E-2</c:v>
              </c:pt>
            </c:numLit>
          </c:yVal>
          <c:smooth val="0"/>
          <c:extLst>
            <c:ext xmlns:c16="http://schemas.microsoft.com/office/drawing/2014/chart" uri="{C3380CC4-5D6E-409C-BE32-E72D297353CC}">
              <c16:uniqueId val="{0000005B-A9DB-44E4-9932-EB31B57AD14C}"/>
            </c:ext>
          </c:extLst>
        </c:ser>
        <c:ser>
          <c:idx val="77"/>
          <c:order val="77"/>
          <c:spPr>
            <a:ln w="3175">
              <a:solidFill>
                <a:srgbClr val="000000"/>
              </a:solidFill>
              <a:prstDash val="solid"/>
            </a:ln>
          </c:spPr>
          <c:marker>
            <c:symbol val="none"/>
          </c:marker>
          <c:xVal>
            <c:numLit>
              <c:formatCode>General</c:formatCode>
              <c:ptCount val="2"/>
              <c:pt idx="0">
                <c:v>-4.2187412428710447</c:v>
              </c:pt>
              <c:pt idx="1">
                <c:v>-4.7219158675655173</c:v>
              </c:pt>
            </c:numLit>
          </c:xVal>
          <c:yVal>
            <c:numLit>
              <c:formatCode>General</c:formatCode>
              <c:ptCount val="2"/>
              <c:pt idx="0">
                <c:v>2.6570489823461451E-2</c:v>
              </c:pt>
              <c:pt idx="1">
                <c:v>2.6812225101609799E-2</c:v>
              </c:pt>
            </c:numLit>
          </c:yVal>
          <c:smooth val="0"/>
          <c:extLst>
            <c:ext xmlns:c16="http://schemas.microsoft.com/office/drawing/2014/chart" uri="{C3380CC4-5D6E-409C-BE32-E72D297353CC}">
              <c16:uniqueId val="{0000005C-A9DB-44E4-9932-EB31B57AD14C}"/>
            </c:ext>
          </c:extLst>
        </c:ser>
        <c:ser>
          <c:idx val="78"/>
          <c:order val="78"/>
          <c:spPr>
            <a:ln w="3175">
              <a:solidFill>
                <a:srgbClr val="000000"/>
              </a:solidFill>
              <a:prstDash val="solid"/>
            </a:ln>
          </c:spPr>
          <c:marker>
            <c:symbol val="none"/>
          </c:marker>
          <c:dLbls>
            <c:dLbl>
              <c:idx val="0"/>
              <c:tx>
                <c:rich>
                  <a:bodyPr rot="19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D-A9DB-44E4-9932-EB31B57AD1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-5.6444026795053848</c:v>
              </c:pt>
            </c:numLit>
          </c:xVal>
          <c:yVal>
            <c:numLit>
              <c:formatCode>General</c:formatCode>
              <c:ptCount val="1"/>
              <c:pt idx="0">
                <c:v>2.725540644488177E-2</c:v>
              </c:pt>
            </c:numLit>
          </c:yVal>
          <c:smooth val="0"/>
          <c:extLst>
            <c:ext xmlns:c16="http://schemas.microsoft.com/office/drawing/2014/chart" uri="{C3380CC4-5D6E-409C-BE32-E72D297353CC}">
              <c16:uniqueId val="{0000005E-A9DB-44E4-9932-EB31B57AD14C}"/>
            </c:ext>
          </c:extLst>
        </c:ser>
        <c:ser>
          <c:idx val="79"/>
          <c:order val="79"/>
          <c:spPr>
            <a:ln w="3175">
              <a:solidFill>
                <a:srgbClr val="000000"/>
              </a:solidFill>
              <a:prstDash val="solid"/>
            </a:ln>
          </c:spPr>
          <c:marker>
            <c:symbol val="none"/>
          </c:marker>
          <c:xVal>
            <c:numLit>
              <c:formatCode>General</c:formatCode>
              <c:ptCount val="2"/>
              <c:pt idx="0">
                <c:v>-4.3770457171884622</c:v>
              </c:pt>
              <c:pt idx="1">
                <c:v>-4.6320252682710734</c:v>
              </c:pt>
            </c:numLit>
          </c:xVal>
          <c:yVal>
            <c:numLit>
              <c:formatCode>General</c:formatCode>
              <c:ptCount val="2"/>
              <c:pt idx="0">
                <c:v>2.6385989057197627E-2</c:v>
              </c:pt>
              <c:pt idx="1">
                <c:v>2.6502903108423292E-2</c:v>
              </c:pt>
            </c:numLit>
          </c:yVal>
          <c:smooth val="0"/>
          <c:extLst>
            <c:ext xmlns:c16="http://schemas.microsoft.com/office/drawing/2014/chart" uri="{C3380CC4-5D6E-409C-BE32-E72D297353CC}">
              <c16:uniqueId val="{0000005F-A9DB-44E4-9932-EB31B57AD14C}"/>
            </c:ext>
          </c:extLst>
        </c:ser>
        <c:ser>
          <c:idx val="80"/>
          <c:order val="80"/>
          <c:spPr>
            <a:ln w="3175">
              <a:solidFill>
                <a:srgbClr val="000000"/>
              </a:solidFill>
              <a:prstDash val="solid"/>
            </a:ln>
          </c:spPr>
          <c:marker>
            <c:symbol val="none"/>
          </c:marker>
          <c:xVal>
            <c:numLit>
              <c:formatCode>General</c:formatCode>
              <c:ptCount val="2"/>
              <c:pt idx="0">
                <c:v>-4.5204589487479616</c:v>
              </c:pt>
              <c:pt idx="1">
                <c:v>-4.7785116405068475</c:v>
              </c:pt>
            </c:numLit>
          </c:xVal>
          <c:yVal>
            <c:numLit>
              <c:formatCode>General</c:formatCode>
              <c:ptCount val="2"/>
              <c:pt idx="0">
                <c:v>2.6211043462266981E-2</c:v>
              </c:pt>
              <c:pt idx="1">
                <c:v>2.632420867931556E-2</c:v>
              </c:pt>
            </c:numLit>
          </c:yVal>
          <c:smooth val="0"/>
          <c:extLst>
            <c:ext xmlns:c16="http://schemas.microsoft.com/office/drawing/2014/chart" uri="{C3380CC4-5D6E-409C-BE32-E72D297353CC}">
              <c16:uniqueId val="{00000060-A9DB-44E4-9932-EB31B57AD14C}"/>
            </c:ext>
          </c:extLst>
        </c:ser>
        <c:ser>
          <c:idx val="81"/>
          <c:order val="81"/>
          <c:spPr>
            <a:ln w="3175">
              <a:solidFill>
                <a:srgbClr val="000000"/>
              </a:solidFill>
              <a:prstDash val="solid"/>
            </a:ln>
          </c:spPr>
          <c:marker>
            <c:symbol val="none"/>
          </c:marker>
          <c:xVal>
            <c:numLit>
              <c:formatCode>General</c:formatCode>
              <c:ptCount val="2"/>
              <c:pt idx="0">
                <c:v>-4.6506435459878448</c:v>
              </c:pt>
              <c:pt idx="1">
                <c:v>-4.9114859076875854</c:v>
              </c:pt>
            </c:numLit>
          </c:xVal>
          <c:yVal>
            <c:numLit>
              <c:formatCode>General</c:formatCode>
              <c:ptCount val="2"/>
              <c:pt idx="0">
                <c:v>2.6045154305456879E-2</c:v>
              </c:pt>
              <c:pt idx="1">
                <c:v>2.615476475485953E-2</c:v>
              </c:pt>
            </c:numLit>
          </c:yVal>
          <c:smooth val="0"/>
          <c:extLst>
            <c:ext xmlns:c16="http://schemas.microsoft.com/office/drawing/2014/chart" uri="{C3380CC4-5D6E-409C-BE32-E72D297353CC}">
              <c16:uniqueId val="{00000061-A9DB-44E4-9932-EB31B57AD14C}"/>
            </c:ext>
          </c:extLst>
        </c:ser>
        <c:ser>
          <c:idx val="82"/>
          <c:order val="82"/>
          <c:spPr>
            <a:ln w="3175">
              <a:solidFill>
                <a:srgbClr val="000000"/>
              </a:solidFill>
              <a:prstDash val="solid"/>
            </a:ln>
          </c:spPr>
          <c:marker>
            <c:symbol val="none"/>
          </c:marker>
          <c:xVal>
            <c:numLit>
              <c:formatCode>General</c:formatCode>
              <c:ptCount val="2"/>
              <c:pt idx="0">
                <c:v>-4.7690593110363508</c:v>
              </c:pt>
              <c:pt idx="1">
                <c:v>-5.0324391534157025</c:v>
              </c:pt>
            </c:numLit>
          </c:xVal>
          <c:yVal>
            <c:numLit>
              <c:formatCode>General</c:formatCode>
              <c:ptCount val="2"/>
              <c:pt idx="0">
                <c:v>2.5887821037250434E-2</c:v>
              </c:pt>
              <c:pt idx="1">
                <c:v>2.5994060059477228E-2</c:v>
              </c:pt>
            </c:numLit>
          </c:yVal>
          <c:smooth val="0"/>
          <c:extLst>
            <c:ext xmlns:c16="http://schemas.microsoft.com/office/drawing/2014/chart" uri="{C3380CC4-5D6E-409C-BE32-E72D297353CC}">
              <c16:uniqueId val="{00000062-A9DB-44E4-9932-EB31B57AD14C}"/>
            </c:ext>
          </c:extLst>
        </c:ser>
        <c:ser>
          <c:idx val="83"/>
          <c:order val="83"/>
          <c:spPr>
            <a:ln w="3175">
              <a:solidFill>
                <a:srgbClr val="000000"/>
              </a:solidFill>
              <a:prstDash val="solid"/>
            </a:ln>
          </c:spPr>
          <c:marker>
            <c:symbol val="none"/>
          </c:marker>
          <c:xVal>
            <c:numLit>
              <c:formatCode>General</c:formatCode>
              <c:ptCount val="2"/>
              <c:pt idx="0">
                <c:v>-4.8769879543111792</c:v>
              </c:pt>
              <c:pt idx="1">
                <c:v>-5.4083731523530867</c:v>
              </c:pt>
            </c:numLit>
          </c:xVal>
          <c:yVal>
            <c:numLit>
              <c:formatCode>General</c:formatCode>
              <c:ptCount val="2"/>
              <c:pt idx="0">
                <c:v>2.573855122669123E-2</c:v>
              </c:pt>
              <c:pt idx="1">
                <c:v>2.5944631993549423E-2</c:v>
              </c:pt>
            </c:numLit>
          </c:yVal>
          <c:smooth val="0"/>
          <c:extLst>
            <c:ext xmlns:c16="http://schemas.microsoft.com/office/drawing/2014/chart" uri="{C3380CC4-5D6E-409C-BE32-E72D297353CC}">
              <c16:uniqueId val="{00000063-A9DB-44E4-9932-EB31B57AD14C}"/>
            </c:ext>
          </c:extLst>
        </c:ser>
        <c:ser>
          <c:idx val="84"/>
          <c:order val="84"/>
          <c:spPr>
            <a:ln w="3175">
              <a:solidFill>
                <a:srgbClr val="000000"/>
              </a:solidFill>
              <a:prstDash val="solid"/>
            </a:ln>
          </c:spPr>
          <c:marker>
            <c:symbol val="none"/>
          </c:marker>
          <c:dLbls>
            <c:dLbl>
              <c:idx val="0"/>
              <c:tx>
                <c:rich>
                  <a:bodyPr rot="16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4-A9DB-44E4-9932-EB31B57AD1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-6.3825793487632509</c:v>
              </c:pt>
            </c:numLit>
          </c:xVal>
          <c:yVal>
            <c:numLit>
              <c:formatCode>General</c:formatCode>
              <c:ptCount val="1"/>
              <c:pt idx="0">
                <c:v>2.632244673278945E-2</c:v>
              </c:pt>
            </c:numLit>
          </c:yVal>
          <c:smooth val="0"/>
          <c:extLst>
            <c:ext xmlns:c16="http://schemas.microsoft.com/office/drawing/2014/chart" uri="{C3380CC4-5D6E-409C-BE32-E72D297353CC}">
              <c16:uniqueId val="{00000065-A9DB-44E4-9932-EB31B57AD14C}"/>
            </c:ext>
          </c:extLst>
        </c:ser>
        <c:ser>
          <c:idx val="85"/>
          <c:order val="85"/>
          <c:spPr>
            <a:ln w="3175">
              <a:solidFill>
                <a:srgbClr val="000000"/>
              </a:solidFill>
              <a:prstDash val="solid"/>
            </a:ln>
          </c:spPr>
          <c:marker>
            <c:symbol val="none"/>
          </c:marker>
          <c:xVal>
            <c:numLit>
              <c:formatCode>General</c:formatCode>
              <c:ptCount val="2"/>
              <c:pt idx="0">
                <c:v>-4.97555532075208</c:v>
              </c:pt>
              <c:pt idx="1">
                <c:v>-5.2433600776253391</c:v>
              </c:pt>
            </c:numLit>
          </c:xVal>
          <c:yVal>
            <c:numLit>
              <c:formatCode>General</c:formatCode>
              <c:ptCount val="2"/>
              <c:pt idx="0">
                <c:v>2.5596867354371416E-2</c:v>
              </c:pt>
              <c:pt idx="1">
                <c:v>2.5696871654822231E-2</c:v>
              </c:pt>
            </c:numLit>
          </c:yVal>
          <c:smooth val="0"/>
          <c:extLst>
            <c:ext xmlns:c16="http://schemas.microsoft.com/office/drawing/2014/chart" uri="{C3380CC4-5D6E-409C-BE32-E72D297353CC}">
              <c16:uniqueId val="{00000066-A9DB-44E4-9932-EB31B57AD14C}"/>
            </c:ext>
          </c:extLst>
        </c:ser>
        <c:ser>
          <c:idx val="86"/>
          <c:order val="86"/>
          <c:spPr>
            <a:ln w="3175">
              <a:solidFill>
                <a:srgbClr val="000000"/>
              </a:solidFill>
              <a:prstDash val="solid"/>
            </a:ln>
          </c:spPr>
          <c:marker>
            <c:symbol val="none"/>
          </c:marker>
          <c:xVal>
            <c:numLit>
              <c:formatCode>General</c:formatCode>
              <c:ptCount val="2"/>
              <c:pt idx="0">
                <c:v>-5.0657511406962898</c:v>
              </c:pt>
              <c:pt idx="1">
                <c:v>-5.335488665139783</c:v>
              </c:pt>
            </c:numLit>
          </c:xVal>
          <c:yVal>
            <c:numLit>
              <c:formatCode>General</c:formatCode>
              <c:ptCount val="2"/>
              <c:pt idx="0">
                <c:v>2.5462311255383133E-2</c:v>
              </c:pt>
              <c:pt idx="1">
                <c:v>2.5559432210855628E-2</c:v>
              </c:pt>
            </c:numLit>
          </c:yVal>
          <c:smooth val="0"/>
          <c:extLst>
            <c:ext xmlns:c16="http://schemas.microsoft.com/office/drawing/2014/chart" uri="{C3380CC4-5D6E-409C-BE32-E72D297353CC}">
              <c16:uniqueId val="{00000067-A9DB-44E4-9932-EB31B57AD14C}"/>
            </c:ext>
          </c:extLst>
        </c:ser>
        <c:ser>
          <c:idx val="87"/>
          <c:order val="87"/>
          <c:spPr>
            <a:ln w="3175">
              <a:solidFill>
                <a:srgbClr val="000000"/>
              </a:solidFill>
              <a:prstDash val="solid"/>
            </a:ln>
          </c:spPr>
          <c:marker>
            <c:symbol val="none"/>
          </c:marker>
          <c:xVal>
            <c:numLit>
              <c:formatCode>General</c:formatCode>
              <c:ptCount val="2"/>
              <c:pt idx="0">
                <c:v>-5.1484464315058194</c:v>
              </c:pt>
              <c:pt idx="1">
                <c:v>-5.4199559978952303</c:v>
              </c:pt>
            </c:numLit>
          </c:xVal>
          <c:yVal>
            <c:numLit>
              <c:formatCode>General</c:formatCode>
              <c:ptCount val="2"/>
              <c:pt idx="0">
                <c:v>2.5334446824497189E-2</c:v>
              </c:pt>
              <c:pt idx="1">
                <c:v>2.5428827827879273E-2</c:v>
              </c:pt>
            </c:numLit>
          </c:yVal>
          <c:smooth val="0"/>
          <c:extLst>
            <c:ext xmlns:c16="http://schemas.microsoft.com/office/drawing/2014/chart" uri="{C3380CC4-5D6E-409C-BE32-E72D297353CC}">
              <c16:uniqueId val="{00000068-A9DB-44E4-9932-EB31B57AD14C}"/>
            </c:ext>
          </c:extLst>
        </c:ser>
        <c:ser>
          <c:idx val="88"/>
          <c:order val="88"/>
          <c:spPr>
            <a:ln w="3175">
              <a:solidFill>
                <a:srgbClr val="000000"/>
              </a:solidFill>
              <a:prstDash val="solid"/>
            </a:ln>
          </c:spPr>
          <c:marker>
            <c:symbol val="none"/>
          </c:marker>
          <c:xVal>
            <c:numLit>
              <c:formatCode>General</c:formatCode>
              <c:ptCount val="2"/>
              <c:pt idx="0">
                <c:v>-5.2244087358312541</c:v>
              </c:pt>
              <c:pt idx="1">
                <c:v>-5.497546065884781</c:v>
              </c:pt>
            </c:numLit>
          </c:xVal>
          <c:yVal>
            <c:numLit>
              <c:formatCode>General</c:formatCode>
              <c:ptCount val="2"/>
              <c:pt idx="0">
                <c:v>2.5212861452320056E-2</c:v>
              </c:pt>
              <c:pt idx="1">
                <c:v>2.530463705486977E-2</c:v>
              </c:pt>
            </c:numLit>
          </c:yVal>
          <c:smooth val="0"/>
          <c:extLst>
            <c:ext xmlns:c16="http://schemas.microsoft.com/office/drawing/2014/chart" uri="{C3380CC4-5D6E-409C-BE32-E72D297353CC}">
              <c16:uniqueId val="{00000069-A9DB-44E4-9932-EB31B57AD14C}"/>
            </c:ext>
          </c:extLst>
        </c:ser>
        <c:ser>
          <c:idx val="89"/>
          <c:order val="89"/>
          <c:spPr>
            <a:ln w="3175">
              <a:solidFill>
                <a:srgbClr val="000000"/>
              </a:solidFill>
              <a:prstDash val="solid"/>
            </a:ln>
          </c:spPr>
          <c:marker>
            <c:symbol val="none"/>
          </c:marker>
          <c:xVal>
            <c:numLit>
              <c:formatCode>General</c:formatCode>
              <c:ptCount val="2"/>
              <c:pt idx="0">
                <c:v>-5.2943154079273143</c:v>
              </c:pt>
              <c:pt idx="1">
                <c:v>-5.8435860682670562</c:v>
              </c:pt>
            </c:numLit>
          </c:xVal>
          <c:yVal>
            <c:numLit>
              <c:formatCode>General</c:formatCode>
              <c:ptCount val="2"/>
              <c:pt idx="0">
                <c:v>2.5097166548278888E-2</c:v>
              </c:pt>
              <c:pt idx="1">
                <c:v>2.5275759400347982E-2</c:v>
              </c:pt>
            </c:numLit>
          </c:yVal>
          <c:smooth val="0"/>
          <c:extLst>
            <c:ext xmlns:c16="http://schemas.microsoft.com/office/drawing/2014/chart" uri="{C3380CC4-5D6E-409C-BE32-E72D297353CC}">
              <c16:uniqueId val="{0000006A-A9DB-44E4-9932-EB31B57AD14C}"/>
            </c:ext>
          </c:extLst>
        </c:ser>
        <c:ser>
          <c:idx val="90"/>
          <c:order val="90"/>
          <c:spPr>
            <a:ln w="3175">
              <a:solidFill>
                <a:srgbClr val="000000"/>
              </a:solidFill>
              <a:prstDash val="solid"/>
            </a:ln>
          </c:spPr>
          <c:marker>
            <c:symbol val="none"/>
          </c:marker>
          <c:dLbls>
            <c:dLbl>
              <c:idx val="0"/>
              <c:tx>
                <c:rich>
                  <a:bodyPr rot="14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B-A9DB-44E4-9932-EB31B57AD1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-6.8505822788899158</c:v>
              </c:pt>
            </c:numLit>
          </c:xVal>
          <c:yVal>
            <c:numLit>
              <c:formatCode>General</c:formatCode>
              <c:ptCount val="1"/>
              <c:pt idx="0">
                <c:v>2.5603179629141326E-2</c:v>
              </c:pt>
            </c:numLit>
          </c:yVal>
          <c:smooth val="0"/>
          <c:extLst>
            <c:ext xmlns:c16="http://schemas.microsoft.com/office/drawing/2014/chart" uri="{C3380CC4-5D6E-409C-BE32-E72D297353CC}">
              <c16:uniqueId val="{0000006C-A9DB-44E4-9932-EB31B57AD14C}"/>
            </c:ext>
          </c:extLst>
        </c:ser>
        <c:ser>
          <c:idx val="91"/>
          <c:order val="91"/>
          <c:spPr>
            <a:ln w="3175">
              <a:solidFill>
                <a:srgbClr val="000000"/>
              </a:solidFill>
              <a:prstDash val="solid"/>
            </a:ln>
          </c:spPr>
          <c:marker>
            <c:symbol val="none"/>
          </c:marker>
          <c:xVal>
            <c:numLit>
              <c:formatCode>General</c:formatCode>
              <c:ptCount val="2"/>
              <c:pt idx="0">
                <c:v>-5.358765163744196</c:v>
              </c:pt>
              <c:pt idx="1">
                <c:v>-5.6347815601101443</c:v>
              </c:pt>
            </c:numLit>
          </c:xVal>
          <c:yVal>
            <c:numLit>
              <c:formatCode>General</c:formatCode>
              <c:ptCount val="2"/>
              <c:pt idx="0">
                <c:v>2.4986997418511792E-2</c:v>
              </c:pt>
              <c:pt idx="1">
                <c:v>2.5073933077479904E-2</c:v>
              </c:pt>
            </c:numLit>
          </c:yVal>
          <c:smooth val="0"/>
          <c:extLst>
            <c:ext xmlns:c16="http://schemas.microsoft.com/office/drawing/2014/chart" uri="{C3380CC4-5D6E-409C-BE32-E72D297353CC}">
              <c16:uniqueId val="{0000006D-A9DB-44E4-9932-EB31B57AD14C}"/>
            </c:ext>
          </c:extLst>
        </c:ser>
        <c:ser>
          <c:idx val="92"/>
          <c:order val="92"/>
          <c:spPr>
            <a:ln w="3175">
              <a:solidFill>
                <a:srgbClr val="000000"/>
              </a:solidFill>
              <a:prstDash val="solid"/>
            </a:ln>
          </c:spPr>
          <c:marker>
            <c:symbol val="none"/>
          </c:marker>
          <c:xVal>
            <c:numLit>
              <c:formatCode>General</c:formatCode>
              <c:ptCount val="2"/>
              <c:pt idx="0">
                <c:v>-5.4182881023183391</c:v>
              </c:pt>
              <c:pt idx="1">
                <c:v>-5.6955799902251618</c:v>
              </c:pt>
            </c:numLit>
          </c:xVal>
          <c:yVal>
            <c:numLit>
              <c:formatCode>General</c:formatCode>
              <c:ptCount val="2"/>
              <c:pt idx="0">
                <c:v>2.4882012699129402E-2</c:v>
              </c:pt>
              <c:pt idx="1">
                <c:v>2.4966698685539319E-2</c:v>
              </c:pt>
            </c:numLit>
          </c:yVal>
          <c:smooth val="0"/>
          <c:extLst>
            <c:ext xmlns:c16="http://schemas.microsoft.com/office/drawing/2014/chart" uri="{C3380CC4-5D6E-409C-BE32-E72D297353CC}">
              <c16:uniqueId val="{0000006E-A9DB-44E4-9932-EB31B57AD14C}"/>
            </c:ext>
          </c:extLst>
        </c:ser>
        <c:ser>
          <c:idx val="93"/>
          <c:order val="93"/>
          <c:spPr>
            <a:ln w="3175">
              <a:solidFill>
                <a:srgbClr val="000000"/>
              </a:solidFill>
              <a:prstDash val="solid"/>
            </a:ln>
          </c:spPr>
          <c:marker>
            <c:symbol val="none"/>
          </c:marker>
          <c:xVal>
            <c:numLit>
              <c:formatCode>General</c:formatCode>
              <c:ptCount val="2"/>
              <c:pt idx="0">
                <c:v>-5.4733543909858673</c:v>
              </c:pt>
              <c:pt idx="1">
                <c:v>-5.7518262707927077</c:v>
              </c:pt>
            </c:numLit>
          </c:xVal>
          <c:yVal>
            <c:numLit>
              <c:formatCode>General</c:formatCode>
              <c:ptCount val="2"/>
              <c:pt idx="0">
                <c:v>2.4781893493615731E-2</c:v>
              </c:pt>
              <c:pt idx="1">
                <c:v>2.4864434068478925E-2</c:v>
              </c:pt>
            </c:numLit>
          </c:yVal>
          <c:smooth val="0"/>
          <c:extLst>
            <c:ext xmlns:c16="http://schemas.microsoft.com/office/drawing/2014/chart" uri="{C3380CC4-5D6E-409C-BE32-E72D297353CC}">
              <c16:uniqueId val="{0000006F-A9DB-44E4-9932-EB31B57AD14C}"/>
            </c:ext>
          </c:extLst>
        </c:ser>
        <c:ser>
          <c:idx val="94"/>
          <c:order val="94"/>
          <c:spPr>
            <a:ln w="3175">
              <a:solidFill>
                <a:srgbClr val="000000"/>
              </a:solidFill>
              <a:prstDash val="solid"/>
            </a:ln>
          </c:spPr>
          <c:marker>
            <c:symbol val="none"/>
          </c:marker>
          <c:xVal>
            <c:numLit>
              <c:formatCode>General</c:formatCode>
              <c:ptCount val="2"/>
              <c:pt idx="0">
                <c:v>-5.5243817887928159</c:v>
              </c:pt>
              <c:pt idx="1">
                <c:v>-5.8039471128383777</c:v>
              </c:pt>
            </c:numLit>
          </c:xVal>
          <c:yVal>
            <c:numLit>
              <c:formatCode>General</c:formatCode>
              <c:ptCount val="2"/>
              <c:pt idx="0">
                <c:v>2.4686342323848191E-2</c:v>
              </c:pt>
              <c:pt idx="1">
                <c:v>2.4766835373644939E-2</c:v>
              </c:pt>
            </c:numLit>
          </c:yVal>
          <c:smooth val="0"/>
          <c:extLst>
            <c:ext xmlns:c16="http://schemas.microsoft.com/office/drawing/2014/chart" uri="{C3380CC4-5D6E-409C-BE32-E72D297353CC}">
              <c16:uniqueId val="{00000070-A9DB-44E4-9932-EB31B57AD14C}"/>
            </c:ext>
          </c:extLst>
        </c:ser>
        <c:ser>
          <c:idx val="95"/>
          <c:order val="95"/>
          <c:spPr>
            <a:ln w="3175">
              <a:solidFill>
                <a:srgbClr val="000000"/>
              </a:solidFill>
              <a:prstDash val="solid"/>
            </a:ln>
          </c:spPr>
          <c:marker>
            <c:symbol val="none"/>
          </c:marker>
          <c:xVal>
            <c:numLit>
              <c:formatCode>General</c:formatCode>
              <c:ptCount val="2"/>
              <c:pt idx="0">
                <c:v>-5.571742163443429</c:v>
              </c:pt>
              <c:pt idx="1">
                <c:v>-5.8523223526600745</c:v>
              </c:pt>
            </c:numLit>
          </c:xVal>
          <c:yVal>
            <c:numLit>
              <c:formatCode>General</c:formatCode>
              <c:ptCount val="2"/>
              <c:pt idx="0">
                <c:v>2.4595081974519786E-2</c:v>
              </c:pt>
              <c:pt idx="1">
                <c:v>2.4673619445402351E-2</c:v>
              </c:pt>
            </c:numLit>
          </c:yVal>
          <c:smooth val="0"/>
          <c:extLst>
            <c:ext xmlns:c16="http://schemas.microsoft.com/office/drawing/2014/chart" uri="{C3380CC4-5D6E-409C-BE32-E72D297353CC}">
              <c16:uniqueId val="{00000071-A9DB-44E4-9932-EB31B57AD14C}"/>
            </c:ext>
          </c:extLst>
        </c:ser>
        <c:ser>
          <c:idx val="96"/>
          <c:order val="96"/>
          <c:spPr>
            <a:ln w="3175">
              <a:solidFill>
                <a:srgbClr val="000000"/>
              </a:solidFill>
              <a:prstDash val="solid"/>
            </a:ln>
          </c:spPr>
          <c:marker>
            <c:symbol val="none"/>
          </c:marker>
          <c:dLbls>
            <c:dLbl>
              <c:idx val="0"/>
              <c:tx>
                <c:rich>
                  <a:bodyPr rot="12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2-A9DB-44E4-9932-EB31B57AD1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-7.1616965690044161</c:v>
              </c:pt>
            </c:numLit>
          </c:xVal>
          <c:yVal>
            <c:numLit>
              <c:formatCode>General</c:formatCode>
              <c:ptCount val="1"/>
              <c:pt idx="0">
                <c:v>2.5040127642854328E-2</c:v>
              </c:pt>
            </c:numLit>
          </c:yVal>
          <c:smooth val="0"/>
          <c:extLst>
            <c:ext xmlns:c16="http://schemas.microsoft.com/office/drawing/2014/chart" uri="{C3380CC4-5D6E-409C-BE32-E72D297353CC}">
              <c16:uniqueId val="{00000073-A9DB-44E4-9932-EB31B57AD14C}"/>
            </c:ext>
          </c:extLst>
        </c:ser>
        <c:ser>
          <c:idx val="97"/>
          <c:order val="97"/>
          <c:spPr>
            <a:ln w="3175">
              <a:solidFill>
                <a:srgbClr val="000000"/>
              </a:solidFill>
              <a:prstDash val="solid"/>
            </a:ln>
          </c:spPr>
          <c:marker>
            <c:symbol val="none"/>
          </c:marker>
          <c:xVal>
            <c:numLit>
              <c:formatCode>General</c:formatCode>
              <c:ptCount val="2"/>
              <c:pt idx="0">
                <c:v>-5.6567529906365968</c:v>
              </c:pt>
              <c:pt idx="1">
                <c:v>-5.9391548404359531</c:v>
              </c:pt>
            </c:numLit>
          </c:xVal>
          <c:yVal>
            <c:numLit>
              <c:formatCode>General</c:formatCode>
              <c:ptCount val="2"/>
              <c:pt idx="0">
                <c:v>2.4424418953236802E-2</c:v>
              </c:pt>
              <c:pt idx="1">
                <c:v>2.4499299359377589E-2</c:v>
              </c:pt>
            </c:numLit>
          </c:yVal>
          <c:smooth val="0"/>
          <c:extLst>
            <c:ext xmlns:c16="http://schemas.microsoft.com/office/drawing/2014/chart" uri="{C3380CC4-5D6E-409C-BE32-E72D297353CC}">
              <c16:uniqueId val="{00000074-A9DB-44E4-9932-EB31B57AD14C}"/>
            </c:ext>
          </c:extLst>
        </c:ser>
        <c:ser>
          <c:idx val="98"/>
          <c:order val="98"/>
          <c:spPr>
            <a:ln w="3175">
              <a:solidFill>
                <a:srgbClr val="000000"/>
              </a:solidFill>
              <a:prstDash val="solid"/>
            </a:ln>
          </c:spPr>
          <c:marker>
            <c:symbol val="none"/>
          </c:marker>
          <c:xVal>
            <c:numLit>
              <c:formatCode>General</c:formatCode>
              <c:ptCount val="2"/>
              <c:pt idx="0">
                <c:v>-5.7306406407761212</c:v>
              </c:pt>
              <c:pt idx="1">
                <c:v>-6.0146257973641815</c:v>
              </c:pt>
            </c:numLit>
          </c:xVal>
          <c:yVal>
            <c:numLit>
              <c:formatCode>General</c:formatCode>
              <c:ptCount val="2"/>
              <c:pt idx="0">
                <c:v>2.4268046190440859E-2</c:v>
              </c:pt>
              <c:pt idx="1">
                <c:v>2.433957575166459E-2</c:v>
              </c:pt>
            </c:numLit>
          </c:yVal>
          <c:smooth val="0"/>
          <c:extLst>
            <c:ext xmlns:c16="http://schemas.microsoft.com/office/drawing/2014/chart" uri="{C3380CC4-5D6E-409C-BE32-E72D297353CC}">
              <c16:uniqueId val="{00000075-A9DB-44E4-9932-EB31B57AD14C}"/>
            </c:ext>
          </c:extLst>
        </c:ser>
        <c:ser>
          <c:idx val="99"/>
          <c:order val="99"/>
          <c:spPr>
            <a:ln w="3175">
              <a:solidFill>
                <a:srgbClr val="000000"/>
              </a:solidFill>
              <a:prstDash val="solid"/>
            </a:ln>
          </c:spPr>
          <c:marker>
            <c:symbol val="none"/>
          </c:marker>
          <c:xVal>
            <c:numLit>
              <c:formatCode>General</c:formatCode>
              <c:ptCount val="2"/>
              <c:pt idx="0">
                <c:v>-5.7952165720117108</c:v>
              </c:pt>
              <c:pt idx="1">
                <c:v>-6.0805854985548189</c:v>
              </c:pt>
            </c:numLit>
          </c:xVal>
          <c:yVal>
            <c:numLit>
              <c:formatCode>General</c:formatCode>
              <c:ptCount val="2"/>
              <c:pt idx="0">
                <c:v>2.4124353808164946E-2</c:v>
              </c:pt>
              <c:pt idx="1">
                <c:v>2.4192804246911337E-2</c:v>
              </c:pt>
            </c:numLit>
          </c:yVal>
          <c:smooth val="0"/>
          <c:extLst>
            <c:ext xmlns:c16="http://schemas.microsoft.com/office/drawing/2014/chart" uri="{C3380CC4-5D6E-409C-BE32-E72D297353CC}">
              <c16:uniqueId val="{00000076-A9DB-44E4-9932-EB31B57AD14C}"/>
            </c:ext>
          </c:extLst>
        </c:ser>
        <c:ser>
          <c:idx val="100"/>
          <c:order val="100"/>
          <c:spPr>
            <a:ln w="3175">
              <a:solidFill>
                <a:srgbClr val="000000"/>
              </a:solidFill>
              <a:prstDash val="solid"/>
            </a:ln>
          </c:spPr>
          <c:marker>
            <c:symbol val="none"/>
          </c:marker>
          <c:xVal>
            <c:numLit>
              <c:formatCode>General</c:formatCode>
              <c:ptCount val="2"/>
              <c:pt idx="0">
                <c:v>-5.851947118469381</c:v>
              </c:pt>
              <c:pt idx="1">
                <c:v>-6.1385316995794392</c:v>
              </c:pt>
            </c:numLit>
          </c:xVal>
          <c:yVal>
            <c:numLit>
              <c:formatCode>General</c:formatCode>
              <c:ptCount val="2"/>
              <c:pt idx="0">
                <c:v>2.3991946017564908E-2</c:v>
              </c:pt>
              <c:pt idx="1">
                <c:v>2.4057559146512728E-2</c:v>
              </c:pt>
            </c:numLit>
          </c:yVal>
          <c:smooth val="0"/>
          <c:extLst>
            <c:ext xmlns:c16="http://schemas.microsoft.com/office/drawing/2014/chart" uri="{C3380CC4-5D6E-409C-BE32-E72D297353CC}">
              <c16:uniqueId val="{00000077-A9DB-44E4-9932-EB31B57AD14C}"/>
            </c:ext>
          </c:extLst>
        </c:ser>
        <c:ser>
          <c:idx val="101"/>
          <c:order val="101"/>
          <c:spPr>
            <a:ln w="3175">
              <a:solidFill>
                <a:srgbClr val="000000"/>
              </a:solidFill>
              <a:prstDash val="solid"/>
            </a:ln>
          </c:spPr>
          <c:marker>
            <c:symbol val="none"/>
          </c:marker>
          <c:xVal>
            <c:numLit>
              <c:formatCode>General</c:formatCode>
              <c:ptCount val="2"/>
              <c:pt idx="0">
                <c:v>-5.9020274437754896</c:v>
              </c:pt>
              <c:pt idx="1">
                <c:v>-6.4773429056515814</c:v>
              </c:pt>
            </c:numLit>
          </c:xVal>
          <c:yVal>
            <c:numLit>
              <c:formatCode>General</c:formatCode>
              <c:ptCount val="2"/>
              <c:pt idx="0">
                <c:v>2.3869610711458024E-2</c:v>
              </c:pt>
              <c:pt idx="1">
                <c:v>2.3995594027663367E-2</c:v>
              </c:pt>
            </c:numLit>
          </c:yVal>
          <c:smooth val="0"/>
          <c:extLst>
            <c:ext xmlns:c16="http://schemas.microsoft.com/office/drawing/2014/chart" uri="{C3380CC4-5D6E-409C-BE32-E72D297353CC}">
              <c16:uniqueId val="{00000078-A9DB-44E4-9932-EB31B57AD14C}"/>
            </c:ext>
          </c:extLst>
        </c:ser>
        <c:ser>
          <c:idx val="102"/>
          <c:order val="102"/>
          <c:spPr>
            <a:ln w="3175">
              <a:solidFill>
                <a:srgbClr val="000000"/>
              </a:solidFill>
              <a:prstDash val="solid"/>
            </a:ln>
          </c:spPr>
          <c:marker>
            <c:symbol val="none"/>
          </c:marker>
          <c:dLbls>
            <c:dLbl>
              <c:idx val="0"/>
              <c:tx>
                <c:rich>
                  <a:bodyPr rot="9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9-A9DB-44E4-9932-EB31B57AD1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-7.5320879190910839</c:v>
              </c:pt>
            </c:numLit>
          </c:xVal>
          <c:yVal>
            <c:numLit>
              <c:formatCode>General</c:formatCode>
              <c:ptCount val="1"/>
              <c:pt idx="0">
                <c:v>2.4226563440706499E-2</c:v>
              </c:pt>
            </c:numLit>
          </c:yVal>
          <c:smooth val="0"/>
          <c:extLst>
            <c:ext xmlns:c16="http://schemas.microsoft.com/office/drawing/2014/chart" uri="{C3380CC4-5D6E-409C-BE32-E72D297353CC}">
              <c16:uniqueId val="{0000007A-A9DB-44E4-9932-EB31B57AD14C}"/>
            </c:ext>
          </c:extLst>
        </c:ser>
        <c:ser>
          <c:idx val="103"/>
          <c:order val="103"/>
          <c:spPr>
            <a:ln w="3175">
              <a:solidFill>
                <a:srgbClr val="000000"/>
              </a:solidFill>
              <a:prstDash val="solid"/>
            </a:ln>
          </c:spPr>
          <c:marker>
            <c:symbol val="none"/>
          </c:marker>
          <c:xVal>
            <c:numLit>
              <c:formatCode>General</c:formatCode>
              <c:ptCount val="2"/>
              <c:pt idx="0">
                <c:v>-6.0041567309797621</c:v>
              </c:pt>
              <c:pt idx="1">
                <c:v>-6.2940029466436149</c:v>
              </c:pt>
            </c:numLit>
          </c:xVal>
          <c:yVal>
            <c:numLit>
              <c:formatCode>General</c:formatCode>
              <c:ptCount val="2"/>
              <c:pt idx="0">
                <c:v>2.3601243359121643E-2</c:v>
              </c:pt>
              <c:pt idx="1">
                <c:v>2.3658484288245678E-2</c:v>
              </c:pt>
            </c:numLit>
          </c:yVal>
          <c:smooth val="0"/>
          <c:extLst>
            <c:ext xmlns:c16="http://schemas.microsoft.com/office/drawing/2014/chart" uri="{C3380CC4-5D6E-409C-BE32-E72D297353CC}">
              <c16:uniqueId val="{0000007B-A9DB-44E4-9932-EB31B57AD14C}"/>
            </c:ext>
          </c:extLst>
        </c:ser>
        <c:ser>
          <c:idx val="104"/>
          <c:order val="104"/>
          <c:spPr>
            <a:ln w="3175">
              <a:solidFill>
                <a:srgbClr val="000000"/>
              </a:solidFill>
              <a:prstDash val="solid"/>
            </a:ln>
          </c:spPr>
          <c:marker>
            <c:symbol val="none"/>
          </c:marker>
          <c:xVal>
            <c:numLit>
              <c:formatCode>General</c:formatCode>
              <c:ptCount val="2"/>
              <c:pt idx="0">
                <c:v>-6.0816762741522021</c:v>
              </c:pt>
              <c:pt idx="1">
                <c:v>-6.664690971615868</c:v>
              </c:pt>
            </c:numLit>
          </c:xVal>
          <c:yVal>
            <c:numLit>
              <c:formatCode>General</c:formatCode>
              <c:ptCount val="2"/>
              <c:pt idx="0">
                <c:v>2.3376424442580822E-2</c:v>
              </c:pt>
              <c:pt idx="1">
                <c:v>2.3481271204405716E-2</c:v>
              </c:pt>
            </c:numLit>
          </c:yVal>
          <c:smooth val="0"/>
          <c:extLst>
            <c:ext xmlns:c16="http://schemas.microsoft.com/office/drawing/2014/chart" uri="{C3380CC4-5D6E-409C-BE32-E72D297353CC}">
              <c16:uniqueId val="{0000007C-A9DB-44E4-9932-EB31B57AD14C}"/>
            </c:ext>
          </c:extLst>
        </c:ser>
        <c:ser>
          <c:idx val="105"/>
          <c:order val="105"/>
          <c:spPr>
            <a:ln w="3175">
              <a:solidFill>
                <a:srgbClr val="000000"/>
              </a:solidFill>
              <a:prstDash val="solid"/>
            </a:ln>
          </c:spPr>
          <c:marker>
            <c:symbol val="none"/>
          </c:marker>
          <c:dLbls>
            <c:dLbl>
              <c:idx val="0"/>
              <c:tx>
                <c:rich>
                  <a:bodyPr rot="8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D-A9DB-44E4-9932-EB31B57AD1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-7.7335512502992545</c:v>
              </c:pt>
            </c:numLit>
          </c:xVal>
          <c:yVal>
            <c:numLit>
              <c:formatCode>General</c:formatCode>
              <c:ptCount val="1"/>
              <c:pt idx="0">
                <c:v>2.3673490267751351E-2</c:v>
              </c:pt>
            </c:numLit>
          </c:yVal>
          <c:smooth val="0"/>
          <c:extLst>
            <c:ext xmlns:c16="http://schemas.microsoft.com/office/drawing/2014/chart" uri="{C3380CC4-5D6E-409C-BE32-E72D297353CC}">
              <c16:uniqueId val="{0000007E-A9DB-44E4-9932-EB31B57AD14C}"/>
            </c:ext>
          </c:extLst>
        </c:ser>
        <c:ser>
          <c:idx val="106"/>
          <c:order val="106"/>
          <c:spPr>
            <a:ln w="3175">
              <a:solidFill>
                <a:srgbClr val="000000"/>
              </a:solidFill>
              <a:prstDash val="solid"/>
            </a:ln>
          </c:spPr>
          <c:marker>
            <c:symbol val="none"/>
          </c:marker>
          <c:xVal>
            <c:numLit>
              <c:formatCode>General</c:formatCode>
              <c:ptCount val="2"/>
              <c:pt idx="0">
                <c:v>-6.1418165019856463</c:v>
              </c:pt>
              <c:pt idx="1">
                <c:v>-6.4346125698853394</c:v>
              </c:pt>
            </c:numLit>
          </c:xVal>
          <c:yVal>
            <c:numLit>
              <c:formatCode>General</c:formatCode>
              <c:ptCount val="2"/>
              <c:pt idx="0">
                <c:v>2.3185628388742628E-2</c:v>
              </c:pt>
              <c:pt idx="1">
                <c:v>2.3233963282787113E-2</c:v>
              </c:pt>
            </c:numLit>
          </c:yVal>
          <c:smooth val="0"/>
          <c:extLst>
            <c:ext xmlns:c16="http://schemas.microsoft.com/office/drawing/2014/chart" uri="{C3380CC4-5D6E-409C-BE32-E72D297353CC}">
              <c16:uniqueId val="{0000007F-A9DB-44E4-9932-EB31B57AD14C}"/>
            </c:ext>
          </c:extLst>
        </c:ser>
        <c:ser>
          <c:idx val="107"/>
          <c:order val="107"/>
          <c:spPr>
            <a:ln w="3175">
              <a:solidFill>
                <a:srgbClr val="000000"/>
              </a:solidFill>
              <a:prstDash val="solid"/>
            </a:ln>
          </c:spPr>
          <c:marker>
            <c:symbol val="none"/>
          </c:marker>
          <c:xVal>
            <c:numLit>
              <c:formatCode>General</c:formatCode>
              <c:ptCount val="2"/>
              <c:pt idx="0">
                <c:v>-6.1893611787955249</c:v>
              </c:pt>
              <c:pt idx="1">
                <c:v>-6.7769909436010467</c:v>
              </c:pt>
            </c:numLit>
          </c:xVal>
          <c:yVal>
            <c:numLit>
              <c:formatCode>General</c:formatCode>
              <c:ptCount val="2"/>
              <c:pt idx="0">
                <c:v>2.3021845518026735E-2</c:v>
              </c:pt>
              <c:pt idx="1">
                <c:v>2.3111496040227882E-2</c:v>
              </c:pt>
            </c:numLit>
          </c:yVal>
          <c:smooth val="0"/>
          <c:extLst>
            <c:ext xmlns:c16="http://schemas.microsoft.com/office/drawing/2014/chart" uri="{C3380CC4-5D6E-409C-BE32-E72D297353CC}">
              <c16:uniqueId val="{00000080-A9DB-44E4-9932-EB31B57AD14C}"/>
            </c:ext>
          </c:extLst>
        </c:ser>
        <c:ser>
          <c:idx val="108"/>
          <c:order val="108"/>
          <c:spPr>
            <a:ln w="3175">
              <a:solidFill>
                <a:srgbClr val="000000"/>
              </a:solidFill>
              <a:prstDash val="solid"/>
            </a:ln>
          </c:spPr>
          <c:marker>
            <c:symbol val="none"/>
          </c:marker>
          <c:dLbls>
            <c:dLbl>
              <c:idx val="0"/>
              <c:tx>
                <c:rich>
                  <a:bodyPr rot="7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-4000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1-A9DB-44E4-9932-EB31B57AD1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-7.8543121790778381</c:v>
              </c:pt>
            </c:numLit>
          </c:xVal>
          <c:yVal>
            <c:numLit>
              <c:formatCode>General</c:formatCode>
              <c:ptCount val="1"/>
              <c:pt idx="0">
                <c:v>2.3275855330929983E-2</c:v>
              </c:pt>
            </c:numLit>
          </c:yVal>
          <c:smooth val="0"/>
          <c:extLst>
            <c:ext xmlns:c16="http://schemas.microsoft.com/office/drawing/2014/chart" uri="{C3380CC4-5D6E-409C-BE32-E72D297353CC}">
              <c16:uniqueId val="{00000082-A9DB-44E4-9932-EB31B57AD14C}"/>
            </c:ext>
          </c:extLst>
        </c:ser>
        <c:ser>
          <c:idx val="109"/>
          <c:order val="109"/>
          <c:spPr>
            <a:ln w="3175">
              <a:solidFill>
                <a:srgbClr val="000000"/>
              </a:solidFill>
              <a:prstDash val="solid"/>
            </a:ln>
          </c:spPr>
          <c:marker>
            <c:symbol val="none"/>
          </c:marker>
          <c:xVal>
            <c:numLit>
              <c:formatCode>General</c:formatCode>
              <c:ptCount val="2"/>
              <c:pt idx="0">
                <c:v>-6.2275685419443816</c:v>
              </c:pt>
              <c:pt idx="1">
                <c:v>-6.5222021535574761</c:v>
              </c:pt>
            </c:numLit>
          </c:xVal>
          <c:yVal>
            <c:numLit>
              <c:formatCode>General</c:formatCode>
              <c:ptCount val="2"/>
              <c:pt idx="0">
                <c:v>2.2879826043585575E-2</c:v>
              </c:pt>
              <c:pt idx="1">
                <c:v>2.2921608030233839E-2</c:v>
              </c:pt>
            </c:numLit>
          </c:yVal>
          <c:smooth val="0"/>
          <c:extLst>
            <c:ext xmlns:c16="http://schemas.microsoft.com/office/drawing/2014/chart" uri="{C3380CC4-5D6E-409C-BE32-E72D297353CC}">
              <c16:uniqueId val="{00000083-A9DB-44E4-9932-EB31B57AD14C}"/>
            </c:ext>
          </c:extLst>
        </c:ser>
        <c:ser>
          <c:idx val="110"/>
          <c:order val="110"/>
          <c:spPr>
            <a:ln w="3175">
              <a:solidFill>
                <a:srgbClr val="000000"/>
              </a:solidFill>
              <a:prstDash val="solid"/>
            </a:ln>
          </c:spPr>
          <c:marker>
            <c:symbol val="none"/>
          </c:marker>
          <c:xVal>
            <c:numLit>
              <c:formatCode>General</c:formatCode>
              <c:ptCount val="2"/>
              <c:pt idx="0">
                <c:v>-6.2587153367755777</c:v>
              </c:pt>
              <c:pt idx="1">
                <c:v>-6.8493174226373874</c:v>
              </c:pt>
            </c:numLit>
          </c:xVal>
          <c:yVal>
            <c:numLit>
              <c:formatCode>General</c:formatCode>
              <c:ptCount val="2"/>
              <c:pt idx="0">
                <c:v>2.2755572771766694E-2</c:v>
              </c:pt>
              <c:pt idx="1">
                <c:v>2.2833811604842408E-2</c:v>
              </c:pt>
            </c:numLit>
          </c:yVal>
          <c:smooth val="0"/>
          <c:extLst>
            <c:ext xmlns:c16="http://schemas.microsoft.com/office/drawing/2014/chart" uri="{C3380CC4-5D6E-409C-BE32-E72D297353CC}">
              <c16:uniqueId val="{00000084-A9DB-44E4-9932-EB31B57AD14C}"/>
            </c:ext>
          </c:extLst>
        </c:ser>
        <c:ser>
          <c:idx val="111"/>
          <c:order val="111"/>
          <c:spPr>
            <a:ln w="3175">
              <a:solidFill>
                <a:srgbClr val="000000"/>
              </a:solidFill>
              <a:prstDash val="solid"/>
            </a:ln>
          </c:spPr>
          <c:marker>
            <c:symbol val="none"/>
          </c:marker>
          <c:dLbls>
            <c:dLbl>
              <c:idx val="0"/>
              <c:tx>
                <c:rich>
                  <a:bodyPr rot="6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5-A9DB-44E4-9932-EB31B57AD1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-7.9320879133840396</c:v>
              </c:pt>
            </c:numLit>
          </c:xVal>
          <c:yVal>
            <c:numLit>
              <c:formatCode>General</c:formatCode>
              <c:ptCount val="1"/>
              <c:pt idx="0">
                <c:v>2.2977249465481218E-2</c:v>
              </c:pt>
            </c:numLit>
          </c:yVal>
          <c:smooth val="0"/>
          <c:extLst>
            <c:ext xmlns:c16="http://schemas.microsoft.com/office/drawing/2014/chart" uri="{C3380CC4-5D6E-409C-BE32-E72D297353CC}">
              <c16:uniqueId val="{00000086-A9DB-44E4-9932-EB31B57AD14C}"/>
            </c:ext>
          </c:extLst>
        </c:ser>
        <c:ser>
          <c:idx val="112"/>
          <c:order val="112"/>
          <c:spPr>
            <a:ln w="3175">
              <a:solidFill>
                <a:srgbClr val="000000"/>
              </a:solidFill>
              <a:prstDash val="solid"/>
            </a:ln>
          </c:spPr>
          <c:marker>
            <c:symbol val="none"/>
          </c:marker>
          <c:xVal>
            <c:numLit>
              <c:formatCode>General</c:formatCode>
              <c:ptCount val="2"/>
              <c:pt idx="0">
                <c:v>-6.3058961870318369</c:v>
              </c:pt>
              <c:pt idx="1">
                <c:v>-6.6022082481825199</c:v>
              </c:pt>
            </c:numLit>
          </c:xVal>
          <c:yVal>
            <c:numLit>
              <c:formatCode>General</c:formatCode>
              <c:ptCount val="2"/>
              <c:pt idx="0">
                <c:v>2.2548671580655582E-2</c:v>
              </c:pt>
              <c:pt idx="1">
                <c:v>2.2583357400241057E-2</c:v>
              </c:pt>
            </c:numLit>
          </c:yVal>
          <c:smooth val="0"/>
          <c:extLst>
            <c:ext xmlns:c16="http://schemas.microsoft.com/office/drawing/2014/chart" uri="{C3380CC4-5D6E-409C-BE32-E72D297353CC}">
              <c16:uniqueId val="{00000087-A9DB-44E4-9932-EB31B57AD14C}"/>
            </c:ext>
          </c:extLst>
        </c:ser>
        <c:ser>
          <c:idx val="113"/>
          <c:order val="113"/>
          <c:spPr>
            <a:ln w="3175">
              <a:solidFill>
                <a:srgbClr val="000000"/>
              </a:solidFill>
              <a:prstDash val="solid"/>
            </a:ln>
          </c:spPr>
          <c:marker>
            <c:symbol val="none"/>
          </c:marker>
          <c:xVal>
            <c:numLit>
              <c:formatCode>General</c:formatCode>
              <c:ptCount val="2"/>
              <c:pt idx="0">
                <c:v>-6.3394006467143074</c:v>
              </c:pt>
              <c:pt idx="1">
                <c:v>-6.6364306605724712</c:v>
              </c:pt>
            </c:numLit>
          </c:xVal>
          <c:yVal>
            <c:numLit>
              <c:formatCode>General</c:formatCode>
              <c:ptCount val="2"/>
              <c:pt idx="0">
                <c:v>2.2383467693411988E-2</c:v>
              </c:pt>
              <c:pt idx="1">
                <c:v>2.2414613429699387E-2</c:v>
              </c:pt>
            </c:numLit>
          </c:yVal>
          <c:smooth val="0"/>
          <c:extLst>
            <c:ext xmlns:c16="http://schemas.microsoft.com/office/drawing/2014/chart" uri="{C3380CC4-5D6E-409C-BE32-E72D297353CC}">
              <c16:uniqueId val="{00000088-A9DB-44E4-9932-EB31B57AD14C}"/>
            </c:ext>
          </c:extLst>
        </c:ser>
        <c:ser>
          <c:idx val="114"/>
          <c:order val="114"/>
          <c:spPr>
            <a:ln w="3175">
              <a:solidFill>
                <a:srgbClr val="000000"/>
              </a:solidFill>
              <a:prstDash val="solid"/>
            </a:ln>
          </c:spPr>
          <c:marker>
            <c:symbol val="none"/>
          </c:marker>
          <c:xVal>
            <c:numLit>
              <c:formatCode>General</c:formatCode>
              <c:ptCount val="2"/>
              <c:pt idx="0">
                <c:v>-6.3640278309235088</c:v>
              </c:pt>
              <c:pt idx="1">
                <c:v>-6.6615855701575848</c:v>
              </c:pt>
            </c:numLit>
          </c:xVal>
          <c:yVal>
            <c:numLit>
              <c:formatCode>General</c:formatCode>
              <c:ptCount val="2"/>
              <c:pt idx="0">
                <c:v>2.2248609023778468E-2</c:v>
              </c:pt>
              <c:pt idx="1">
                <c:v>2.2276864931430863E-2</c:v>
              </c:pt>
            </c:numLit>
          </c:yVal>
          <c:smooth val="0"/>
          <c:extLst>
            <c:ext xmlns:c16="http://schemas.microsoft.com/office/drawing/2014/chart" uri="{C3380CC4-5D6E-409C-BE32-E72D297353CC}">
              <c16:uniqueId val="{00000089-A9DB-44E4-9932-EB31B57AD14C}"/>
            </c:ext>
          </c:extLst>
        </c:ser>
        <c:ser>
          <c:idx val="115"/>
          <c:order val="115"/>
          <c:spPr>
            <a:ln w="3175">
              <a:solidFill>
                <a:srgbClr val="000000"/>
              </a:solidFill>
              <a:prstDash val="solid"/>
            </a:ln>
          </c:spPr>
          <c:marker>
            <c:symbol val="none"/>
          </c:marker>
          <c:xVal>
            <c:numLit>
              <c:formatCode>General</c:formatCode>
              <c:ptCount val="2"/>
              <c:pt idx="0">
                <c:v>-6.382648783342864</c:v>
              </c:pt>
              <c:pt idx="1">
                <c:v>-6.6806055429859255</c:v>
              </c:pt>
            </c:numLit>
          </c:xVal>
          <c:yVal>
            <c:numLit>
              <c:formatCode>General</c:formatCode>
              <c:ptCount val="2"/>
              <c:pt idx="0">
                <c:v>2.2136492726931425E-2</c:v>
              </c:pt>
              <c:pt idx="1">
                <c:v>2.2162346142508529E-2</c:v>
              </c:pt>
            </c:numLit>
          </c:yVal>
          <c:smooth val="0"/>
          <c:extLst>
            <c:ext xmlns:c16="http://schemas.microsoft.com/office/drawing/2014/chart" uri="{C3380CC4-5D6E-409C-BE32-E72D297353CC}">
              <c16:uniqueId val="{0000008A-A9DB-44E4-9932-EB31B57AD14C}"/>
            </c:ext>
          </c:extLst>
        </c:ser>
        <c:ser>
          <c:idx val="116"/>
          <c:order val="116"/>
          <c:spPr>
            <a:ln w="3175">
              <a:solidFill>
                <a:srgbClr val="000000"/>
              </a:solidFill>
              <a:prstDash val="solid"/>
            </a:ln>
          </c:spPr>
          <c:marker>
            <c:symbol val="none"/>
          </c:marker>
          <c:xVal>
            <c:numLit>
              <c:formatCode>General</c:formatCode>
              <c:ptCount val="2"/>
              <c:pt idx="0">
                <c:v>-6.3970641036563771</c:v>
              </c:pt>
              <c:pt idx="1">
                <c:v>-6.9935954223845069</c:v>
              </c:pt>
            </c:numLit>
          </c:xVal>
          <c:yVal>
            <c:numLit>
              <c:formatCode>General</c:formatCode>
              <c:ptCount val="2"/>
              <c:pt idx="0">
                <c:v>2.2041845203134694E-2</c:v>
              </c:pt>
              <c:pt idx="1">
                <c:v>2.2089495711840466E-2</c:v>
              </c:pt>
            </c:numLit>
          </c:yVal>
          <c:smooth val="0"/>
          <c:extLst>
            <c:ext xmlns:c16="http://schemas.microsoft.com/office/drawing/2014/chart" uri="{C3380CC4-5D6E-409C-BE32-E72D297353CC}">
              <c16:uniqueId val="{0000008B-A9DB-44E4-9932-EB31B57AD14C}"/>
            </c:ext>
          </c:extLst>
        </c:ser>
        <c:ser>
          <c:idx val="117"/>
          <c:order val="117"/>
          <c:spPr>
            <a:ln w="3175">
              <a:solidFill>
                <a:srgbClr val="000000"/>
              </a:solidFill>
              <a:prstDash val="solid"/>
            </a:ln>
          </c:spPr>
          <c:marker>
            <c:symbol val="none"/>
          </c:marker>
          <c:dLbls>
            <c:dLbl>
              <c:idx val="0"/>
              <c:tx>
                <c:rich>
                  <a:bodyPr rot="3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C-A9DB-44E4-9932-EB31B57AD1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-8.0872361733860796</c:v>
              </c:pt>
            </c:numLit>
          </c:xVal>
          <c:yVal>
            <c:numLit>
              <c:formatCode>General</c:formatCode>
              <c:ptCount val="1"/>
              <c:pt idx="0">
                <c:v>2.2176854977801051E-2</c:v>
              </c:pt>
            </c:numLit>
          </c:yVal>
          <c:smooth val="0"/>
          <c:extLst>
            <c:ext xmlns:c16="http://schemas.microsoft.com/office/drawing/2014/chart" uri="{C3380CC4-5D6E-409C-BE32-E72D297353CC}">
              <c16:uniqueId val="{0000008D-A9DB-44E4-9932-EB31B57AD14C}"/>
            </c:ext>
          </c:extLst>
        </c:ser>
        <c:ser>
          <c:idx val="118"/>
          <c:order val="118"/>
          <c:spPr>
            <a:ln w="3175">
              <a:solidFill>
                <a:srgbClr val="000000"/>
              </a:solidFill>
              <a:prstDash val="solid"/>
            </a:ln>
          </c:spPr>
          <c:marker>
            <c:symbol val="none"/>
          </c:marker>
          <c:xVal>
            <c:numLit>
              <c:formatCode>General</c:formatCode>
              <c:ptCount val="2"/>
              <c:pt idx="0">
                <c:v>-6.436353647558132</c:v>
              </c:pt>
              <c:pt idx="1">
                <c:v>-6.7354612257200923</c:v>
              </c:pt>
            </c:numLit>
          </c:xVal>
          <c:yVal>
            <c:numLit>
              <c:formatCode>General</c:formatCode>
              <c:ptCount val="2"/>
              <c:pt idx="0">
                <c:v>2.172811889106761E-2</c:v>
              </c:pt>
              <c:pt idx="1">
                <c:v>2.1745221438733343E-2</c:v>
              </c:pt>
            </c:numLit>
          </c:yVal>
          <c:smooth val="0"/>
          <c:extLst>
            <c:ext xmlns:c16="http://schemas.microsoft.com/office/drawing/2014/chart" uri="{C3380CC4-5D6E-409C-BE32-E72D297353CC}">
              <c16:uniqueId val="{0000008E-A9DB-44E4-9932-EB31B57AD14C}"/>
            </c:ext>
          </c:extLst>
        </c:ser>
        <c:ser>
          <c:idx val="119"/>
          <c:order val="119"/>
          <c:spPr>
            <a:ln w="3175">
              <a:solidFill>
                <a:srgbClr val="000000"/>
              </a:solidFill>
              <a:prstDash val="solid"/>
            </a:ln>
          </c:spPr>
          <c:marker>
            <c:symbol val="none"/>
          </c:marker>
          <c:xVal>
            <c:numLit>
              <c:formatCode>General</c:formatCode>
              <c:ptCount val="2"/>
              <c:pt idx="0">
                <c:v>-6.4527022004217862</c:v>
              </c:pt>
              <c:pt idx="1">
                <c:v>-7.0516180090112908</c:v>
              </c:pt>
            </c:numLit>
          </c:xVal>
          <c:yVal>
            <c:numLit>
              <c:formatCode>General</c:formatCode>
              <c:ptCount val="2"/>
              <c:pt idx="0">
                <c:v>2.1552224945278583E-2</c:v>
              </c:pt>
              <c:pt idx="1">
                <c:v>2.1578891728647666E-2</c:v>
              </c:pt>
            </c:numLit>
          </c:yVal>
          <c:smooth val="0"/>
          <c:extLst>
            <c:ext xmlns:c16="http://schemas.microsoft.com/office/drawing/2014/chart" uri="{C3380CC4-5D6E-409C-BE32-E72D297353CC}">
              <c16:uniqueId val="{0000008F-A9DB-44E4-9932-EB31B57AD14C}"/>
            </c:ext>
          </c:extLst>
        </c:ser>
        <c:ser>
          <c:idx val="120"/>
          <c:order val="120"/>
          <c:spPr>
            <a:ln w="3175">
              <a:solidFill>
                <a:srgbClr val="000000"/>
              </a:solidFill>
              <a:prstDash val="solid"/>
            </a:ln>
          </c:spPr>
          <c:marker>
            <c:symbol val="none"/>
          </c:marker>
          <c:dLbls>
            <c:dLbl>
              <c:idx val="0"/>
              <c:tx>
                <c:rich>
                  <a:bodyPr rot="1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0-A9DB-44E4-9932-EB31B57AD1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-8.1496303247587161</c:v>
              </c:pt>
            </c:numLit>
          </c:xVal>
          <c:yVal>
            <c:numLit>
              <c:formatCode>General</c:formatCode>
              <c:ptCount val="1"/>
              <c:pt idx="0">
                <c:v>2.1627780831490983E-2</c:v>
              </c:pt>
            </c:numLit>
          </c:yVal>
          <c:smooth val="0"/>
          <c:extLst>
            <c:ext xmlns:c16="http://schemas.microsoft.com/office/drawing/2014/chart" uri="{C3380CC4-5D6E-409C-BE32-E72D297353CC}">
              <c16:uniqueId val="{00000091-A9DB-44E4-9932-EB31B57AD14C}"/>
            </c:ext>
          </c:extLst>
        </c:ser>
        <c:ser>
          <c:idx val="121"/>
          <c:order val="121"/>
          <c:spPr>
            <a:ln w="3175">
              <a:solidFill>
                <a:srgbClr val="000000"/>
              </a:solidFill>
              <a:prstDash val="solid"/>
            </a:ln>
          </c:spPr>
          <c:marker>
            <c:symbol val="none"/>
          </c:marker>
          <c:xVal>
            <c:numLit>
              <c:formatCode>General</c:formatCode>
              <c:ptCount val="2"/>
              <c:pt idx="0">
                <c:v>-6.4658267837767367</c:v>
              </c:pt>
              <c:pt idx="1">
                <c:v>-6.7655659291433814</c:v>
              </c:pt>
            </c:numLit>
          </c:xVal>
          <c:yVal>
            <c:numLit>
              <c:formatCode>General</c:formatCode>
              <c:ptCount val="2"/>
              <c:pt idx="0">
                <c:v>2.1361728347072451E-2</c:v>
              </c:pt>
              <c:pt idx="1">
                <c:v>2.1370979668795431E-2</c:v>
              </c:pt>
            </c:numLit>
          </c:yVal>
          <c:smooth val="0"/>
          <c:extLst>
            <c:ext xmlns:c16="http://schemas.microsoft.com/office/drawing/2014/chart" uri="{C3380CC4-5D6E-409C-BE32-E72D297353CC}">
              <c16:uniqueId val="{00000092-A9DB-44E4-9932-EB31B57AD14C}"/>
            </c:ext>
          </c:extLst>
        </c:ser>
        <c:ser>
          <c:idx val="122"/>
          <c:order val="122"/>
          <c:spPr>
            <a:ln w="3175">
              <a:solidFill>
                <a:srgbClr val="000000"/>
              </a:solidFill>
              <a:prstDash val="solid"/>
            </a:ln>
          </c:spPr>
          <c:marker>
            <c:symbol val="none"/>
          </c:marker>
          <c:xVal>
            <c:numLit>
              <c:formatCode>General</c:formatCode>
              <c:ptCount val="2"/>
              <c:pt idx="0">
                <c:v>-6.4708678812703511</c:v>
              </c:pt>
              <c:pt idx="1">
                <c:v>-7.07056221903908</c:v>
              </c:pt>
            </c:numLit>
          </c:xVal>
          <c:yVal>
            <c:numLit>
              <c:formatCode>General</c:formatCode>
              <c:ptCount val="2"/>
              <c:pt idx="0">
                <c:v>2.1260488451156453E-2</c:v>
              </c:pt>
              <c:pt idx="1">
                <c:v>2.1274652241920301E-2</c:v>
              </c:pt>
            </c:numLit>
          </c:yVal>
          <c:smooth val="0"/>
          <c:extLst>
            <c:ext xmlns:c16="http://schemas.microsoft.com/office/drawing/2014/chart" uri="{C3380CC4-5D6E-409C-BE32-E72D297353CC}">
              <c16:uniqueId val="{00000093-A9DB-44E4-9932-EB31B57AD14C}"/>
            </c:ext>
          </c:extLst>
        </c:ser>
        <c:ser>
          <c:idx val="123"/>
          <c:order val="123"/>
          <c:spPr>
            <a:ln w="3175">
              <a:solidFill>
                <a:srgbClr val="000000"/>
              </a:solidFill>
              <a:prstDash val="solid"/>
            </a:ln>
          </c:spPr>
          <c:marker>
            <c:symbol val="none"/>
          </c:marker>
          <c:dLbls>
            <c:dLbl>
              <c:idx val="0"/>
              <c:tx>
                <c:rich>
                  <a:bodyPr rot="120000" vert="horz" wrap="square" lIns="38100" tIns="19050" rIns="38100" bIns="19050" anchor="ctr">
                    <a:spAutoFit/>
                  </a:bodyPr>
                  <a:lstStyle/>
                  <a:p>
                    <a:pPr algn="ctr">
                      <a:defRPr altLang="ja-JP" sz="500" u="none" strike="noStrike" baseline="0">
                        <a:latin typeface="ＭＳ Ｐ明朝"/>
                        <a:ea typeface="ＭＳ Ｐ明朝"/>
                        <a:cs typeface="ＭＳ Ｐ明朝"/>
                      </a:defRPr>
                    </a:pPr>
                    <a:r>
                      <a:rPr lang="en-US"/>
                      <a:t>-40000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4-A9DB-44E4-9932-EB31B57AD1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-8.1700018382817508</c:v>
              </c:pt>
            </c:numLit>
          </c:xVal>
          <c:yVal>
            <c:numLit>
              <c:formatCode>General</c:formatCode>
              <c:ptCount val="1"/>
              <c:pt idx="0">
                <c:v>2.1300619191654022E-2</c:v>
              </c:pt>
            </c:numLit>
          </c:yVal>
          <c:smooth val="0"/>
          <c:extLst>
            <c:ext xmlns:c16="http://schemas.microsoft.com/office/drawing/2014/chart" uri="{C3380CC4-5D6E-409C-BE32-E72D297353CC}">
              <c16:uniqueId val="{00000095-A9DB-44E4-9932-EB31B57AD14C}"/>
            </c:ext>
          </c:extLst>
        </c:ser>
        <c:ser>
          <c:idx val="124"/>
          <c:order val="124"/>
          <c:spPr>
            <a:ln w="3175">
              <a:solidFill>
                <a:srgbClr val="000000"/>
              </a:solidFill>
              <a:prstDash val="solid"/>
            </a:ln>
          </c:spPr>
          <c:marker>
            <c:symbol val="none"/>
          </c:marker>
          <c:xVal>
            <c:numLit>
              <c:formatCode>General</c:formatCode>
              <c:ptCount val="2"/>
              <c:pt idx="0">
                <c:v>-6.4780000000000006</c:v>
              </c:pt>
              <c:pt idx="1">
                <c:v>-7.0780000000000003</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96-A9DB-44E4-9932-EB31B57AD14C}"/>
            </c:ext>
          </c:extLst>
        </c:ser>
        <c:ser>
          <c:idx val="125"/>
          <c:order val="125"/>
          <c:spPr>
            <a:ln w="3175">
              <a:solidFill>
                <a:srgbClr val="000000"/>
              </a:solidFill>
              <a:prstDash val="solid"/>
            </a:ln>
          </c:spPr>
          <c:marker>
            <c:symbol val="none"/>
          </c:marker>
          <c:dLbls>
            <c:dLbl>
              <c:idx val="0"/>
              <c:tx>
                <c:rich>
                  <a:bodyPr rot="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7-A9DB-44E4-9932-EB31B57AD1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-8.1780000000000008</c:v>
              </c:pt>
            </c:numLit>
          </c:xVal>
          <c:yVal>
            <c:numLit>
              <c:formatCode>General</c:formatCode>
              <c:ptCount val="1"/>
              <c:pt idx="0">
                <c:v>2.0930000000000001E-2</c:v>
              </c:pt>
            </c:numLit>
          </c:yVal>
          <c:smooth val="0"/>
          <c:extLst>
            <c:ext xmlns:c16="http://schemas.microsoft.com/office/drawing/2014/chart" uri="{C3380CC4-5D6E-409C-BE32-E72D297353CC}">
              <c16:uniqueId val="{00000098-A9DB-44E4-9932-EB31B57AD14C}"/>
            </c:ext>
          </c:extLst>
        </c:ser>
        <c:ser>
          <c:idx val="126"/>
          <c:order val="126"/>
          <c:spPr>
            <a:ln w="3175">
              <a:solidFill>
                <a:srgbClr val="000000"/>
              </a:solidFill>
              <a:prstDash val="solid"/>
            </a:ln>
          </c:spPr>
          <c:marker>
            <c:symbol val="none"/>
          </c:marker>
          <c:xVal>
            <c:numLit>
              <c:formatCode>General</c:formatCode>
              <c:ptCount val="2"/>
              <c:pt idx="0">
                <c:v>-6.4687544134534143</c:v>
              </c:pt>
              <c:pt idx="1">
                <c:v>-7.0683581740299886</c:v>
              </c:pt>
            </c:numLit>
          </c:xVal>
          <c:yVal>
            <c:numLit>
              <c:formatCode>General</c:formatCode>
              <c:ptCount val="2"/>
              <c:pt idx="0">
                <c:v>2.0553731515266696E-2</c:v>
              </c:pt>
              <c:pt idx="1">
                <c:v>2.0537605723063838E-2</c:v>
              </c:pt>
            </c:numLit>
          </c:yVal>
          <c:smooth val="0"/>
          <c:extLst>
            <c:ext xmlns:c16="http://schemas.microsoft.com/office/drawing/2014/chart" uri="{C3380CC4-5D6E-409C-BE32-E72D297353CC}">
              <c16:uniqueId val="{00000099-A9DB-44E4-9932-EB31B57AD14C}"/>
            </c:ext>
          </c:extLst>
        </c:ser>
        <c:ser>
          <c:idx val="127"/>
          <c:order val="127"/>
          <c:spPr>
            <a:ln w="3175">
              <a:solidFill>
                <a:srgbClr val="000000"/>
              </a:solidFill>
              <a:prstDash val="solid"/>
            </a:ln>
          </c:spPr>
          <c:marker>
            <c:symbol val="none"/>
          </c:marker>
          <c:dLbls>
            <c:dLbl>
              <c:idx val="0"/>
              <c:tx>
                <c:rich>
                  <a:bodyPr rot="-120000" vert="horz" wrap="square" lIns="38100" tIns="19050" rIns="38100" bIns="19050" anchor="ctr">
                    <a:spAutoFit/>
                  </a:bodyPr>
                  <a:lstStyle/>
                  <a:p>
                    <a:pPr algn="ctr">
                      <a:defRPr altLang="ja-JP" sz="500" u="none" strike="noStrike" baseline="0">
                        <a:latin typeface="ＭＳ Ｐ明朝"/>
                        <a:ea typeface="ＭＳ Ｐ明朝"/>
                        <a:cs typeface="ＭＳ Ｐ明朝"/>
                      </a:defRPr>
                    </a:pPr>
                    <a:r>
                      <a:rPr lang="en-US"/>
                      <a:t>40000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A-A9DB-44E4-9932-EB31B57AD1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-8.167631735087042</c:v>
              </c:pt>
            </c:numLit>
          </c:xVal>
          <c:yVal>
            <c:numLit>
              <c:formatCode>General</c:formatCode>
              <c:ptCount val="1"/>
              <c:pt idx="0">
                <c:v>2.0508041770691935E-2</c:v>
              </c:pt>
            </c:numLit>
          </c:yVal>
          <c:smooth val="0"/>
          <c:extLst>
            <c:ext xmlns:c16="http://schemas.microsoft.com/office/drawing/2014/chart" uri="{C3380CC4-5D6E-409C-BE32-E72D297353CC}">
              <c16:uniqueId val="{0000009B-A9DB-44E4-9932-EB31B57AD14C}"/>
            </c:ext>
          </c:extLst>
        </c:ser>
        <c:ser>
          <c:idx val="128"/>
          <c:order val="128"/>
          <c:spPr>
            <a:ln w="3175">
              <a:solidFill>
                <a:srgbClr val="000000"/>
              </a:solidFill>
              <a:prstDash val="solid"/>
            </a:ln>
          </c:spPr>
          <c:marker>
            <c:symbol val="none"/>
          </c:marker>
          <c:xVal>
            <c:numLit>
              <c:formatCode>General</c:formatCode>
              <c:ptCount val="2"/>
              <c:pt idx="0">
                <c:v>-6.4607910353144655</c:v>
              </c:pt>
              <c:pt idx="1">
                <c:v>-6.7604222717854903</c:v>
              </c:pt>
            </c:numLit>
          </c:xVal>
          <c:yVal>
            <c:numLit>
              <c:formatCode>General</c:formatCode>
              <c:ptCount val="2"/>
              <c:pt idx="0">
                <c:v>2.0416729629222568E-2</c:v>
              </c:pt>
              <c:pt idx="1">
                <c:v>2.0405730978420196E-2</c:v>
              </c:pt>
            </c:numLit>
          </c:yVal>
          <c:smooth val="0"/>
          <c:extLst>
            <c:ext xmlns:c16="http://schemas.microsoft.com/office/drawing/2014/chart" uri="{C3380CC4-5D6E-409C-BE32-E72D297353CC}">
              <c16:uniqueId val="{0000009C-A9DB-44E4-9932-EB31B57AD14C}"/>
            </c:ext>
          </c:extLst>
        </c:ser>
        <c:ser>
          <c:idx val="129"/>
          <c:order val="129"/>
          <c:spPr>
            <a:ln w="3175">
              <a:solidFill>
                <a:srgbClr val="000000"/>
              </a:solidFill>
              <a:prstDash val="solid"/>
            </a:ln>
          </c:spPr>
          <c:marker>
            <c:symbol val="none"/>
          </c:marker>
          <c:xVal>
            <c:numLit>
              <c:formatCode>General</c:formatCode>
              <c:ptCount val="2"/>
              <c:pt idx="0">
                <c:v>-6.4354532742589932</c:v>
              </c:pt>
              <c:pt idx="1">
                <c:v>-7.0336298431558069</c:v>
              </c:pt>
            </c:numLit>
          </c:xVal>
          <c:yVal>
            <c:numLit>
              <c:formatCode>General</c:formatCode>
              <c:ptCount val="2"/>
              <c:pt idx="0">
                <c:v>2.0123312766063169E-2</c:v>
              </c:pt>
              <c:pt idx="1">
                <c:v>2.0088740456037306E-2</c:v>
              </c:pt>
            </c:numLit>
          </c:yVal>
          <c:smooth val="0"/>
          <c:extLst>
            <c:ext xmlns:c16="http://schemas.microsoft.com/office/drawing/2014/chart" uri="{C3380CC4-5D6E-409C-BE32-E72D297353CC}">
              <c16:uniqueId val="{0000009D-A9DB-44E4-9932-EB31B57AD14C}"/>
            </c:ext>
          </c:extLst>
        </c:ser>
        <c:ser>
          <c:idx val="130"/>
          <c:order val="130"/>
          <c:spPr>
            <a:ln w="3175">
              <a:solidFill>
                <a:srgbClr val="000000"/>
              </a:solidFill>
              <a:prstDash val="solid"/>
            </a:ln>
          </c:spPr>
          <c:marker>
            <c:symbol val="none"/>
          </c:marker>
          <c:dLbls>
            <c:dLbl>
              <c:idx val="0"/>
              <c:tx>
                <c:rich>
                  <a:bodyPr rot="-240000" vert="horz" wrap="square" lIns="38100" tIns="19050" rIns="38100" bIns="19050" anchor="ctr">
                    <a:spAutoFit/>
                  </a:bodyPr>
                  <a:lstStyle/>
                  <a:p>
                    <a:pPr algn="ctr">
                      <a:defRPr altLang="ja-JP" sz="500" u="none" strike="noStrike" baseline="0">
                        <a:latin typeface="ＭＳ Ｐ明朝"/>
                        <a:ea typeface="ＭＳ Ｐ明朝"/>
                        <a:cs typeface="ＭＳ Ｐ明朝"/>
                      </a:defRPr>
                    </a:pPr>
                    <a:r>
                      <a:rPr lang="en-US"/>
                      <a:t>20000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E-A9DB-44E4-9932-EB31B57AD1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-8.1302868861332982</c:v>
              </c:pt>
            </c:numLit>
          </c:xVal>
          <c:yVal>
            <c:numLit>
              <c:formatCode>General</c:formatCode>
              <c:ptCount val="1"/>
              <c:pt idx="0">
                <c:v>2.0025357887656553E-2</c:v>
              </c:pt>
            </c:numLit>
          </c:yVal>
          <c:smooth val="0"/>
          <c:extLst>
            <c:ext xmlns:c16="http://schemas.microsoft.com/office/drawing/2014/chart" uri="{C3380CC4-5D6E-409C-BE32-E72D297353CC}">
              <c16:uniqueId val="{0000009F-A9DB-44E4-9932-EB31B57AD14C}"/>
            </c:ext>
          </c:extLst>
        </c:ser>
        <c:ser>
          <c:idx val="131"/>
          <c:order val="131"/>
          <c:spPr>
            <a:ln w="3175">
              <a:solidFill>
                <a:srgbClr val="000000"/>
              </a:solidFill>
              <a:prstDash val="solid"/>
            </a:ln>
          </c:spPr>
          <c:marker>
            <c:symbol val="none"/>
          </c:marker>
          <c:xVal>
            <c:numLit>
              <c:formatCode>General</c:formatCode>
              <c:ptCount val="2"/>
              <c:pt idx="0">
                <c:v>-6.3946145573537017</c:v>
              </c:pt>
              <c:pt idx="1">
                <c:v>-6.9910408955260026</c:v>
              </c:pt>
            </c:numLit>
          </c:xVal>
          <c:yVal>
            <c:numLit>
              <c:formatCode>General</c:formatCode>
              <c:ptCount val="2"/>
              <c:pt idx="0">
                <c:v>1.9801504574826875E-2</c:v>
              </c:pt>
              <c:pt idx="1">
                <c:v>1.9753140485176599E-2</c:v>
              </c:pt>
            </c:numLit>
          </c:yVal>
          <c:smooth val="0"/>
          <c:extLst>
            <c:ext xmlns:c16="http://schemas.microsoft.com/office/drawing/2014/chart" uri="{C3380CC4-5D6E-409C-BE32-E72D297353CC}">
              <c16:uniqueId val="{000000A0-A9DB-44E4-9932-EB31B57AD14C}"/>
            </c:ext>
          </c:extLst>
        </c:ser>
        <c:ser>
          <c:idx val="132"/>
          <c:order val="132"/>
          <c:spPr>
            <a:ln w="3175">
              <a:solidFill>
                <a:srgbClr val="000000"/>
              </a:solidFill>
              <a:prstDash val="solid"/>
            </a:ln>
          </c:spPr>
          <c:marker>
            <c:symbol val="none"/>
          </c:marker>
          <c:dLbls>
            <c:dLbl>
              <c:idx val="0"/>
              <c:tx>
                <c:rich>
                  <a:bodyPr rot="-360000" vert="horz" wrap="square" lIns="38100" tIns="19050" rIns="38100" bIns="19050" anchor="ctr">
                    <a:spAutoFit/>
                  </a:bodyPr>
                  <a:lstStyle/>
                  <a:p>
                    <a:pPr algn="ctr">
                      <a:defRPr altLang="ja-JP" sz="500" u="none" strike="noStrike" baseline="0">
                        <a:latin typeface="ＭＳ Ｐ明朝"/>
                        <a:ea typeface="ＭＳ Ｐ明朝"/>
                        <a:cs typeface="ＭＳ Ｐ明朝"/>
                      </a:defRPr>
                    </a:pPr>
                    <a:r>
                      <a:rPr lang="en-US"/>
                      <a:t>15000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1-A9DB-44E4-9932-EB31B57AD1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-8.0844891821752221</c:v>
              </c:pt>
            </c:numLit>
          </c:xVal>
          <c:yVal>
            <c:numLit>
              <c:formatCode>General</c:formatCode>
              <c:ptCount val="1"/>
              <c:pt idx="0">
                <c:v>1.9664472987484423E-2</c:v>
              </c:pt>
            </c:numLit>
          </c:yVal>
          <c:smooth val="0"/>
          <c:extLst>
            <c:ext xmlns:c16="http://schemas.microsoft.com/office/drawing/2014/chart" uri="{C3380CC4-5D6E-409C-BE32-E72D297353CC}">
              <c16:uniqueId val="{000000A2-A9DB-44E4-9932-EB31B57AD14C}"/>
            </c:ext>
          </c:extLst>
        </c:ser>
        <c:ser>
          <c:idx val="133"/>
          <c:order val="133"/>
          <c:spPr>
            <a:ln w="3175">
              <a:solidFill>
                <a:srgbClr val="000000"/>
              </a:solidFill>
              <a:prstDash val="solid"/>
            </a:ln>
          </c:spPr>
          <c:marker>
            <c:symbol val="none"/>
          </c:marker>
          <c:xVal>
            <c:numLit>
              <c:formatCode>General</c:formatCode>
              <c:ptCount val="2"/>
              <c:pt idx="0">
                <c:v>-6.3795129803289274</c:v>
              </c:pt>
              <c:pt idx="1">
                <c:v>-6.6774025441931197</c:v>
              </c:pt>
            </c:numLit>
          </c:xVal>
          <c:yVal>
            <c:numLit>
              <c:formatCode>General</c:formatCode>
              <c:ptCount val="2"/>
              <c:pt idx="0">
                <c:v>1.9703897767998347E-2</c:v>
              </c:pt>
              <c:pt idx="1">
                <c:v>1.967762414874117E-2</c:v>
              </c:pt>
            </c:numLit>
          </c:yVal>
          <c:smooth val="0"/>
          <c:extLst>
            <c:ext xmlns:c16="http://schemas.microsoft.com/office/drawing/2014/chart" uri="{C3380CC4-5D6E-409C-BE32-E72D297353CC}">
              <c16:uniqueId val="{000000A3-A9DB-44E4-9932-EB31B57AD14C}"/>
            </c:ext>
          </c:extLst>
        </c:ser>
        <c:ser>
          <c:idx val="134"/>
          <c:order val="134"/>
          <c:spPr>
            <a:ln w="3175">
              <a:solidFill>
                <a:srgbClr val="000000"/>
              </a:solidFill>
              <a:prstDash val="solid"/>
            </a:ln>
          </c:spPr>
          <c:marker>
            <c:symbol val="none"/>
          </c:marker>
          <c:xVal>
            <c:numLit>
              <c:formatCode>General</c:formatCode>
              <c:ptCount val="2"/>
              <c:pt idx="0">
                <c:v>-6.3599248979775851</c:v>
              </c:pt>
              <c:pt idx="1">
                <c:v>-6.6573947172199626</c:v>
              </c:pt>
            </c:numLit>
          </c:xVal>
          <c:yVal>
            <c:numLit>
              <c:formatCode>General</c:formatCode>
              <c:ptCount val="2"/>
              <c:pt idx="0">
                <c:v>1.9587964977189561E-2</c:v>
              </c:pt>
              <c:pt idx="1">
                <c:v>1.9559207083843622E-2</c:v>
              </c:pt>
            </c:numLit>
          </c:yVal>
          <c:smooth val="0"/>
          <c:extLst>
            <c:ext xmlns:c16="http://schemas.microsoft.com/office/drawing/2014/chart" uri="{C3380CC4-5D6E-409C-BE32-E72D297353CC}">
              <c16:uniqueId val="{000000A4-A9DB-44E4-9932-EB31B57AD14C}"/>
            </c:ext>
          </c:extLst>
        </c:ser>
        <c:ser>
          <c:idx val="135"/>
          <c:order val="135"/>
          <c:spPr>
            <a:ln w="3175">
              <a:solidFill>
                <a:srgbClr val="000000"/>
              </a:solidFill>
              <a:prstDash val="solid"/>
            </a:ln>
          </c:spPr>
          <c:marker>
            <c:symbol val="none"/>
          </c:marker>
          <c:xVal>
            <c:numLit>
              <c:formatCode>General</c:formatCode>
              <c:ptCount val="2"/>
              <c:pt idx="0">
                <c:v>-6.3338909498930658</c:v>
              </c:pt>
              <c:pt idx="1">
                <c:v>-6.9277148477456256</c:v>
              </c:pt>
            </c:numLit>
          </c:xVal>
          <c:yVal>
            <c:numLit>
              <c:formatCode>General</c:formatCode>
              <c:ptCount val="2"/>
              <c:pt idx="0">
                <c:v>1.9448070774442654E-2</c:v>
              </c:pt>
              <c:pt idx="1">
                <c:v>1.9384559521918768E-2</c:v>
              </c:pt>
            </c:numLit>
          </c:yVal>
          <c:smooth val="0"/>
          <c:extLst>
            <c:ext xmlns:c16="http://schemas.microsoft.com/office/drawing/2014/chart" uri="{C3380CC4-5D6E-409C-BE32-E72D297353CC}">
              <c16:uniqueId val="{000000A5-A9DB-44E4-9932-EB31B57AD14C}"/>
            </c:ext>
          </c:extLst>
        </c:ser>
        <c:ser>
          <c:idx val="136"/>
          <c:order val="136"/>
          <c:spPr>
            <a:ln w="3175">
              <a:solidFill>
                <a:srgbClr val="000000"/>
              </a:solidFill>
              <a:prstDash val="solid"/>
            </a:ln>
          </c:spPr>
          <c:marker>
            <c:symbol val="none"/>
          </c:marker>
          <c:xVal>
            <c:numLit>
              <c:formatCode>General</c:formatCode>
              <c:ptCount val="2"/>
              <c:pt idx="0">
                <c:v>-6.2982611859413211</c:v>
              </c:pt>
              <c:pt idx="1">
                <c:v>-6.5944096399257788</c:v>
              </c:pt>
            </c:numLit>
          </c:xVal>
          <c:yVal>
            <c:numLit>
              <c:formatCode>General</c:formatCode>
              <c:ptCount val="2"/>
              <c:pt idx="0">
                <c:v>1.9276040595639192E-2</c:v>
              </c:pt>
              <c:pt idx="1">
                <c:v>1.9240598608402888E-2</c:v>
              </c:pt>
            </c:numLit>
          </c:yVal>
          <c:smooth val="0"/>
          <c:extLst>
            <c:ext xmlns:c16="http://schemas.microsoft.com/office/drawing/2014/chart" uri="{C3380CC4-5D6E-409C-BE32-E72D297353CC}">
              <c16:uniqueId val="{000000A6-A9DB-44E4-9932-EB31B57AD14C}"/>
            </c:ext>
          </c:extLst>
        </c:ser>
        <c:ser>
          <c:idx val="137"/>
          <c:order val="137"/>
          <c:spPr>
            <a:ln w="3175">
              <a:solidFill>
                <a:srgbClr val="000000"/>
              </a:solidFill>
              <a:prstDash val="solid"/>
            </a:ln>
          </c:spPr>
          <c:marker>
            <c:symbol val="none"/>
          </c:marker>
          <c:xVal>
            <c:numLit>
              <c:formatCode>General</c:formatCode>
              <c:ptCount val="2"/>
              <c:pt idx="0">
                <c:v>-6.2477177107241779</c:v>
              </c:pt>
              <c:pt idx="1">
                <c:v>-6.8378484697552135</c:v>
              </c:pt>
            </c:numLit>
          </c:xVal>
          <c:yVal>
            <c:numLit>
              <c:formatCode>General</c:formatCode>
              <c:ptCount val="2"/>
              <c:pt idx="0">
                <c:v>1.9059579257765528E-2</c:v>
              </c:pt>
              <c:pt idx="1">
                <c:v>1.8979418368812621E-2</c:v>
              </c:pt>
            </c:numLit>
          </c:yVal>
          <c:smooth val="0"/>
          <c:extLst>
            <c:ext xmlns:c16="http://schemas.microsoft.com/office/drawing/2014/chart" uri="{C3380CC4-5D6E-409C-BE32-E72D297353CC}">
              <c16:uniqueId val="{000000A7-A9DB-44E4-9932-EB31B57AD14C}"/>
            </c:ext>
          </c:extLst>
        </c:ser>
        <c:ser>
          <c:idx val="138"/>
          <c:order val="138"/>
          <c:spPr>
            <a:ln w="3175">
              <a:solidFill>
                <a:srgbClr val="000000"/>
              </a:solidFill>
              <a:prstDash val="solid"/>
            </a:ln>
          </c:spPr>
          <c:marker>
            <c:symbol val="none"/>
          </c:marker>
          <c:dLbls>
            <c:dLbl>
              <c:idx val="0"/>
              <c:tx>
                <c:rich>
                  <a:bodyPr rot="-6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8-A9DB-44E4-9932-EB31B57AD1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-7.9197548613121134</c:v>
              </c:pt>
            </c:numLit>
          </c:xVal>
          <c:yVal>
            <c:numLit>
              <c:formatCode>General</c:formatCode>
              <c:ptCount val="1"/>
              <c:pt idx="0">
                <c:v>1.8832456739065626E-2</c:v>
              </c:pt>
            </c:numLit>
          </c:yVal>
          <c:smooth val="0"/>
          <c:extLst>
            <c:ext xmlns:c16="http://schemas.microsoft.com/office/drawing/2014/chart" uri="{C3380CC4-5D6E-409C-BE32-E72D297353CC}">
              <c16:uniqueId val="{000000A9-A9DB-44E4-9932-EB31B57AD14C}"/>
            </c:ext>
          </c:extLst>
        </c:ser>
        <c:ser>
          <c:idx val="139"/>
          <c:order val="139"/>
          <c:spPr>
            <a:ln w="3175">
              <a:solidFill>
                <a:srgbClr val="000000"/>
              </a:solidFill>
              <a:prstDash val="solid"/>
            </a:ln>
          </c:spPr>
          <c:marker>
            <c:symbol val="none"/>
          </c:marker>
          <c:xVal>
            <c:numLit>
              <c:formatCode>General</c:formatCode>
              <c:ptCount val="2"/>
              <c:pt idx="0">
                <c:v>-6.2141364364601657</c:v>
              </c:pt>
              <c:pt idx="1">
                <c:v>-6.5084822172414558</c:v>
              </c:pt>
            </c:numLit>
          </c:xVal>
          <c:yVal>
            <c:numLit>
              <c:formatCode>General</c:formatCode>
              <c:ptCount val="2"/>
              <c:pt idx="0">
                <c:v>1.8929051078036645E-2</c:v>
              </c:pt>
              <c:pt idx="1">
                <c:v>1.8886173601137431E-2</c:v>
              </c:pt>
            </c:numLit>
          </c:yVal>
          <c:smooth val="0"/>
          <c:extLst>
            <c:ext xmlns:c16="http://schemas.microsoft.com/office/drawing/2014/chart" uri="{C3380CC4-5D6E-409C-BE32-E72D297353CC}">
              <c16:uniqueId val="{000000AA-A9DB-44E4-9932-EB31B57AD14C}"/>
            </c:ext>
          </c:extLst>
        </c:ser>
        <c:ser>
          <c:idx val="140"/>
          <c:order val="140"/>
          <c:spPr>
            <a:ln w="3175">
              <a:solidFill>
                <a:srgbClr val="000000"/>
              </a:solidFill>
              <a:prstDash val="solid"/>
            </a:ln>
          </c:spPr>
          <c:marker>
            <c:symbol val="none"/>
          </c:marker>
          <c:xVal>
            <c:numLit>
              <c:formatCode>General</c:formatCode>
              <c:ptCount val="2"/>
              <c:pt idx="0">
                <c:v>-6.1727292094729158</c:v>
              </c:pt>
              <c:pt idx="1">
                <c:v>-6.7596461755931836</c:v>
              </c:pt>
            </c:numLit>
          </c:xVal>
          <c:yVal>
            <c:numLit>
              <c:formatCode>General</c:formatCode>
              <c:ptCount val="2"/>
              <c:pt idx="0">
                <c:v>1.8779375962421206E-2</c:v>
              </c:pt>
              <c:pt idx="1">
                <c:v>1.8687206360810688E-2</c:v>
              </c:pt>
            </c:numLit>
          </c:yVal>
          <c:smooth val="0"/>
          <c:extLst>
            <c:ext xmlns:c16="http://schemas.microsoft.com/office/drawing/2014/chart" uri="{C3380CC4-5D6E-409C-BE32-E72D297353CC}">
              <c16:uniqueId val="{000000AB-A9DB-44E4-9932-EB31B57AD14C}"/>
            </c:ext>
          </c:extLst>
        </c:ser>
        <c:ser>
          <c:idx val="141"/>
          <c:order val="141"/>
          <c:spPr>
            <a:ln w="3175">
              <a:solidFill>
                <a:srgbClr val="000000"/>
              </a:solidFill>
              <a:prstDash val="solid"/>
            </a:ln>
          </c:spPr>
          <c:marker>
            <c:symbol val="none"/>
          </c:marker>
          <c:xVal>
            <c:numLit>
              <c:formatCode>General</c:formatCode>
              <c:ptCount val="2"/>
              <c:pt idx="0">
                <c:v>-6.1208981028564446</c:v>
              </c:pt>
              <c:pt idx="1">
                <c:v>-6.4132459193462266</c:v>
              </c:pt>
            </c:numLit>
          </c:xVal>
          <c:yVal>
            <c:numLit>
              <c:formatCode>General</c:formatCode>
              <c:ptCount val="2"/>
              <c:pt idx="0">
                <c:v>1.8606133509740334E-2</c:v>
              </c:pt>
              <c:pt idx="1">
                <c:v>1.8556336370663343E-2</c:v>
              </c:pt>
            </c:numLit>
          </c:yVal>
          <c:smooth val="0"/>
          <c:extLst>
            <c:ext xmlns:c16="http://schemas.microsoft.com/office/drawing/2014/chart" uri="{C3380CC4-5D6E-409C-BE32-E72D297353CC}">
              <c16:uniqueId val="{000000AC-A9DB-44E4-9932-EB31B57AD14C}"/>
            </c:ext>
          </c:extLst>
        </c:ser>
        <c:ser>
          <c:idx val="142"/>
          <c:order val="142"/>
          <c:spPr>
            <a:ln w="3175">
              <a:solidFill>
                <a:srgbClr val="000000"/>
              </a:solidFill>
              <a:prstDash val="solid"/>
            </a:ln>
          </c:spPr>
          <c:marker>
            <c:symbol val="none"/>
          </c:marker>
          <c:xVal>
            <c:numLit>
              <c:formatCode>General</c:formatCode>
              <c:ptCount val="2"/>
              <c:pt idx="0">
                <c:v>-6.0548906661909623</c:v>
              </c:pt>
              <c:pt idx="1">
                <c:v>-6.6367574090277168</c:v>
              </c:pt>
            </c:numLit>
          </c:xVal>
          <c:yVal>
            <c:numLit>
              <c:formatCode>General</c:formatCode>
              <c:ptCount val="2"/>
              <c:pt idx="0">
                <c:v>1.8403482795007753E-2</c:v>
              </c:pt>
              <c:pt idx="1">
                <c:v>1.8295203486222371E-2</c:v>
              </c:pt>
            </c:numLit>
          </c:yVal>
          <c:smooth val="0"/>
          <c:extLst>
            <c:ext xmlns:c16="http://schemas.microsoft.com/office/drawing/2014/chart" uri="{C3380CC4-5D6E-409C-BE32-E72D297353CC}">
              <c16:uniqueId val="{000000AD-A9DB-44E4-9932-EB31B57AD14C}"/>
            </c:ext>
          </c:extLst>
        </c:ser>
        <c:ser>
          <c:idx val="143"/>
          <c:order val="143"/>
          <c:spPr>
            <a:ln w="3175">
              <a:solidFill>
                <a:srgbClr val="000000"/>
              </a:solidFill>
              <a:prstDash val="solid"/>
            </a:ln>
          </c:spPr>
          <c:marker>
            <c:symbol val="none"/>
          </c:marker>
          <c:xVal>
            <c:numLit>
              <c:formatCode>General</c:formatCode>
              <c:ptCount val="2"/>
              <c:pt idx="0">
                <c:v>-5.969139454636716</c:v>
              </c:pt>
              <c:pt idx="1">
                <c:v>-6.2582353000932178</c:v>
              </c:pt>
            </c:numLit>
          </c:xVal>
          <c:yVal>
            <c:numLit>
              <c:formatCode>General</c:formatCode>
              <c:ptCount val="2"/>
              <c:pt idx="0">
                <c:v>1.8163573931641964E-2</c:v>
              </c:pt>
              <c:pt idx="1">
                <c:v>1.8104293373034291E-2</c:v>
              </c:pt>
            </c:numLit>
          </c:yVal>
          <c:smooth val="0"/>
          <c:extLst>
            <c:ext xmlns:c16="http://schemas.microsoft.com/office/drawing/2014/chart" uri="{C3380CC4-5D6E-409C-BE32-E72D297353CC}">
              <c16:uniqueId val="{000000AE-A9DB-44E4-9932-EB31B57AD14C}"/>
            </c:ext>
          </c:extLst>
        </c:ser>
        <c:ser>
          <c:idx val="144"/>
          <c:order val="144"/>
          <c:spPr>
            <a:ln w="3175">
              <a:solidFill>
                <a:srgbClr val="000000"/>
              </a:solidFill>
              <a:prstDash val="solid"/>
            </a:ln>
          </c:spPr>
          <c:marker>
            <c:symbol val="none"/>
          </c:marker>
          <c:xVal>
            <c:numLit>
              <c:formatCode>General</c:formatCode>
              <c:ptCount val="2"/>
              <c:pt idx="0">
                <c:v>-5.8551287645325596</c:v>
              </c:pt>
              <c:pt idx="1">
                <c:v>-6.4284342830125256</c:v>
              </c:pt>
            </c:numLit>
          </c:xVal>
          <c:yVal>
            <c:numLit>
              <c:formatCode>General</c:formatCode>
              <c:ptCount val="2"/>
              <c:pt idx="0">
                <c:v>1.7875666923032288E-2</c:v>
              </c:pt>
              <c:pt idx="1">
                <c:v>1.7744766934019388E-2</c:v>
              </c:pt>
            </c:numLit>
          </c:yVal>
          <c:smooth val="0"/>
          <c:extLst>
            <c:ext xmlns:c16="http://schemas.microsoft.com/office/drawing/2014/chart" uri="{C3380CC4-5D6E-409C-BE32-E72D297353CC}">
              <c16:uniqueId val="{000000AF-A9DB-44E4-9932-EB31B57AD14C}"/>
            </c:ext>
          </c:extLst>
        </c:ser>
        <c:ser>
          <c:idx val="145"/>
          <c:order val="145"/>
          <c:spPr>
            <a:ln w="3175">
              <a:solidFill>
                <a:srgbClr val="000000"/>
              </a:solidFill>
              <a:prstDash val="solid"/>
            </a:ln>
          </c:spPr>
          <c:marker>
            <c:symbol val="none"/>
          </c:marker>
          <c:dLbls>
            <c:dLbl>
              <c:idx val="0"/>
              <c:tx>
                <c:rich>
                  <a:bodyPr rot="-10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7000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0-A9DB-44E4-9932-EB31B57AD1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-7.4794944002257981</c:v>
              </c:pt>
            </c:numLit>
          </c:xVal>
          <c:yVal>
            <c:numLit>
              <c:formatCode>General</c:formatCode>
              <c:ptCount val="1"/>
              <c:pt idx="0">
                <c:v>1.7504783620829068E-2</c:v>
              </c:pt>
            </c:numLit>
          </c:yVal>
          <c:smooth val="0"/>
          <c:extLst>
            <c:ext xmlns:c16="http://schemas.microsoft.com/office/drawing/2014/chart" uri="{C3380CC4-5D6E-409C-BE32-E72D297353CC}">
              <c16:uniqueId val="{000000B1-A9DB-44E4-9932-EB31B57AD14C}"/>
            </c:ext>
          </c:extLst>
        </c:ser>
        <c:ser>
          <c:idx val="146"/>
          <c:order val="146"/>
          <c:spPr>
            <a:ln w="3175">
              <a:solidFill>
                <a:srgbClr val="000000"/>
              </a:solidFill>
              <a:prstDash val="solid"/>
            </a:ln>
          </c:spPr>
          <c:marker>
            <c:symbol val="none"/>
          </c:marker>
          <c:xVal>
            <c:numLit>
              <c:formatCode>General</c:formatCode>
              <c:ptCount val="2"/>
              <c:pt idx="0">
                <c:v>-5.7988285531075912</c:v>
              </c:pt>
              <c:pt idx="1">
                <c:v>-6.0842748792456121</c:v>
              </c:pt>
            </c:numLit>
          </c:xVal>
          <c:yVal>
            <c:numLit>
              <c:formatCode>General</c:formatCode>
              <c:ptCount val="2"/>
              <c:pt idx="0">
                <c:v>1.7743895976123102E-2</c:v>
              </c:pt>
              <c:pt idx="1">
                <c:v>1.7675622318468597E-2</c:v>
              </c:pt>
            </c:numLit>
          </c:yVal>
          <c:smooth val="0"/>
          <c:extLst>
            <c:ext xmlns:c16="http://schemas.microsoft.com/office/drawing/2014/chart" uri="{C3380CC4-5D6E-409C-BE32-E72D297353CC}">
              <c16:uniqueId val="{000000B2-A9DB-44E4-9932-EB31B57AD14C}"/>
            </c:ext>
          </c:extLst>
        </c:ser>
        <c:ser>
          <c:idx val="147"/>
          <c:order val="147"/>
          <c:spPr>
            <a:ln w="3175">
              <a:solidFill>
                <a:srgbClr val="000000"/>
              </a:solidFill>
              <a:prstDash val="solid"/>
            </a:ln>
          </c:spPr>
          <c:marker>
            <c:symbol val="none"/>
          </c:marker>
          <c:xVal>
            <c:numLit>
              <c:formatCode>General</c:formatCode>
              <c:ptCount val="2"/>
              <c:pt idx="0">
                <c:v>-5.7347616757504305</c:v>
              </c:pt>
              <c:pt idx="1">
                <c:v>-6.0188351402307969</c:v>
              </c:pt>
            </c:numLit>
          </c:xVal>
          <c:yVal>
            <c:numLit>
              <c:formatCode>General</c:formatCode>
              <c:ptCount val="2"/>
              <c:pt idx="0">
                <c:v>1.7600918061456586E-2</c:v>
              </c:pt>
              <c:pt idx="1">
                <c:v>1.7529580591344941E-2</c:v>
              </c:pt>
            </c:numLit>
          </c:yVal>
          <c:smooth val="0"/>
          <c:extLst>
            <c:ext xmlns:c16="http://schemas.microsoft.com/office/drawing/2014/chart" uri="{C3380CC4-5D6E-409C-BE32-E72D297353CC}">
              <c16:uniqueId val="{000000B3-A9DB-44E4-9932-EB31B57AD14C}"/>
            </c:ext>
          </c:extLst>
        </c:ser>
        <c:ser>
          <c:idx val="148"/>
          <c:order val="148"/>
          <c:spPr>
            <a:ln w="3175">
              <a:solidFill>
                <a:srgbClr val="000000"/>
              </a:solidFill>
              <a:prstDash val="solid"/>
            </a:ln>
          </c:spPr>
          <c:marker>
            <c:symbol val="none"/>
          </c:marker>
          <c:xVal>
            <c:numLit>
              <c:formatCode>General</c:formatCode>
              <c:ptCount val="2"/>
              <c:pt idx="0">
                <c:v>-5.6614799564344587</c:v>
              </c:pt>
              <c:pt idx="1">
                <c:v>-5.9439830983580544</c:v>
              </c:pt>
            </c:numLit>
          </c:xVal>
          <c:yVal>
            <c:numLit>
              <c:formatCode>General</c:formatCode>
              <c:ptCount val="2"/>
              <c:pt idx="0">
                <c:v>1.7445349228540973E-2</c:v>
              </c:pt>
              <c:pt idx="1">
                <c:v>1.7370678140581138E-2</c:v>
              </c:pt>
            </c:numLit>
          </c:yVal>
          <c:smooth val="0"/>
          <c:extLst>
            <c:ext xmlns:c16="http://schemas.microsoft.com/office/drawing/2014/chart" uri="{C3380CC4-5D6E-409C-BE32-E72D297353CC}">
              <c16:uniqueId val="{000000B4-A9DB-44E4-9932-EB31B57AD14C}"/>
            </c:ext>
          </c:extLst>
        </c:ser>
        <c:ser>
          <c:idx val="149"/>
          <c:order val="149"/>
          <c:spPr>
            <a:ln w="3175">
              <a:solidFill>
                <a:srgbClr val="000000"/>
              </a:solidFill>
              <a:prstDash val="solid"/>
            </a:ln>
          </c:spPr>
          <c:marker>
            <c:symbol val="none"/>
          </c:marker>
          <c:xVal>
            <c:numLit>
              <c:formatCode>General</c:formatCode>
              <c:ptCount val="2"/>
              <c:pt idx="0">
                <c:v>-5.5771951197065643</c:v>
              </c:pt>
              <c:pt idx="1">
                <c:v>-5.8578921579859919</c:v>
              </c:pt>
            </c:numLit>
          </c:xVal>
          <c:yVal>
            <c:numLit>
              <c:formatCode>General</c:formatCode>
              <c:ptCount val="2"/>
              <c:pt idx="0">
                <c:v>1.7275593374812867E-2</c:v>
              </c:pt>
              <c:pt idx="1">
                <c:v>1.7197284661415999E-2</c:v>
              </c:pt>
            </c:numLit>
          </c:yVal>
          <c:smooth val="0"/>
          <c:extLst>
            <c:ext xmlns:c16="http://schemas.microsoft.com/office/drawing/2014/chart" uri="{C3380CC4-5D6E-409C-BE32-E72D297353CC}">
              <c16:uniqueId val="{000000B5-A9DB-44E4-9932-EB31B57AD14C}"/>
            </c:ext>
          </c:extLst>
        </c:ser>
        <c:ser>
          <c:idx val="150"/>
          <c:order val="150"/>
          <c:spPr>
            <a:ln w="3175">
              <a:solidFill>
                <a:srgbClr val="000000"/>
              </a:solidFill>
              <a:prstDash val="solid"/>
            </a:ln>
          </c:spPr>
          <c:marker>
            <c:symbol val="none"/>
          </c:marker>
          <c:xVal>
            <c:numLit>
              <c:formatCode>General</c:formatCode>
              <c:ptCount val="2"/>
              <c:pt idx="0">
                <c:v>-5.4796832004534721</c:v>
              </c:pt>
              <c:pt idx="1">
                <c:v>-6.0368981947586198</c:v>
              </c:pt>
            </c:numLit>
          </c:xVal>
          <c:yVal>
            <c:numLit>
              <c:formatCode>General</c:formatCode>
              <c:ptCount val="2"/>
              <c:pt idx="0">
                <c:v>1.7089808191527837E-2</c:v>
              </c:pt>
              <c:pt idx="1">
                <c:v>1.6925228542593318E-2</c:v>
              </c:pt>
            </c:numLit>
          </c:yVal>
          <c:smooth val="0"/>
          <c:extLst>
            <c:ext xmlns:c16="http://schemas.microsoft.com/office/drawing/2014/chart" uri="{C3380CC4-5D6E-409C-BE32-E72D297353CC}">
              <c16:uniqueId val="{000000B6-A9DB-44E4-9932-EB31B57AD14C}"/>
            </c:ext>
          </c:extLst>
        </c:ser>
        <c:ser>
          <c:idx val="151"/>
          <c:order val="151"/>
          <c:spPr>
            <a:ln w="3175">
              <a:solidFill>
                <a:srgbClr val="000000"/>
              </a:solidFill>
              <a:prstDash val="solid"/>
            </a:ln>
          </c:spPr>
          <c:marker>
            <c:symbol val="none"/>
          </c:marker>
          <c:dLbls>
            <c:dLbl>
              <c:idx val="0"/>
              <c:tx>
                <c:rich>
                  <a:bodyPr rot="-13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6000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7-A9DB-44E4-9932-EB31B57AD1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-7.0584590176513924</c:v>
              </c:pt>
            </c:numLit>
          </c:xVal>
          <c:yVal>
            <c:numLit>
              <c:formatCode>General</c:formatCode>
              <c:ptCount val="1"/>
              <c:pt idx="0">
                <c:v>1.6623499186213361E-2</c:v>
              </c:pt>
            </c:numLit>
          </c:yVal>
          <c:smooth val="0"/>
          <c:extLst>
            <c:ext xmlns:c16="http://schemas.microsoft.com/office/drawing/2014/chart" uri="{C3380CC4-5D6E-409C-BE32-E72D297353CC}">
              <c16:uniqueId val="{000000B8-A9DB-44E4-9932-EB31B57AD14C}"/>
            </c:ext>
          </c:extLst>
        </c:ser>
        <c:ser>
          <c:idx val="152"/>
          <c:order val="152"/>
          <c:spPr>
            <a:ln w="3175">
              <a:solidFill>
                <a:srgbClr val="000000"/>
              </a:solidFill>
              <a:prstDash val="solid"/>
            </a:ln>
          </c:spPr>
          <c:marker>
            <c:symbol val="none"/>
          </c:marker>
          <c:xVal>
            <c:numLit>
              <c:formatCode>General</c:formatCode>
              <c:ptCount val="2"/>
              <c:pt idx="0">
                <c:v>-5.4251226750385708</c:v>
              </c:pt>
              <c:pt idx="1">
                <c:v>-5.7025610180751114</c:v>
              </c:pt>
            </c:numLit>
          </c:xVal>
          <c:yVal>
            <c:numLit>
              <c:formatCode>General</c:formatCode>
              <c:ptCount val="2"/>
              <c:pt idx="0">
                <c:v>1.6990252446736603E-2</c:v>
              </c:pt>
              <c:pt idx="1">
                <c:v>1.6905829284880956E-2</c:v>
              </c:pt>
            </c:numLit>
          </c:yVal>
          <c:smooth val="0"/>
          <c:extLst>
            <c:ext xmlns:c16="http://schemas.microsoft.com/office/drawing/2014/chart" uri="{C3380CC4-5D6E-409C-BE32-E72D297353CC}">
              <c16:uniqueId val="{000000B9-A9DB-44E4-9932-EB31B57AD14C}"/>
            </c:ext>
          </c:extLst>
        </c:ser>
        <c:ser>
          <c:idx val="153"/>
          <c:order val="153"/>
          <c:spPr>
            <a:ln w="3175">
              <a:solidFill>
                <a:srgbClr val="000000"/>
              </a:solidFill>
              <a:prstDash val="solid"/>
            </a:ln>
          </c:spPr>
          <c:marker>
            <c:symbol val="none"/>
          </c:marker>
          <c:xVal>
            <c:numLit>
              <c:formatCode>General</c:formatCode>
              <c:ptCount val="2"/>
              <c:pt idx="0">
                <c:v>-5.3661582607451805</c:v>
              </c:pt>
              <c:pt idx="1">
                <c:v>-5.6423330806182914</c:v>
              </c:pt>
            </c:numLit>
          </c:xVal>
          <c:yVal>
            <c:numLit>
              <c:formatCode>General</c:formatCode>
              <c:ptCount val="2"/>
              <c:pt idx="0">
                <c:v>1.6885867994288942E-2</c:v>
              </c:pt>
              <c:pt idx="1">
                <c:v>1.6799208022737992E-2</c:v>
              </c:pt>
            </c:numLit>
          </c:yVal>
          <c:smooth val="0"/>
          <c:extLst>
            <c:ext xmlns:c16="http://schemas.microsoft.com/office/drawing/2014/chart" uri="{C3380CC4-5D6E-409C-BE32-E72D297353CC}">
              <c16:uniqueId val="{000000BA-A9DB-44E4-9932-EB31B57AD14C}"/>
            </c:ext>
          </c:extLst>
        </c:ser>
        <c:ser>
          <c:idx val="154"/>
          <c:order val="154"/>
          <c:spPr>
            <a:ln w="3175">
              <a:solidFill>
                <a:srgbClr val="000000"/>
              </a:solidFill>
              <a:prstDash val="solid"/>
            </a:ln>
          </c:spPr>
          <c:marker>
            <c:symbol val="none"/>
          </c:marker>
          <c:xVal>
            <c:numLit>
              <c:formatCode>General</c:formatCode>
              <c:ptCount val="2"/>
              <c:pt idx="0">
                <c:v>-5.3023264552641391</c:v>
              </c:pt>
              <c:pt idx="1">
                <c:v>-5.5771334507340855</c:v>
              </c:pt>
            </c:numLit>
          </c:xVal>
          <c:yVal>
            <c:numLit>
              <c:formatCode>General</c:formatCode>
              <c:ptCount val="2"/>
              <c:pt idx="0">
                <c:v>1.677633856600267E-2</c:v>
              </c:pt>
              <c:pt idx="1">
                <c:v>1.6687331535274155E-2</c:v>
              </c:pt>
            </c:numLit>
          </c:yVal>
          <c:smooth val="0"/>
          <c:extLst>
            <c:ext xmlns:c16="http://schemas.microsoft.com/office/drawing/2014/chart" uri="{C3380CC4-5D6E-409C-BE32-E72D297353CC}">
              <c16:uniqueId val="{000000BB-A9DB-44E4-9932-EB31B57AD14C}"/>
            </c:ext>
          </c:extLst>
        </c:ser>
        <c:ser>
          <c:idx val="155"/>
          <c:order val="155"/>
          <c:spPr>
            <a:ln w="3175">
              <a:solidFill>
                <a:srgbClr val="000000"/>
              </a:solidFill>
              <a:prstDash val="solid"/>
            </a:ln>
          </c:spPr>
          <c:marker>
            <c:symbol val="none"/>
          </c:marker>
          <c:xVal>
            <c:numLit>
              <c:formatCode>General</c:formatCode>
              <c:ptCount val="2"/>
              <c:pt idx="0">
                <c:v>-5.2331047854998651</c:v>
              </c:pt>
              <c:pt idx="1">
                <c:v>-5.5064284594748631</c:v>
              </c:pt>
            </c:numLit>
          </c:xVal>
          <c:yVal>
            <c:numLit>
              <c:formatCode>General</c:formatCode>
              <c:ptCount val="2"/>
              <c:pt idx="0">
                <c:v>1.6661325544174033E-2</c:v>
              </c:pt>
              <c:pt idx="1">
                <c:v>1.6569853948692048E-2</c:v>
              </c:pt>
            </c:numLit>
          </c:yVal>
          <c:smooth val="0"/>
          <c:extLst>
            <c:ext xmlns:c16="http://schemas.microsoft.com/office/drawing/2014/chart" uri="{C3380CC4-5D6E-409C-BE32-E72D297353CC}">
              <c16:uniqueId val="{000000BC-A9DB-44E4-9932-EB31B57AD14C}"/>
            </c:ext>
          </c:extLst>
        </c:ser>
        <c:ser>
          <c:idx val="156"/>
          <c:order val="156"/>
          <c:spPr>
            <a:ln w="3175">
              <a:solidFill>
                <a:srgbClr val="000000"/>
              </a:solidFill>
              <a:prstDash val="solid"/>
            </a:ln>
          </c:spPr>
          <c:marker>
            <c:symbol val="none"/>
          </c:marker>
          <c:xVal>
            <c:numLit>
              <c:formatCode>General</c:formatCode>
              <c:ptCount val="2"/>
              <c:pt idx="0">
                <c:v>-5.1579032706065853</c:v>
              </c:pt>
              <c:pt idx="1">
                <c:v>-5.7013276964897246</c:v>
              </c:pt>
            </c:numLit>
          </c:xVal>
          <c:yVal>
            <c:numLit>
              <c:formatCode>General</c:formatCode>
              <c:ptCount val="2"/>
              <c:pt idx="0">
                <c:v>1.6540467071496829E-2</c:v>
              </c:pt>
              <c:pt idx="1">
                <c:v>1.6352344231703834E-2</c:v>
              </c:pt>
            </c:numLit>
          </c:yVal>
          <c:smooth val="0"/>
          <c:extLst>
            <c:ext xmlns:c16="http://schemas.microsoft.com/office/drawing/2014/chart" uri="{C3380CC4-5D6E-409C-BE32-E72D297353CC}">
              <c16:uniqueId val="{000000BD-A9DB-44E4-9932-EB31B57AD14C}"/>
            </c:ext>
          </c:extLst>
        </c:ser>
        <c:ser>
          <c:idx val="157"/>
          <c:order val="157"/>
          <c:spPr>
            <a:ln w="3175">
              <a:solidFill>
                <a:srgbClr val="000000"/>
              </a:solidFill>
              <a:prstDash val="solid"/>
            </a:ln>
          </c:spPr>
          <c:marker>
            <c:symbol val="none"/>
          </c:marker>
          <c:dLbls>
            <c:dLbl>
              <c:idx val="0"/>
              <c:tx>
                <c:rich>
                  <a:bodyPr rot="-15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5500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E-A9DB-44E4-9932-EB31B57AD1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-6.6976058106088132</c:v>
              </c:pt>
            </c:numLit>
          </c:xVal>
          <c:yVal>
            <c:numLit>
              <c:formatCode>General</c:formatCode>
              <c:ptCount val="1"/>
              <c:pt idx="0">
                <c:v>1.6007452358750014E-2</c:v>
              </c:pt>
            </c:numLit>
          </c:yVal>
          <c:smooth val="0"/>
          <c:extLst>
            <c:ext xmlns:c16="http://schemas.microsoft.com/office/drawing/2014/chart" uri="{C3380CC4-5D6E-409C-BE32-E72D297353CC}">
              <c16:uniqueId val="{000000BF-A9DB-44E4-9932-EB31B57AD14C}"/>
            </c:ext>
          </c:extLst>
        </c:ser>
        <c:ser>
          <c:idx val="158"/>
          <c:order val="158"/>
          <c:spPr>
            <a:ln w="3175">
              <a:solidFill>
                <a:srgbClr val="000000"/>
              </a:solidFill>
              <a:prstDash val="solid"/>
            </a:ln>
          </c:spPr>
          <c:marker>
            <c:symbol val="none"/>
          </c:marker>
          <c:xVal>
            <c:numLit>
              <c:formatCode>General</c:formatCode>
              <c:ptCount val="2"/>
              <c:pt idx="0">
                <c:v>-5.0760545707644287</c:v>
              </c:pt>
              <c:pt idx="1">
                <c:v>-5.3460128829950957</c:v>
              </c:pt>
            </c:numLit>
          </c:xVal>
          <c:yVal>
            <c:numLit>
              <c:formatCode>General</c:formatCode>
              <c:ptCount val="2"/>
              <c:pt idx="0">
                <c:v>1.6413377441842833E-2</c:v>
              </c:pt>
              <c:pt idx="1">
                <c:v>1.6316592672739466E-2</c:v>
              </c:pt>
            </c:numLit>
          </c:yVal>
          <c:smooth val="0"/>
          <c:extLst>
            <c:ext xmlns:c16="http://schemas.microsoft.com/office/drawing/2014/chart" uri="{C3380CC4-5D6E-409C-BE32-E72D297353CC}">
              <c16:uniqueId val="{000000C0-A9DB-44E4-9932-EB31B57AD14C}"/>
            </c:ext>
          </c:extLst>
        </c:ser>
        <c:ser>
          <c:idx val="159"/>
          <c:order val="159"/>
          <c:spPr>
            <a:ln w="3175">
              <a:solidFill>
                <a:srgbClr val="000000"/>
              </a:solidFill>
              <a:prstDash val="solid"/>
            </a:ln>
          </c:spPr>
          <c:marker>
            <c:symbol val="none"/>
          </c:marker>
          <c:xVal>
            <c:numLit>
              <c:formatCode>General</c:formatCode>
              <c:ptCount val="2"/>
              <c:pt idx="0">
                <c:v>-4.9868026312391578</c:v>
              </c:pt>
              <c:pt idx="1">
                <c:v>-5.2548484019085686</c:v>
              </c:pt>
            </c:numLit>
          </c:xVal>
          <c:yVal>
            <c:numLit>
              <c:formatCode>General</c:formatCode>
              <c:ptCount val="2"/>
              <c:pt idx="0">
                <c:v>1.6279646915363419E-2</c:v>
              </c:pt>
              <c:pt idx="1">
                <c:v>1.6179996492121203E-2</c:v>
              </c:pt>
            </c:numLit>
          </c:yVal>
          <c:smooth val="0"/>
          <c:extLst>
            <c:ext xmlns:c16="http://schemas.microsoft.com/office/drawing/2014/chart" uri="{C3380CC4-5D6E-409C-BE32-E72D297353CC}">
              <c16:uniqueId val="{000000C1-A9DB-44E4-9932-EB31B57AD14C}"/>
            </c:ext>
          </c:extLst>
        </c:ser>
        <c:ser>
          <c:idx val="160"/>
          <c:order val="160"/>
          <c:spPr>
            <a:ln w="3175">
              <a:solidFill>
                <a:srgbClr val="000000"/>
              </a:solidFill>
              <a:prstDash val="solid"/>
            </a:ln>
          </c:spPr>
          <c:marker>
            <c:symbol val="none"/>
          </c:marker>
          <c:xVal>
            <c:numLit>
              <c:formatCode>General</c:formatCode>
              <c:ptCount val="2"/>
              <c:pt idx="0">
                <c:v>-4.889289615730835</c:v>
              </c:pt>
              <c:pt idx="1">
                <c:v>-5.155245821782211</c:v>
              </c:pt>
            </c:numLit>
          </c:xVal>
          <c:yVal>
            <c:numLit>
              <c:formatCode>General</c:formatCode>
              <c:ptCount val="2"/>
              <c:pt idx="0">
                <c:v>1.6138842151410121E-2</c:v>
              </c:pt>
              <c:pt idx="1">
                <c:v>1.6036174483226053E-2</c:v>
              </c:pt>
            </c:numLit>
          </c:yVal>
          <c:smooth val="0"/>
          <c:extLst>
            <c:ext xmlns:c16="http://schemas.microsoft.com/office/drawing/2014/chart" uri="{C3380CC4-5D6E-409C-BE32-E72D297353CC}">
              <c16:uniqueId val="{000000C2-A9DB-44E4-9932-EB31B57AD14C}"/>
            </c:ext>
          </c:extLst>
        </c:ser>
        <c:ser>
          <c:idx val="161"/>
          <c:order val="161"/>
          <c:spPr>
            <a:ln w="3175">
              <a:solidFill>
                <a:srgbClr val="000000"/>
              </a:solidFill>
              <a:prstDash val="solid"/>
            </a:ln>
          </c:spPr>
          <c:marker>
            <c:symbol val="none"/>
          </c:marker>
          <c:xVal>
            <c:numLit>
              <c:formatCode>General</c:formatCode>
              <c:ptCount val="2"/>
              <c:pt idx="0">
                <c:v>-4.7825409137469856</c:v>
              </c:pt>
              <c:pt idx="1">
                <c:v>-5.0462096476129927</c:v>
              </c:pt>
            </c:numLit>
          </c:xVal>
          <c:yVal>
            <c:numLit>
              <c:formatCode>General</c:formatCode>
              <c:ptCount val="2"/>
              <c:pt idx="0">
                <c:v>1.599050751826438E-2</c:v>
              </c:pt>
              <c:pt idx="1">
                <c:v>1.5884661250798619E-2</c:v>
              </c:pt>
            </c:numLit>
          </c:yVal>
          <c:smooth val="0"/>
          <c:extLst>
            <c:ext xmlns:c16="http://schemas.microsoft.com/office/drawing/2014/chart" uri="{C3380CC4-5D6E-409C-BE32-E72D297353CC}">
              <c16:uniqueId val="{000000C3-A9DB-44E4-9932-EB31B57AD14C}"/>
            </c:ext>
          </c:extLst>
        </c:ser>
        <c:ser>
          <c:idx val="162"/>
          <c:order val="162"/>
          <c:spPr>
            <a:ln w="3175">
              <a:solidFill>
                <a:srgbClr val="000000"/>
              </a:solidFill>
              <a:prstDash val="solid"/>
            </a:ln>
          </c:spPr>
          <c:marker>
            <c:symbol val="none"/>
          </c:marker>
          <c:xVal>
            <c:numLit>
              <c:formatCode>General</c:formatCode>
              <c:ptCount val="2"/>
              <c:pt idx="0">
                <c:v>-4.6654480091532298</c:v>
              </c:pt>
              <c:pt idx="1">
                <c:v>-5.1877672095455107</c:v>
              </c:pt>
            </c:numLit>
          </c:xVal>
          <c:yVal>
            <c:numLit>
              <c:formatCode>General</c:formatCode>
              <c:ptCount val="2"/>
              <c:pt idx="0">
                <c:v>1.5834167623770514E-2</c:v>
              </c:pt>
              <c:pt idx="1">
                <c:v>1.5615774807646391E-2</c:v>
              </c:pt>
            </c:numLit>
          </c:yVal>
          <c:smooth val="0"/>
          <c:extLst>
            <c:ext xmlns:c16="http://schemas.microsoft.com/office/drawing/2014/chart" uri="{C3380CC4-5D6E-409C-BE32-E72D297353CC}">
              <c16:uniqueId val="{000000C4-A9DB-44E4-9932-EB31B57AD14C}"/>
            </c:ext>
          </c:extLst>
        </c:ser>
        <c:ser>
          <c:idx val="163"/>
          <c:order val="163"/>
          <c:spPr>
            <a:ln w="3175">
              <a:solidFill>
                <a:srgbClr val="000000"/>
              </a:solidFill>
              <a:prstDash val="solid"/>
            </a:ln>
          </c:spPr>
          <c:marker>
            <c:symbol val="none"/>
          </c:marker>
          <c:dLbls>
            <c:dLbl>
              <c:idx val="0"/>
              <c:tx>
                <c:rich>
                  <a:bodyPr rot="-17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5-A9DB-44E4-9932-EB31B57AD1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-6.1453524102646933</c:v>
              </c:pt>
            </c:numLit>
          </c:xVal>
          <c:yVal>
            <c:numLit>
              <c:formatCode>General</c:formatCode>
              <c:ptCount val="1"/>
              <c:pt idx="0">
                <c:v>1.5215387978085504E-2</c:v>
              </c:pt>
            </c:numLit>
          </c:yVal>
          <c:smooth val="0"/>
          <c:extLst>
            <c:ext xmlns:c16="http://schemas.microsoft.com/office/drawing/2014/chart" uri="{C3380CC4-5D6E-409C-BE32-E72D297353CC}">
              <c16:uniqueId val="{000000C6-A9DB-44E4-9932-EB31B57AD14C}"/>
            </c:ext>
          </c:extLst>
        </c:ser>
        <c:ser>
          <c:idx val="164"/>
          <c:order val="164"/>
          <c:spPr>
            <a:ln w="3175">
              <a:solidFill>
                <a:srgbClr val="000000"/>
              </a:solidFill>
              <a:prstDash val="solid"/>
            </a:ln>
          </c:spPr>
          <c:marker>
            <c:symbol val="none"/>
          </c:marker>
          <c:xVal>
            <c:numLit>
              <c:formatCode>General</c:formatCode>
              <c:ptCount val="2"/>
              <c:pt idx="0">
                <c:v>-4.5367490194500562</c:v>
              </c:pt>
              <c:pt idx="1">
                <c:v>-4.7951507841525576</c:v>
              </c:pt>
            </c:numLit>
          </c:xVal>
          <c:yVal>
            <c:numLit>
              <c:formatCode>General</c:formatCode>
              <c:ptCount val="2"/>
              <c:pt idx="0">
                <c:v>1.5669331520569488E-2</c:v>
              </c:pt>
              <c:pt idx="1">
                <c:v>1.5556602910295978E-2</c:v>
              </c:pt>
            </c:numLit>
          </c:yVal>
          <c:smooth val="0"/>
          <c:extLst>
            <c:ext xmlns:c16="http://schemas.microsoft.com/office/drawing/2014/chart" uri="{C3380CC4-5D6E-409C-BE32-E72D297353CC}">
              <c16:uniqueId val="{000000C7-A9DB-44E4-9932-EB31B57AD14C}"/>
            </c:ext>
          </c:extLst>
        </c:ser>
        <c:ser>
          <c:idx val="165"/>
          <c:order val="165"/>
          <c:spPr>
            <a:ln w="3175">
              <a:solidFill>
                <a:srgbClr val="000000"/>
              </a:solidFill>
              <a:prstDash val="solid"/>
            </a:ln>
          </c:spPr>
          <c:marker>
            <c:symbol val="none"/>
          </c:marker>
          <c:xVal>
            <c:numLit>
              <c:formatCode>General</c:formatCode>
              <c:ptCount val="2"/>
              <c:pt idx="0">
                <c:v>-4.3950067701211761</c:v>
              </c:pt>
              <c:pt idx="1">
                <c:v>-4.650371200909488</c:v>
              </c:pt>
            </c:numLit>
          </c:xVal>
          <c:yVal>
            <c:numLit>
              <c:formatCode>General</c:formatCode>
              <c:ptCount val="2"/>
              <c:pt idx="0">
                <c:v>1.5495499179174118E-2</c:v>
              </c:pt>
              <c:pt idx="1">
                <c:v>1.5379045590156421E-2</c:v>
              </c:pt>
            </c:numLit>
          </c:yVal>
          <c:smooth val="0"/>
          <c:extLst>
            <c:ext xmlns:c16="http://schemas.microsoft.com/office/drawing/2014/chart" uri="{C3380CC4-5D6E-409C-BE32-E72D297353CC}">
              <c16:uniqueId val="{000000C8-A9DB-44E4-9932-EB31B57AD14C}"/>
            </c:ext>
          </c:extLst>
        </c:ser>
        <c:ser>
          <c:idx val="166"/>
          <c:order val="166"/>
          <c:spPr>
            <a:ln w="3175">
              <a:solidFill>
                <a:srgbClr val="000000"/>
              </a:solidFill>
              <a:prstDash val="solid"/>
            </a:ln>
          </c:spPr>
          <c:marker>
            <c:symbol val="none"/>
          </c:marker>
          <c:xVal>
            <c:numLit>
              <c:formatCode>General</c:formatCode>
              <c:ptCount val="2"/>
              <c:pt idx="0">
                <c:v>-4.2385843738412259</c:v>
              </c:pt>
              <c:pt idx="1">
                <c:v>-4.4905968961378235</c:v>
              </c:pt>
            </c:numLit>
          </c:xVal>
          <c:yVal>
            <c:numLit>
              <c:formatCode>General</c:formatCode>
              <c:ptCount val="2"/>
              <c:pt idx="0">
                <c:v>1.5312170997110987E-2</c:v>
              </c:pt>
              <c:pt idx="1">
                <c:v>1.5191788947049081E-2</c:v>
              </c:pt>
            </c:numLit>
          </c:yVal>
          <c:smooth val="0"/>
          <c:extLst>
            <c:ext xmlns:c16="http://schemas.microsoft.com/office/drawing/2014/chart" uri="{C3380CC4-5D6E-409C-BE32-E72D297353CC}">
              <c16:uniqueId val="{000000C9-A9DB-44E4-9932-EB31B57AD14C}"/>
            </c:ext>
          </c:extLst>
        </c:ser>
        <c:ser>
          <c:idx val="167"/>
          <c:order val="167"/>
          <c:spPr>
            <a:ln w="3175">
              <a:solidFill>
                <a:srgbClr val="000000"/>
              </a:solidFill>
              <a:prstDash val="solid"/>
            </a:ln>
          </c:spPr>
          <c:marker>
            <c:symbol val="none"/>
          </c:marker>
          <c:xVal>
            <c:numLit>
              <c:formatCode>General</c:formatCode>
              <c:ptCount val="2"/>
              <c:pt idx="0">
                <c:v>-4.0656184666577015</c:v>
              </c:pt>
              <c:pt idx="1">
                <c:v>-4.3139245766575094</c:v>
              </c:pt>
            </c:numLit>
          </c:xVal>
          <c:yVal>
            <c:numLit>
              <c:formatCode>General</c:formatCode>
              <c:ptCount val="2"/>
              <c:pt idx="0">
                <c:v>1.5118861327289309E-2</c:v>
              </c:pt>
              <c:pt idx="1">
                <c:v>1.4994336927159794E-2</c:v>
              </c:pt>
            </c:numLit>
          </c:yVal>
          <c:smooth val="0"/>
          <c:extLst>
            <c:ext xmlns:c16="http://schemas.microsoft.com/office/drawing/2014/chart" uri="{C3380CC4-5D6E-409C-BE32-E72D297353CC}">
              <c16:uniqueId val="{000000CA-A9DB-44E4-9932-EB31B57AD14C}"/>
            </c:ext>
          </c:extLst>
        </c:ser>
        <c:ser>
          <c:idx val="168"/>
          <c:order val="168"/>
          <c:spPr>
            <a:ln w="3175">
              <a:solidFill>
                <a:srgbClr val="000000"/>
              </a:solidFill>
              <a:prstDash val="solid"/>
            </a:ln>
          </c:spPr>
          <c:marker>
            <c:symbol val="none"/>
          </c:marker>
          <c:xVal>
            <c:numLit>
              <c:formatCode>General</c:formatCode>
              <c:ptCount val="2"/>
              <c:pt idx="0">
                <c:v>-3.8739905493226741</c:v>
              </c:pt>
              <c:pt idx="1">
                <c:v>-4.3623901442936459</c:v>
              </c:pt>
            </c:numLit>
          </c:xVal>
          <c:yVal>
            <c:numLit>
              <c:formatCode>General</c:formatCode>
              <c:ptCount val="2"/>
              <c:pt idx="0">
                <c:v>1.4915117265152884E-2</c:v>
              </c:pt>
              <c:pt idx="1">
                <c:v>1.4657336576516579E-2</c:v>
              </c:pt>
            </c:numLit>
          </c:yVal>
          <c:smooth val="0"/>
          <c:extLst>
            <c:ext xmlns:c16="http://schemas.microsoft.com/office/drawing/2014/chart" uri="{C3380CC4-5D6E-409C-BE32-E72D297353CC}">
              <c16:uniqueId val="{000000CB-A9DB-44E4-9932-EB31B57AD14C}"/>
            </c:ext>
          </c:extLst>
        </c:ser>
        <c:ser>
          <c:idx val="169"/>
          <c:order val="169"/>
          <c:spPr>
            <a:ln w="3175">
              <a:solidFill>
                <a:srgbClr val="000000"/>
              </a:solidFill>
              <a:prstDash val="solid"/>
            </a:ln>
          </c:spPr>
          <c:marker>
            <c:symbol val="none"/>
          </c:marker>
          <c:dLbls>
            <c:dLbl>
              <c:idx val="0"/>
              <c:tx>
                <c:rich>
                  <a:bodyPr rot="-21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4500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C-A9DB-44E4-9932-EB31B57AD1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-5.2577894017404265</c:v>
              </c:pt>
            </c:numLit>
          </c:xVal>
          <c:yVal>
            <c:numLit>
              <c:formatCode>General</c:formatCode>
              <c:ptCount val="1"/>
              <c:pt idx="0">
                <c:v>1.418473864735002E-2</c:v>
              </c:pt>
            </c:numLit>
          </c:yVal>
          <c:smooth val="0"/>
          <c:extLst>
            <c:ext xmlns:c16="http://schemas.microsoft.com/office/drawing/2014/chart" uri="{C3380CC4-5D6E-409C-BE32-E72D297353CC}">
              <c16:uniqueId val="{000000CD-A9DB-44E4-9932-EB31B57AD14C}"/>
            </c:ext>
          </c:extLst>
        </c:ser>
        <c:ser>
          <c:idx val="170"/>
          <c:order val="170"/>
          <c:spPr>
            <a:ln w="3175">
              <a:solidFill>
                <a:srgbClr val="000000"/>
              </a:solidFill>
              <a:prstDash val="solid"/>
            </a:ln>
          </c:spPr>
          <c:marker>
            <c:symbol val="none"/>
          </c:marker>
          <c:xVal>
            <c:numLit>
              <c:formatCode>General</c:formatCode>
              <c:ptCount val="2"/>
              <c:pt idx="0">
                <c:v>-3.7704392439481627</c:v>
              </c:pt>
              <c:pt idx="1">
                <c:v>-4.0124200848899099</c:v>
              </c:pt>
            </c:numLit>
          </c:xVal>
          <c:yVal>
            <c:numLit>
              <c:formatCode>General</c:formatCode>
              <c:ptCount val="2"/>
              <c:pt idx="0">
                <c:v>1.4809205883937578E-2</c:v>
              </c:pt>
              <c:pt idx="1">
                <c:v>1.4678046010021956E-2</c:v>
              </c:pt>
            </c:numLit>
          </c:yVal>
          <c:smooth val="0"/>
          <c:extLst>
            <c:ext xmlns:c16="http://schemas.microsoft.com/office/drawing/2014/chart" uri="{C3380CC4-5D6E-409C-BE32-E72D297353CC}">
              <c16:uniqueId val="{000000CE-A9DB-44E4-9932-EB31B57AD14C}"/>
            </c:ext>
          </c:extLst>
        </c:ser>
        <c:ser>
          <c:idx val="171"/>
          <c:order val="171"/>
          <c:spPr>
            <a:ln w="3175">
              <a:solidFill>
                <a:srgbClr val="000000"/>
              </a:solidFill>
              <a:prstDash val="solid"/>
            </a:ln>
          </c:spPr>
          <c:marker>
            <c:symbol val="none"/>
          </c:marker>
          <c:xVal>
            <c:numLit>
              <c:formatCode>General</c:formatCode>
              <c:ptCount val="2"/>
              <c:pt idx="0">
                <c:v>-3.6612973419810073</c:v>
              </c:pt>
              <c:pt idx="1">
                <c:v>-4.1405815137801936</c:v>
              </c:pt>
            </c:numLit>
          </c:xVal>
          <c:yVal>
            <c:numLit>
              <c:formatCode>General</c:formatCode>
              <c:ptCount val="2"/>
              <c:pt idx="0">
                <c:v>1.4700544227002829E-2</c:v>
              </c:pt>
              <c:pt idx="1">
                <c:v>1.4433567551017237E-2</c:v>
              </c:pt>
            </c:numLit>
          </c:yVal>
          <c:smooth val="0"/>
          <c:extLst>
            <c:ext xmlns:c16="http://schemas.microsoft.com/office/drawing/2014/chart" uri="{C3380CC4-5D6E-409C-BE32-E72D297353CC}">
              <c16:uniqueId val="{000000CF-A9DB-44E4-9932-EB31B57AD14C}"/>
            </c:ext>
          </c:extLst>
        </c:ser>
        <c:ser>
          <c:idx val="172"/>
          <c:order val="172"/>
          <c:spPr>
            <a:ln w="3175">
              <a:solidFill>
                <a:srgbClr val="000000"/>
              </a:solidFill>
              <a:prstDash val="solid"/>
            </a:ln>
          </c:spPr>
          <c:marker>
            <c:symbol val="none"/>
          </c:marker>
          <c:xVal>
            <c:numLit>
              <c:formatCode>General</c:formatCode>
              <c:ptCount val="2"/>
              <c:pt idx="0">
                <c:v>-3.5462151642748525</c:v>
              </c:pt>
              <c:pt idx="1">
                <c:v>-3.7833912035093142</c:v>
              </c:pt>
            </c:numLit>
          </c:xVal>
          <c:yVal>
            <c:numLit>
              <c:formatCode>General</c:formatCode>
              <c:ptCount val="2"/>
              <c:pt idx="0">
                <c:v>1.4589097690626144E-2</c:v>
              </c:pt>
              <c:pt idx="1">
                <c:v>1.4453221212568132E-2</c:v>
              </c:pt>
            </c:numLit>
          </c:yVal>
          <c:smooth val="0"/>
          <c:extLst>
            <c:ext xmlns:c16="http://schemas.microsoft.com/office/drawing/2014/chart" uri="{C3380CC4-5D6E-409C-BE32-E72D297353CC}">
              <c16:uniqueId val="{000000D0-A9DB-44E4-9932-EB31B57AD14C}"/>
            </c:ext>
          </c:extLst>
        </c:ser>
        <c:ser>
          <c:idx val="173"/>
          <c:order val="173"/>
          <c:spPr>
            <a:ln w="3175">
              <a:solidFill>
                <a:srgbClr val="000000"/>
              </a:solidFill>
              <a:prstDash val="solid"/>
            </a:ln>
          </c:spPr>
          <c:marker>
            <c:symbol val="none"/>
          </c:marker>
          <c:xVal>
            <c:numLit>
              <c:formatCode>General</c:formatCode>
              <c:ptCount val="2"/>
              <c:pt idx="0">
                <c:v>-3.4248217502543765</c:v>
              </c:pt>
              <c:pt idx="1">
                <c:v>-3.8939712538367064</c:v>
              </c:pt>
            </c:numLit>
          </c:xVal>
          <c:yVal>
            <c:numLit>
              <c:formatCode>General</c:formatCode>
              <c:ptCount val="2"/>
              <c:pt idx="0">
                <c:v>1.4474840163683531E-2</c:v>
              </c:pt>
              <c:pt idx="1">
                <c:v>1.4198190456412825E-2</c:v>
              </c:pt>
            </c:numLit>
          </c:yVal>
          <c:smooth val="0"/>
          <c:extLst>
            <c:ext xmlns:c16="http://schemas.microsoft.com/office/drawing/2014/chart" uri="{C3380CC4-5D6E-409C-BE32-E72D297353CC}">
              <c16:uniqueId val="{000000D1-A9DB-44E4-9932-EB31B57AD14C}"/>
            </c:ext>
          </c:extLst>
        </c:ser>
        <c:ser>
          <c:idx val="174"/>
          <c:order val="174"/>
          <c:spPr>
            <a:ln w="3175">
              <a:solidFill>
                <a:srgbClr val="000000"/>
              </a:solidFill>
              <a:prstDash val="solid"/>
            </a:ln>
          </c:spPr>
          <c:marker>
            <c:symbol val="none"/>
          </c:marker>
          <c:xVal>
            <c:numLit>
              <c:formatCode>General</c:formatCode>
              <c:ptCount val="2"/>
              <c:pt idx="0">
                <c:v>-3.2967241795418643</c:v>
              </c:pt>
              <c:pt idx="1">
                <c:v>-3.5285539833891901</c:v>
              </c:pt>
            </c:numLit>
          </c:xVal>
          <c:yVal>
            <c:numLit>
              <c:formatCode>General</c:formatCode>
              <c:ptCount val="2"/>
              <c:pt idx="0">
                <c:v>1.4357755721848364E-2</c:v>
              </c:pt>
              <c:pt idx="1">
                <c:v>1.421692191588797E-2</c:v>
              </c:pt>
            </c:numLit>
          </c:yVal>
          <c:smooth val="0"/>
          <c:extLst>
            <c:ext xmlns:c16="http://schemas.microsoft.com/office/drawing/2014/chart" uri="{C3380CC4-5D6E-409C-BE32-E72D297353CC}">
              <c16:uniqueId val="{000000D2-A9DB-44E4-9932-EB31B57AD14C}"/>
            </c:ext>
          </c:extLst>
        </c:ser>
        <c:ser>
          <c:idx val="175"/>
          <c:order val="175"/>
          <c:spPr>
            <a:ln w="3175">
              <a:solidFill>
                <a:srgbClr val="000000"/>
              </a:solidFill>
              <a:prstDash val="solid"/>
            </a:ln>
          </c:spPr>
          <c:marker>
            <c:symbol val="none"/>
          </c:marker>
          <c:xVal>
            <c:numLit>
              <c:formatCode>General</c:formatCode>
              <c:ptCount val="2"/>
              <c:pt idx="0">
                <c:v>-3.1615070418306956</c:v>
              </c:pt>
              <c:pt idx="1">
                <c:v>-3.6193716293377252</c:v>
              </c:pt>
            </c:numLit>
          </c:xVal>
          <c:yVal>
            <c:numLit>
              <c:formatCode>General</c:formatCode>
              <c:ptCount val="2"/>
              <c:pt idx="0">
                <c:v>1.4237840545403689E-2</c:v>
              </c:pt>
              <c:pt idx="1">
                <c:v>1.3951033711635275E-2</c:v>
              </c:pt>
            </c:numLit>
          </c:yVal>
          <c:smooth val="0"/>
          <c:extLst>
            <c:ext xmlns:c16="http://schemas.microsoft.com/office/drawing/2014/chart" uri="{C3380CC4-5D6E-409C-BE32-E72D297353CC}">
              <c16:uniqueId val="{000000D3-A9DB-44E4-9932-EB31B57AD14C}"/>
            </c:ext>
          </c:extLst>
        </c:ser>
        <c:ser>
          <c:idx val="176"/>
          <c:order val="176"/>
          <c:spPr>
            <a:ln w="3175">
              <a:solidFill>
                <a:srgbClr val="000000"/>
              </a:solidFill>
              <a:prstDash val="solid"/>
            </a:ln>
          </c:spPr>
          <c:marker>
            <c:symbol val="none"/>
          </c:marker>
          <c:dLbls>
            <c:dLbl>
              <c:idx val="0"/>
              <c:tx>
                <c:rich>
                  <a:bodyPr rot="-24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4200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D4-A9DB-44E4-9932-EB31B57AD1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-4.4587900397672797</c:v>
              </c:pt>
            </c:numLit>
          </c:xVal>
          <c:yVal>
            <c:numLit>
              <c:formatCode>General</c:formatCode>
              <c:ptCount val="1"/>
              <c:pt idx="0">
                <c:v>1.3425221183059851E-2</c:v>
              </c:pt>
            </c:numLit>
          </c:yVal>
          <c:smooth val="0"/>
          <c:extLst>
            <c:ext xmlns:c16="http://schemas.microsoft.com/office/drawing/2014/chart" uri="{C3380CC4-5D6E-409C-BE32-E72D297353CC}">
              <c16:uniqueId val="{000000D5-A9DB-44E4-9932-EB31B57AD14C}"/>
            </c:ext>
          </c:extLst>
        </c:ser>
        <c:ser>
          <c:idx val="177"/>
          <c:order val="177"/>
          <c:spPr>
            <a:ln w="3175">
              <a:solidFill>
                <a:srgbClr val="000000"/>
              </a:solidFill>
              <a:prstDash val="solid"/>
            </a:ln>
          </c:spPr>
          <c:marker>
            <c:symbol val="none"/>
          </c:marker>
          <c:xVal>
            <c:numLit>
              <c:formatCode>General</c:formatCode>
              <c:ptCount val="2"/>
              <c:pt idx="0">
                <c:v>-3.0187321044678757</c:v>
              </c:pt>
              <c:pt idx="1">
                <c:v>-3.2446049352779021</c:v>
              </c:pt>
            </c:numLit>
          </c:xVal>
          <c:yVal>
            <c:numLit>
              <c:formatCode>General</c:formatCode>
              <c:ptCount val="2"/>
              <c:pt idx="0">
                <c:v>1.4115105078987998E-2</c:v>
              </c:pt>
              <c:pt idx="1">
                <c:v>1.3969071616394883E-2</c:v>
              </c:pt>
            </c:numLit>
          </c:yVal>
          <c:smooth val="0"/>
          <c:extLst>
            <c:ext xmlns:c16="http://schemas.microsoft.com/office/drawing/2014/chart" uri="{C3380CC4-5D6E-409C-BE32-E72D297353CC}">
              <c16:uniqueId val="{000000D6-A9DB-44E4-9932-EB31B57AD14C}"/>
            </c:ext>
          </c:extLst>
        </c:ser>
        <c:ser>
          <c:idx val="178"/>
          <c:order val="178"/>
          <c:spPr>
            <a:ln w="3175">
              <a:solidFill>
                <a:srgbClr val="000000"/>
              </a:solidFill>
              <a:prstDash val="solid"/>
            </a:ln>
          </c:spPr>
          <c:marker>
            <c:symbol val="none"/>
          </c:marker>
          <c:xVal>
            <c:numLit>
              <c:formatCode>General</c:formatCode>
              <c:ptCount val="2"/>
              <c:pt idx="0">
                <c:v>-2.8679382367257746</c:v>
              </c:pt>
              <c:pt idx="1">
                <c:v>-3.3132213040140215</c:v>
              </c:pt>
            </c:numLit>
          </c:xVal>
          <c:yVal>
            <c:numLit>
              <c:formatCode>General</c:formatCode>
              <c:ptCount val="2"/>
              <c:pt idx="0">
                <c:v>1.3989576450102176E-2</c:v>
              </c:pt>
              <c:pt idx="1">
                <c:v>1.3692129726535128E-2</c:v>
              </c:pt>
            </c:numLit>
          </c:yVal>
          <c:smooth val="0"/>
          <c:extLst>
            <c:ext xmlns:c16="http://schemas.microsoft.com/office/drawing/2014/chart" uri="{C3380CC4-5D6E-409C-BE32-E72D297353CC}">
              <c16:uniqueId val="{000000D7-A9DB-44E4-9932-EB31B57AD14C}"/>
            </c:ext>
          </c:extLst>
        </c:ser>
        <c:ser>
          <c:idx val="179"/>
          <c:order val="179"/>
          <c:spPr>
            <a:ln w="3175">
              <a:solidFill>
                <a:srgbClr val="000000"/>
              </a:solidFill>
              <a:prstDash val="solid"/>
            </a:ln>
          </c:spPr>
          <c:marker>
            <c:symbol val="none"/>
          </c:marker>
          <c:xVal>
            <c:numLit>
              <c:formatCode>General</c:formatCode>
              <c:ptCount val="2"/>
              <c:pt idx="0">
                <c:v>-2.7086416603368892</c:v>
              </c:pt>
              <c:pt idx="1">
                <c:v>-2.9278696959155375</c:v>
              </c:pt>
            </c:numLit>
          </c:xVal>
          <c:yVal>
            <c:numLit>
              <c:formatCode>General</c:formatCode>
              <c:ptCount val="2"/>
              <c:pt idx="0">
                <c:v>1.3861301160508996E-2</c:v>
              </c:pt>
              <c:pt idx="1">
                <c:v>1.3709829042519902E-2</c:v>
              </c:pt>
            </c:numLit>
          </c:yVal>
          <c:smooth val="0"/>
          <c:extLst>
            <c:ext xmlns:c16="http://schemas.microsoft.com/office/drawing/2014/chart" uri="{C3380CC4-5D6E-409C-BE32-E72D297353CC}">
              <c16:uniqueId val="{000000D8-A9DB-44E4-9932-EB31B57AD14C}"/>
            </c:ext>
          </c:extLst>
        </c:ser>
        <c:ser>
          <c:idx val="180"/>
          <c:order val="180"/>
          <c:spPr>
            <a:ln w="3175">
              <a:solidFill>
                <a:srgbClr val="000000"/>
              </a:solidFill>
              <a:prstDash val="solid"/>
            </a:ln>
          </c:spPr>
          <c:marker>
            <c:symbol val="none"/>
          </c:marker>
          <c:xVal>
            <c:numLit>
              <c:formatCode>General</c:formatCode>
              <c:ptCount val="2"/>
              <c:pt idx="0">
                <c:v>-2.5403366074235816</c:v>
              </c:pt>
              <c:pt idx="1">
                <c:v>-2.9715796048845915</c:v>
              </c:pt>
            </c:numLit>
          </c:xVal>
          <c:yVal>
            <c:numLit>
              <c:formatCode>General</c:formatCode>
              <c:ptCount val="2"/>
              <c:pt idx="0">
                <c:v>1.3730348060406742E-2</c:v>
              </c:pt>
              <c:pt idx="1">
                <c:v>1.3421791548709889E-2</c:v>
              </c:pt>
            </c:numLit>
          </c:yVal>
          <c:smooth val="0"/>
          <c:extLst>
            <c:ext xmlns:c16="http://schemas.microsoft.com/office/drawing/2014/chart" uri="{C3380CC4-5D6E-409C-BE32-E72D297353CC}">
              <c16:uniqueId val="{000000D9-A9DB-44E4-9932-EB31B57AD14C}"/>
            </c:ext>
          </c:extLst>
        </c:ser>
        <c:ser>
          <c:idx val="181"/>
          <c:order val="181"/>
          <c:spPr>
            <a:ln w="3175">
              <a:solidFill>
                <a:srgbClr val="000000"/>
              </a:solidFill>
              <a:prstDash val="solid"/>
            </a:ln>
          </c:spPr>
          <c:marker>
            <c:symbol val="none"/>
          </c:marker>
          <c:dLbls>
            <c:dLbl>
              <c:idx val="0"/>
              <c:tx>
                <c:rich>
                  <a:bodyPr rot="-26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4000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DA-A9DB-44E4-9932-EB31B57AD1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-3.7621917668964442</c:v>
              </c:pt>
            </c:numLit>
          </c:xVal>
          <c:yVal>
            <c:numLit>
              <c:formatCode>General</c:formatCode>
              <c:ptCount val="1"/>
              <c:pt idx="0">
                <c:v>1.285610461059899E-2</c:v>
              </c:pt>
            </c:numLit>
          </c:yVal>
          <c:smooth val="0"/>
          <c:extLst>
            <c:ext xmlns:c16="http://schemas.microsoft.com/office/drawing/2014/chart" uri="{C3380CC4-5D6E-409C-BE32-E72D297353CC}">
              <c16:uniqueId val="{000000DB-A9DB-44E4-9932-EB31B57AD14C}"/>
            </c:ext>
          </c:extLst>
        </c:ser>
        <c:ser>
          <c:idx val="182"/>
          <c:order val="182"/>
          <c:spPr>
            <a:ln w="3175">
              <a:solidFill>
                <a:srgbClr val="000000"/>
              </a:solidFill>
              <a:prstDash val="solid"/>
            </a:ln>
          </c:spPr>
          <c:marker>
            <c:symbol val="none"/>
          </c:marker>
          <c:xVal>
            <c:numLit>
              <c:formatCode>General</c:formatCode>
              <c:ptCount val="2"/>
              <c:pt idx="0">
                <c:v>-2.3624964792520693</c:v>
              </c:pt>
              <c:pt idx="1">
                <c:v>-2.5743071180931856</c:v>
              </c:pt>
            </c:numLit>
          </c:xVal>
          <c:yVal>
            <c:numLit>
              <c:formatCode>General</c:formatCode>
              <c:ptCount val="2"/>
              <c:pt idx="0">
                <c:v>1.3596811609050458E-2</c:v>
              </c:pt>
              <c:pt idx="1">
                <c:v>1.3439671857815824E-2</c:v>
              </c:pt>
            </c:numLit>
          </c:yVal>
          <c:smooth val="0"/>
          <c:extLst>
            <c:ext xmlns:c16="http://schemas.microsoft.com/office/drawing/2014/chart" uri="{C3380CC4-5D6E-409C-BE32-E72D297353CC}">
              <c16:uniqueId val="{000000DC-A9DB-44E4-9932-EB31B57AD14C}"/>
            </c:ext>
          </c:extLst>
        </c:ser>
        <c:ser>
          <c:idx val="183"/>
          <c:order val="183"/>
          <c:spPr>
            <a:ln w="3175">
              <a:solidFill>
                <a:srgbClr val="000000"/>
              </a:solidFill>
              <a:prstDash val="solid"/>
            </a:ln>
          </c:spPr>
          <c:marker>
            <c:symbol val="none"/>
          </c:marker>
          <c:xVal>
            <c:numLit>
              <c:formatCode>General</c:formatCode>
              <c:ptCount val="2"/>
              <c:pt idx="0">
                <c:v>-2.1745756118950066</c:v>
              </c:pt>
              <c:pt idx="1">
                <c:v>-2.5901431381190783</c:v>
              </c:pt>
            </c:numLit>
          </c:xVal>
          <c:yVal>
            <c:numLit>
              <c:formatCode>General</c:formatCode>
              <c:ptCount val="2"/>
              <c:pt idx="0">
                <c:v>1.3460815416871075E-2</c:v>
              </c:pt>
              <c:pt idx="1">
                <c:v>1.314070750616555E-2</c:v>
              </c:pt>
            </c:numLit>
          </c:yVal>
          <c:smooth val="0"/>
          <c:extLst>
            <c:ext xmlns:c16="http://schemas.microsoft.com/office/drawing/2014/chart" uri="{C3380CC4-5D6E-409C-BE32-E72D297353CC}">
              <c16:uniqueId val="{000000DD-A9DB-44E4-9932-EB31B57AD14C}"/>
            </c:ext>
          </c:extLst>
        </c:ser>
        <c:ser>
          <c:idx val="184"/>
          <c:order val="184"/>
          <c:spPr>
            <a:ln w="3175">
              <a:solidFill>
                <a:srgbClr val="000000"/>
              </a:solidFill>
              <a:prstDash val="solid"/>
            </a:ln>
          </c:spPr>
          <c:marker>
            <c:symbol val="none"/>
          </c:marker>
          <c:xVal>
            <c:numLit>
              <c:formatCode>General</c:formatCode>
              <c:ptCount val="2"/>
              <c:pt idx="0">
                <c:v>-1.9760117673163591</c:v>
              </c:pt>
              <c:pt idx="1">
                <c:v>-2.17954059090171</c:v>
              </c:pt>
            </c:numLit>
          </c:xVal>
          <c:yVal>
            <c:numLit>
              <c:formatCode>General</c:formatCode>
              <c:ptCount val="2"/>
              <c:pt idx="0">
                <c:v>1.3322516052611264E-2</c:v>
              </c:pt>
              <c:pt idx="1">
                <c:v>1.3159498539452934E-2</c:v>
              </c:pt>
            </c:numLit>
          </c:yVal>
          <c:smooth val="0"/>
          <c:extLst>
            <c:ext xmlns:c16="http://schemas.microsoft.com/office/drawing/2014/chart" uri="{C3380CC4-5D6E-409C-BE32-E72D297353CC}">
              <c16:uniqueId val="{000000DE-A9DB-44E4-9932-EB31B57AD14C}"/>
            </c:ext>
          </c:extLst>
        </c:ser>
        <c:ser>
          <c:idx val="185"/>
          <c:order val="185"/>
          <c:spPr>
            <a:ln w="3175">
              <a:solidFill>
                <a:srgbClr val="000000"/>
              </a:solidFill>
              <a:prstDash val="solid"/>
            </a:ln>
          </c:spPr>
          <c:marker>
            <c:symbol val="none"/>
          </c:marker>
          <c:xVal>
            <c:numLit>
              <c:formatCode>General</c:formatCode>
              <c:ptCount val="2"/>
              <c:pt idx="0">
                <c:v>-1.7662294797563944</c:v>
              </c:pt>
              <c:pt idx="1">
                <c:v>-2.1642964574602397</c:v>
              </c:pt>
            </c:numLit>
          </c:xVal>
          <c:yVal>
            <c:numLit>
              <c:formatCode>General</c:formatCode>
              <c:ptCount val="2"/>
              <c:pt idx="0">
                <c:v>1.318210708405064E-2</c:v>
              </c:pt>
              <c:pt idx="1">
                <c:v>1.2850054530509953E-2</c:v>
              </c:pt>
            </c:numLit>
          </c:yVal>
          <c:smooth val="0"/>
          <c:extLst>
            <c:ext xmlns:c16="http://schemas.microsoft.com/office/drawing/2014/chart" uri="{C3380CC4-5D6E-409C-BE32-E72D297353CC}">
              <c16:uniqueId val="{000000DF-A9DB-44E4-9932-EB31B57AD14C}"/>
            </c:ext>
          </c:extLst>
        </c:ser>
        <c:ser>
          <c:idx val="186"/>
          <c:order val="186"/>
          <c:spPr>
            <a:ln w="3175">
              <a:solidFill>
                <a:srgbClr val="000000"/>
              </a:solidFill>
              <a:prstDash val="solid"/>
            </a:ln>
          </c:spPr>
          <c:marker>
            <c:symbol val="none"/>
          </c:marker>
          <c:dLbls>
            <c:dLbl>
              <c:idx val="0"/>
              <c:tx>
                <c:rich>
                  <a:bodyPr rot="-28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3800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E0-A9DB-44E4-9932-EB31B57AD14C}"/>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-2.8940859165839559</c:v>
              </c:pt>
            </c:numLit>
          </c:xVal>
          <c:yVal>
            <c:numLit>
              <c:formatCode>General</c:formatCode>
              <c:ptCount val="1"/>
              <c:pt idx="0">
                <c:v>1.2241291515685362E-2</c:v>
              </c:pt>
            </c:numLit>
          </c:yVal>
          <c:smooth val="0"/>
          <c:extLst>
            <c:ext xmlns:c16="http://schemas.microsoft.com/office/drawing/2014/chart" uri="{C3380CC4-5D6E-409C-BE32-E72D297353CC}">
              <c16:uniqueId val="{000000E1-A9DB-44E4-9932-EB31B57AD14C}"/>
            </c:ext>
          </c:extLst>
        </c:ser>
        <c:ser>
          <c:idx val="187"/>
          <c:order val="187"/>
          <c:spPr>
            <a:ln w="3175">
              <a:solidFill>
                <a:srgbClr val="000000"/>
              </a:solidFill>
              <a:prstDash val="solid"/>
            </a:ln>
          </c:spPr>
          <c:marker>
            <c:symbol val="none"/>
          </c:marker>
          <c:xVal>
            <c:numLit>
              <c:formatCode>General</c:formatCode>
              <c:ptCount val="147"/>
              <c:pt idx="0">
                <c:v>16.810229479756391</c:v>
              </c:pt>
              <c:pt idx="1">
                <c:v>16.588644396444685</c:v>
              </c:pt>
              <c:pt idx="2">
                <c:v>16.354668757094764</c:v>
              </c:pt>
              <c:pt idx="3">
                <c:v>16.107718156429225</c:v>
              </c:pt>
              <c:pt idx="4">
                <c:v>15.847219725836448</c:v>
              </c:pt>
              <c:pt idx="5">
                <c:v>15.572621851491188</c:v>
              </c:pt>
              <c:pt idx="6">
                <c:v>15.283405513946459</c:v>
              </c:pt>
              <c:pt idx="7">
                <c:v>14.97909728533833</c:v>
              </c:pt>
              <c:pt idx="8">
                <c:v>14.659283952235356</c:v>
              </c:pt>
              <c:pt idx="9">
                <c:v>14.323628642858322</c:v>
              </c:pt>
              <c:pt idx="10">
                <c:v>13.971888226311023</c:v>
              </c:pt>
              <c:pt idx="11">
                <c:v>13.603931620112528</c:v>
              </c:pt>
              <c:pt idx="12">
                <c:v>13.2197584950931</c:v>
              </c:pt>
              <c:pt idx="13">
                <c:v>12.819517711563606</c:v>
              </c:pt>
              <c:pt idx="14">
                <c:v>12.403524669547116</c:v>
              </c:pt>
              <c:pt idx="15">
                <c:v>11.972276624673018</c:v>
              </c:pt>
              <c:pt idx="16">
                <c:v>11.526464929155814</c:v>
              </c:pt>
              <c:pt idx="17">
                <c:v>11.066983124686066</c:v>
              </c:pt>
              <c:pt idx="18">
                <c:v>10.594929860498169</c:v>
              </c:pt>
              <c:pt idx="19">
                <c:v>10.111605750259969</c:v>
              </c:pt>
              <c:pt idx="20">
                <c:v>9.6185035223870123</c:v>
              </c:pt>
              <c:pt idx="21">
                <c:v>9.1172911549090987</c:v>
              </c:pt>
              <c:pt idx="22">
                <c:v>8.6097880993478064</c:v>
              </c:pt>
              <c:pt idx="23">
                <c:v>8.0979351556909851</c:v>
              </c:pt>
              <c:pt idx="24">
                <c:v>7.5837590188694071</c:v>
              </c:pt>
              <c:pt idx="25">
                <c:v>7.069332926750965</c:v>
              </c:pt>
              <c:pt idx="26">
                <c:v>6.5567351526053601</c:v>
              </c:pt>
              <c:pt idx="27">
                <c:v>6.048007262567018</c:v>
              </c:pt>
              <c:pt idx="28">
                <c:v>5.5451140781737465</c:v>
              </c:pt>
              <c:pt idx="29">
                <c:v>5.0499071430589693</c:v>
              </c:pt>
              <c:pt idx="30">
                <c:v>4.5640932094034081</c:v>
              </c:pt>
              <c:pt idx="31">
                <c:v>4.0892088691906565</c:v>
              </c:pt>
              <c:pt idx="32">
                <c:v>3.6266020041010818</c:v>
              </c:pt>
              <c:pt idx="33">
                <c:v>3.1774202657841126</c:v>
              </c:pt>
              <c:pt idx="34">
                <c:v>2.7426063708388666</c:v>
              </c:pt>
              <c:pt idx="35">
                <c:v>2.3228996376269366</c:v>
              </c:pt>
              <c:pt idx="36">
                <c:v>1.9188429271939578</c:v>
              </c:pt>
              <c:pt idx="37">
                <c:v>1.5307939862731423</c:v>
              </c:pt>
              <c:pt idx="38">
                <c:v>1.1589401224706948</c:v>
              </c:pt>
              <c:pt idx="39">
                <c:v>0.80331515702341572</c:v>
              </c:pt>
              <c:pt idx="40">
                <c:v>0.4638176802814884</c:v>
              </c:pt>
              <c:pt idx="41">
                <c:v>0.14022975872621024</c:v>
              </c:pt>
              <c:pt idx="42">
                <c:v>-0.16776460974090424</c:v>
              </c:pt>
              <c:pt idx="43">
                <c:v>-0.46056184007219381</c:v>
              </c:pt>
              <c:pt idx="44">
                <c:v>-0.73862230174342836</c:v>
              </c:pt>
              <c:pt idx="45">
                <c:v>-1.002455319966258</c:v>
              </c:pt>
              <c:pt idx="46">
                <c:v>-1.2526057824083219</c:v>
              </c:pt>
              <c:pt idx="47">
                <c:v>-1.4896424028400646</c:v>
              </c:pt>
              <c:pt idx="48">
                <c:v>-1.7141476200677335</c:v>
              </c:pt>
              <c:pt idx="49">
                <c:v>-1.9267090572547372</c:v>
              </c:pt>
              <c:pt idx="50">
                <c:v>-2.1279124307072412</c:v>
              </c:pt>
              <c:pt idx="51">
                <c:v>-2.3183357754510565</c:v>
              </c:pt>
              <c:pt idx="52">
                <c:v>-2.4985448444866902</c:v>
              </c:pt>
              <c:pt idx="53">
                <c:v>-2.669089536724063</c:v>
              </c:pt>
              <c:pt idx="54">
                <c:v>-2.8305012128620142</c:v>
              </c:pt>
              <c:pt idx="55">
                <c:v>-2.9832907668862556</c:v>
              </c:pt>
              <c:pt idx="56">
                <c:v>-3.1279473318097732</c:v>
              </c:pt>
              <c:pt idx="57">
                <c:v>-3.3947050354255355</c:v>
              </c:pt>
              <c:pt idx="58">
                <c:v>-3.6342329977636059</c:v>
              </c:pt>
              <c:pt idx="59">
                <c:v>-3.8496301535387389</c:v>
              </c:pt>
              <c:pt idx="60">
                <c:v>-4.0436530888624631</c:v>
              </c:pt>
              <c:pt idx="61">
                <c:v>-4.2187412428710447</c:v>
              </c:pt>
              <c:pt idx="62">
                <c:v>-4.3770457171884622</c:v>
              </c:pt>
              <c:pt idx="63">
                <c:v>-4.5204589487479616</c:v>
              </c:pt>
              <c:pt idx="64">
                <c:v>-4.6506435459878448</c:v>
              </c:pt>
              <c:pt idx="65">
                <c:v>-4.7690593110363508</c:v>
              </c:pt>
              <c:pt idx="66">
                <c:v>-4.8769879543111792</c:v>
              </c:pt>
              <c:pt idx="67">
                <c:v>-4.97555532075208</c:v>
              </c:pt>
              <c:pt idx="68">
                <c:v>-5.0657511406962898</c:v>
              </c:pt>
              <c:pt idx="69">
                <c:v>-5.1484464315058194</c:v>
              </c:pt>
              <c:pt idx="70">
                <c:v>-5.2244087358312541</c:v>
              </c:pt>
              <c:pt idx="71">
                <c:v>-5.2943154079273143</c:v>
              </c:pt>
              <c:pt idx="72">
                <c:v>-5.358765163744196</c:v>
              </c:pt>
              <c:pt idx="73">
                <c:v>-5.4182881023183391</c:v>
              </c:pt>
              <c:pt idx="74">
                <c:v>-5.4733543909858673</c:v>
              </c:pt>
              <c:pt idx="75">
                <c:v>-5.5243817887928159</c:v>
              </c:pt>
              <c:pt idx="76">
                <c:v>-5.571742163443429</c:v>
              </c:pt>
              <c:pt idx="77">
                <c:v>-5.6567529906365968</c:v>
              </c:pt>
              <c:pt idx="78">
                <c:v>-5.7306406407761212</c:v>
              </c:pt>
              <c:pt idx="79">
                <c:v>-5.7952165720117108</c:v>
              </c:pt>
              <c:pt idx="80">
                <c:v>-5.851947118469381</c:v>
              </c:pt>
              <c:pt idx="81">
                <c:v>-5.9020274437754896</c:v>
              </c:pt>
              <c:pt idx="82">
                <c:v>-6.0041567309797621</c:v>
              </c:pt>
              <c:pt idx="83">
                <c:v>-6.0816762741522021</c:v>
              </c:pt>
              <c:pt idx="84">
                <c:v>-6.1418165019856463</c:v>
              </c:pt>
              <c:pt idx="85">
                <c:v>-6.1893611787955249</c:v>
              </c:pt>
              <c:pt idx="86">
                <c:v>-6.2275685419443816</c:v>
              </c:pt>
              <c:pt idx="87">
                <c:v>-6.2587153367755777</c:v>
              </c:pt>
              <c:pt idx="88">
                <c:v>-6.3058961870318369</c:v>
              </c:pt>
              <c:pt idx="89">
                <c:v>-6.3394006467143074</c:v>
              </c:pt>
              <c:pt idx="90">
                <c:v>-6.3640278309235088</c:v>
              </c:pt>
              <c:pt idx="91">
                <c:v>-6.382648783342864</c:v>
              </c:pt>
              <c:pt idx="92">
                <c:v>-6.3970641036563771</c:v>
              </c:pt>
              <c:pt idx="93">
                <c:v>-6.436353647558132</c:v>
              </c:pt>
              <c:pt idx="94">
                <c:v>-6.4527022004217862</c:v>
              </c:pt>
              <c:pt idx="95">
                <c:v>-6.4658267837767367</c:v>
              </c:pt>
              <c:pt idx="96">
                <c:v>-6.4708678812703511</c:v>
              </c:pt>
              <c:pt idx="97">
                <c:v>-6.4780000000000006</c:v>
              </c:pt>
              <c:pt idx="98">
                <c:v>-6.4687544134534143</c:v>
              </c:pt>
              <c:pt idx="99">
                <c:v>-6.4607910353144655</c:v>
              </c:pt>
              <c:pt idx="100">
                <c:v>-6.4354532742589932</c:v>
              </c:pt>
              <c:pt idx="101">
                <c:v>-6.3946145573537017</c:v>
              </c:pt>
              <c:pt idx="102">
                <c:v>-6.3795129803289274</c:v>
              </c:pt>
              <c:pt idx="103">
                <c:v>-6.3599248979775851</c:v>
              </c:pt>
              <c:pt idx="104">
                <c:v>-6.3338909498930658</c:v>
              </c:pt>
              <c:pt idx="105">
                <c:v>-6.2982611859413211</c:v>
              </c:pt>
              <c:pt idx="106">
                <c:v>-6.2477177107241779</c:v>
              </c:pt>
              <c:pt idx="107">
                <c:v>-6.2141364364601657</c:v>
              </c:pt>
              <c:pt idx="108">
                <c:v>-6.1727292094729158</c:v>
              </c:pt>
              <c:pt idx="109">
                <c:v>-6.1208981028564446</c:v>
              </c:pt>
              <c:pt idx="110">
                <c:v>-6.0548906661909623</c:v>
              </c:pt>
              <c:pt idx="111">
                <c:v>-5.969139454636716</c:v>
              </c:pt>
              <c:pt idx="112">
                <c:v>-5.8551287645325596</c:v>
              </c:pt>
              <c:pt idx="113">
                <c:v>-5.7988285531075912</c:v>
              </c:pt>
              <c:pt idx="114">
                <c:v>-5.7347616757504305</c:v>
              </c:pt>
              <c:pt idx="115">
                <c:v>-5.6614799564344587</c:v>
              </c:pt>
              <c:pt idx="116">
                <c:v>-5.5771951197065643</c:v>
              </c:pt>
              <c:pt idx="117">
                <c:v>-5.4796832004534721</c:v>
              </c:pt>
              <c:pt idx="118">
                <c:v>-5.4251226750385708</c:v>
              </c:pt>
              <c:pt idx="119">
                <c:v>-5.3661582607451805</c:v>
              </c:pt>
              <c:pt idx="120">
                <c:v>-5.3023264552641391</c:v>
              </c:pt>
              <c:pt idx="121">
                <c:v>-5.2331047854998651</c:v>
              </c:pt>
              <c:pt idx="122">
                <c:v>-5.1579032706065853</c:v>
              </c:pt>
              <c:pt idx="123">
                <c:v>-5.0760545707644287</c:v>
              </c:pt>
              <c:pt idx="124">
                <c:v>-4.9868026312391578</c:v>
              </c:pt>
              <c:pt idx="125">
                <c:v>-4.889289615730835</c:v>
              </c:pt>
              <c:pt idx="126">
                <c:v>-4.7825409137469856</c:v>
              </c:pt>
              <c:pt idx="127">
                <c:v>-4.6654480091532298</c:v>
              </c:pt>
              <c:pt idx="128">
                <c:v>-4.5367490194500562</c:v>
              </c:pt>
              <c:pt idx="129">
                <c:v>-4.3950067701211761</c:v>
              </c:pt>
              <c:pt idx="130">
                <c:v>-4.2385843738412259</c:v>
              </c:pt>
              <c:pt idx="131">
                <c:v>-4.0656184666577015</c:v>
              </c:pt>
              <c:pt idx="132">
                <c:v>-3.8739905493226741</c:v>
              </c:pt>
              <c:pt idx="133">
                <c:v>-3.7704392439481627</c:v>
              </c:pt>
              <c:pt idx="134">
                <c:v>-3.6612973419810073</c:v>
              </c:pt>
              <c:pt idx="135">
                <c:v>-3.5462151642748525</c:v>
              </c:pt>
              <c:pt idx="136">
                <c:v>-3.4248217502543765</c:v>
              </c:pt>
              <c:pt idx="137">
                <c:v>-3.2967241795418643</c:v>
              </c:pt>
              <c:pt idx="138">
                <c:v>-3.1615070418306956</c:v>
              </c:pt>
              <c:pt idx="139">
                <c:v>-3.0187321044678757</c:v>
              </c:pt>
              <c:pt idx="140">
                <c:v>-2.8679382367257746</c:v>
              </c:pt>
              <c:pt idx="141">
                <c:v>-2.7086416603368892</c:v>
              </c:pt>
              <c:pt idx="142">
                <c:v>-2.5403366074235816</c:v>
              </c:pt>
              <c:pt idx="143">
                <c:v>-2.3624964792520693</c:v>
              </c:pt>
              <c:pt idx="144">
                <c:v>-2.1745756118950066</c:v>
              </c:pt>
              <c:pt idx="145">
                <c:v>-1.9760117673163591</c:v>
              </c:pt>
              <c:pt idx="146">
                <c:v>-1.7662294797563944</c:v>
              </c:pt>
            </c:numLit>
          </c:xVal>
          <c:yVal>
            <c:numLit>
              <c:formatCode>General</c:formatCode>
              <c:ptCount val="147"/>
              <c:pt idx="0">
                <c:v>2.8677892915949361E-2</c:v>
              </c:pt>
              <c:pt idx="1">
                <c:v>2.882017669794408E-2</c:v>
              </c:pt>
              <c:pt idx="2">
                <c:v>2.8964054945422545E-2</c:v>
              </c:pt>
              <c:pt idx="3">
                <c:v>2.9109197410386176E-2</c:v>
              </c:pt>
              <c:pt idx="4">
                <c:v>2.9255219725836449E-2</c:v>
              </c:pt>
              <c:pt idx="5">
                <c:v>2.9401679479707257E-2</c:v>
              </c:pt>
              <c:pt idx="6">
                <c:v>2.9548072789216489E-2</c:v>
              </c:pt>
              <c:pt idx="7">
                <c:v>2.9693831622722384E-2</c:v>
              </c:pt>
              <c:pt idx="8">
                <c:v>2.9838322153782595E-2</c:v>
              </c:pt>
              <c:pt idx="9">
                <c:v>2.9980844463909358E-2</c:v>
              </c:pt>
              <c:pt idx="10">
                <c:v>3.0120633931542337E-2</c:v>
              </c:pt>
              <c:pt idx="11">
                <c:v>3.0256864649135986E-2</c:v>
              </c:pt>
              <c:pt idx="12">
                <c:v>3.0388655191524186E-2</c:v>
              </c:pt>
              <c:pt idx="13">
                <c:v>3.0515077010490988E-2</c:v>
              </c:pt>
              <c:pt idx="14">
                <c:v>3.0635165647360473E-2</c:v>
              </c:pt>
              <c:pt idx="15">
                <c:v>3.0747934834256706E-2</c:v>
              </c:pt>
              <c:pt idx="16">
                <c:v>3.085239339588855E-2</c:v>
              </c:pt>
              <c:pt idx="17">
                <c:v>3.0947564672567929E-2</c:v>
              </c:pt>
              <c:pt idx="18">
                <c:v>3.1032507972748882E-2</c:v>
              </c:pt>
              <c:pt idx="19">
                <c:v>3.1106341346724724E-2</c:v>
              </c:pt>
              <c:pt idx="20">
                <c:v>3.1168264774375409E-2</c:v>
              </c:pt>
              <c:pt idx="21">
                <c:v>3.1217582704093288E-2</c:v>
              </c:pt>
              <c:pt idx="22">
                <c:v>3.1253724791923544E-2</c:v>
              </c:pt>
              <c:pt idx="23">
                <c:v>3.127626368973449E-2</c:v>
              </c:pt>
              <c:pt idx="24">
                <c:v>3.1284928830437236E-2</c:v>
              </c:pt>
              <c:pt idx="25">
                <c:v>3.1279615356557502E-2</c:v>
              </c:pt>
              <c:pt idx="26">
                <c:v>3.1260387622117129E-2</c:v>
              </c:pt>
              <c:pt idx="27">
                <c:v>3.1227477040677638E-2</c:v>
              </c:pt>
              <c:pt idx="28">
                <c:v>3.1181274419367078E-2</c:v>
              </c:pt>
              <c:pt idx="29">
                <c:v>3.1122317270830653E-2</c:v>
              </c:pt>
              <c:pt idx="30">
                <c:v>3.1051272895714872E-2</c:v>
              </c:pt>
              <c:pt idx="31">
                <c:v>3.0968918248820355E-2</c:v>
              </c:pt>
              <c:pt idx="32">
                <c:v>3.0876117725569325E-2</c:v>
              </c:pt>
              <c:pt idx="33">
                <c:v>3.0773800028426088E-2</c:v>
              </c:pt>
              <c:pt idx="34">
                <c:v>3.0662935204324095E-2</c:v>
              </c:pt>
              <c:pt idx="35">
                <c:v>3.0544512802476664E-2</c:v>
              </c:pt>
              <c:pt idx="36">
                <c:v>3.04195219111833E-2</c:v>
              </c:pt>
              <c:pt idx="37">
                <c:v>3.0288933617716181E-2</c:v>
              </c:pt>
              <c:pt idx="38">
                <c:v>3.0153686220164965E-2</c:v>
              </c:pt>
              <c:pt idx="39">
                <c:v>3.0014673322626941E-2</c:v>
              </c:pt>
              <c:pt idx="40">
                <c:v>2.9872734777880133E-2</c:v>
              </c:pt>
              <c:pt idx="41">
                <c:v>2.9728650311281322E-2</c:v>
              </c:pt>
              <c:pt idx="42">
                <c:v>2.95831355675608E-2</c:v>
              </c:pt>
              <c:pt idx="43">
                <c:v>2.9436840266009144E-2</c:v>
              </c:pt>
              <c:pt idx="44">
                <c:v>2.9290348124299693E-2</c:v>
              </c:pt>
              <c:pt idx="45">
                <c:v>2.9144178210618831E-2</c:v>
              </c:pt>
              <c:pt idx="46">
                <c:v>2.8998787401373648E-2</c:v>
              </c:pt>
              <c:pt idx="47">
                <c:v>2.8854573651448525E-2</c:v>
              </c:pt>
              <c:pt idx="48">
                <c:v>2.8711879820593082E-2</c:v>
              </c:pt>
              <c:pt idx="49">
                <c:v>2.8570997838905359E-2</c:v>
              </c:pt>
              <c:pt idx="50">
                <c:v>2.8432173033455556E-2</c:v>
              </c:pt>
              <c:pt idx="51">
                <c:v>2.8295608474779587E-2</c:v>
              </c:pt>
              <c:pt idx="52">
                <c:v>2.8161469234973899E-2</c:v>
              </c:pt>
              <c:pt idx="53">
                <c:v>2.8029886477800841E-2</c:v>
              </c:pt>
              <c:pt idx="54">
                <c:v>2.7900961325394373E-2</c:v>
              </c:pt>
              <c:pt idx="55">
                <c:v>2.777476846598936E-2</c:v>
              </c:pt>
              <c:pt idx="56">
                <c:v>2.765135948293641E-2</c:v>
              </c:pt>
              <c:pt idx="57">
                <c:v>2.741300192776747E-2</c:v>
              </c:pt>
              <c:pt idx="58">
                <c:v>2.7185947823718054E-2</c:v>
              </c:pt>
              <c:pt idx="59">
                <c:v>2.6970052763706429E-2</c:v>
              </c:pt>
              <c:pt idx="60">
                <c:v>2.6765028589466222E-2</c:v>
              </c:pt>
              <c:pt idx="61">
                <c:v>2.6570489823461451E-2</c:v>
              </c:pt>
              <c:pt idx="62">
                <c:v>2.6385989057197627E-2</c:v>
              </c:pt>
              <c:pt idx="63">
                <c:v>2.6211043462266981E-2</c:v>
              </c:pt>
              <c:pt idx="64">
                <c:v>2.6045154305456879E-2</c:v>
              </c:pt>
              <c:pt idx="65">
                <c:v>2.5887821037250434E-2</c:v>
              </c:pt>
              <c:pt idx="66">
                <c:v>2.573855122669123E-2</c:v>
              </c:pt>
              <c:pt idx="67">
                <c:v>2.5596867354371416E-2</c:v>
              </c:pt>
              <c:pt idx="68">
                <c:v>2.5462311255383133E-2</c:v>
              </c:pt>
              <c:pt idx="69">
                <c:v>2.5334446824497189E-2</c:v>
              </c:pt>
              <c:pt idx="70">
                <c:v>2.5212861452320056E-2</c:v>
              </c:pt>
              <c:pt idx="71">
                <c:v>2.5097166548278888E-2</c:v>
              </c:pt>
              <c:pt idx="72">
                <c:v>2.4986997418511792E-2</c:v>
              </c:pt>
              <c:pt idx="73">
                <c:v>2.4882012699129402E-2</c:v>
              </c:pt>
              <c:pt idx="74">
                <c:v>2.4781893493615731E-2</c:v>
              </c:pt>
              <c:pt idx="75">
                <c:v>2.4686342323848191E-2</c:v>
              </c:pt>
              <c:pt idx="76">
                <c:v>2.4595081974519786E-2</c:v>
              </c:pt>
              <c:pt idx="77">
                <c:v>2.4424418953236802E-2</c:v>
              </c:pt>
              <c:pt idx="78">
                <c:v>2.4268046190440859E-2</c:v>
              </c:pt>
              <c:pt idx="79">
                <c:v>2.4124353808164946E-2</c:v>
              </c:pt>
              <c:pt idx="80">
                <c:v>2.3991946017564908E-2</c:v>
              </c:pt>
              <c:pt idx="81">
                <c:v>2.3869610711458024E-2</c:v>
              </c:pt>
              <c:pt idx="82">
                <c:v>2.3601243359121643E-2</c:v>
              </c:pt>
              <c:pt idx="83">
                <c:v>2.3376424442580822E-2</c:v>
              </c:pt>
              <c:pt idx="84">
                <c:v>2.3185628388742628E-2</c:v>
              </c:pt>
              <c:pt idx="85">
                <c:v>2.3021845518026735E-2</c:v>
              </c:pt>
              <c:pt idx="86">
                <c:v>2.2879826043585575E-2</c:v>
              </c:pt>
              <c:pt idx="87">
                <c:v>2.2755572771766694E-2</c:v>
              </c:pt>
              <c:pt idx="88">
                <c:v>2.2548671580655582E-2</c:v>
              </c:pt>
              <c:pt idx="89">
                <c:v>2.2383467693411988E-2</c:v>
              </c:pt>
              <c:pt idx="90">
                <c:v>2.2248609023778468E-2</c:v>
              </c:pt>
              <c:pt idx="91">
                <c:v>2.2136492726931425E-2</c:v>
              </c:pt>
              <c:pt idx="92">
                <c:v>2.2041845203134694E-2</c:v>
              </c:pt>
              <c:pt idx="93">
                <c:v>2.172811889106761E-2</c:v>
              </c:pt>
              <c:pt idx="94">
                <c:v>2.1552224945278583E-2</c:v>
              </c:pt>
              <c:pt idx="95">
                <c:v>2.1361728347072451E-2</c:v>
              </c:pt>
              <c:pt idx="96">
                <c:v>2.1260488451156453E-2</c:v>
              </c:pt>
              <c:pt idx="97">
                <c:v>2.0930000000000001E-2</c:v>
              </c:pt>
              <c:pt idx="98">
                <c:v>2.0553731515266696E-2</c:v>
              </c:pt>
              <c:pt idx="99">
                <c:v>2.0416729629222568E-2</c:v>
              </c:pt>
              <c:pt idx="100">
                <c:v>2.0123312766063169E-2</c:v>
              </c:pt>
              <c:pt idx="101">
                <c:v>1.9801504574826875E-2</c:v>
              </c:pt>
              <c:pt idx="102">
                <c:v>1.9703897767998347E-2</c:v>
              </c:pt>
              <c:pt idx="103">
                <c:v>1.9587964977189561E-2</c:v>
              </c:pt>
              <c:pt idx="104">
                <c:v>1.9448070774442654E-2</c:v>
              </c:pt>
              <c:pt idx="105">
                <c:v>1.9276040595639192E-2</c:v>
              </c:pt>
              <c:pt idx="106">
                <c:v>1.9059579257765528E-2</c:v>
              </c:pt>
              <c:pt idx="107">
                <c:v>1.8929051078036645E-2</c:v>
              </c:pt>
              <c:pt idx="108">
                <c:v>1.8779375962421206E-2</c:v>
              </c:pt>
              <c:pt idx="109">
                <c:v>1.8606133509740334E-2</c:v>
              </c:pt>
              <c:pt idx="110">
                <c:v>1.8403482795007753E-2</c:v>
              </c:pt>
              <c:pt idx="111">
                <c:v>1.8163573931641964E-2</c:v>
              </c:pt>
              <c:pt idx="112">
                <c:v>1.7875666923032288E-2</c:v>
              </c:pt>
              <c:pt idx="113">
                <c:v>1.7743895976123102E-2</c:v>
              </c:pt>
              <c:pt idx="114">
                <c:v>1.7600918061456586E-2</c:v>
              </c:pt>
              <c:pt idx="115">
                <c:v>1.7445349228540973E-2</c:v>
              </c:pt>
              <c:pt idx="116">
                <c:v>1.7275593374812867E-2</c:v>
              </c:pt>
              <c:pt idx="117">
                <c:v>1.7089808191527837E-2</c:v>
              </c:pt>
              <c:pt idx="118">
                <c:v>1.6990252446736603E-2</c:v>
              </c:pt>
              <c:pt idx="119">
                <c:v>1.6885867994288942E-2</c:v>
              </c:pt>
              <c:pt idx="120">
                <c:v>1.677633856600267E-2</c:v>
              </c:pt>
              <c:pt idx="121">
                <c:v>1.6661325544174033E-2</c:v>
              </c:pt>
              <c:pt idx="122">
                <c:v>1.6540467071496829E-2</c:v>
              </c:pt>
              <c:pt idx="123">
                <c:v>1.6413377441842833E-2</c:v>
              </c:pt>
              <c:pt idx="124">
                <c:v>1.6279646915363419E-2</c:v>
              </c:pt>
              <c:pt idx="125">
                <c:v>1.6138842151410121E-2</c:v>
              </c:pt>
              <c:pt idx="126">
                <c:v>1.599050751826438E-2</c:v>
              </c:pt>
              <c:pt idx="127">
                <c:v>1.5834167623770514E-2</c:v>
              </c:pt>
              <c:pt idx="128">
                <c:v>1.5669331520569488E-2</c:v>
              </c:pt>
              <c:pt idx="129">
                <c:v>1.5495499179174118E-2</c:v>
              </c:pt>
              <c:pt idx="130">
                <c:v>1.5312170997110987E-2</c:v>
              </c:pt>
              <c:pt idx="131">
                <c:v>1.5118861327289309E-2</c:v>
              </c:pt>
              <c:pt idx="132">
                <c:v>1.4915117265152884E-2</c:v>
              </c:pt>
              <c:pt idx="133">
                <c:v>1.4809205883937578E-2</c:v>
              </c:pt>
              <c:pt idx="134">
                <c:v>1.4700544227002829E-2</c:v>
              </c:pt>
              <c:pt idx="135">
                <c:v>1.4589097690626144E-2</c:v>
              </c:pt>
              <c:pt idx="136">
                <c:v>1.4474840163683531E-2</c:v>
              </c:pt>
              <c:pt idx="137">
                <c:v>1.4357755721848364E-2</c:v>
              </c:pt>
              <c:pt idx="138">
                <c:v>1.4237840545403689E-2</c:v>
              </c:pt>
              <c:pt idx="139">
                <c:v>1.4115105078987998E-2</c:v>
              </c:pt>
              <c:pt idx="140">
                <c:v>1.3989576450102176E-2</c:v>
              </c:pt>
              <c:pt idx="141">
                <c:v>1.3861301160508996E-2</c:v>
              </c:pt>
              <c:pt idx="142">
                <c:v>1.3730348060406742E-2</c:v>
              </c:pt>
              <c:pt idx="143">
                <c:v>1.3596811609050458E-2</c:v>
              </c:pt>
              <c:pt idx="144">
                <c:v>1.3460815416871075E-2</c:v>
              </c:pt>
              <c:pt idx="145">
                <c:v>1.3322516052611264E-2</c:v>
              </c:pt>
              <c:pt idx="146">
                <c:v>1.318210708405064E-2</c:v>
              </c:pt>
            </c:numLit>
          </c:yVal>
          <c:smooth val="1"/>
          <c:extLst>
            <c:ext xmlns:c16="http://schemas.microsoft.com/office/drawing/2014/chart" uri="{C3380CC4-5D6E-409C-BE32-E72D297353CC}">
              <c16:uniqueId val="{000000E2-A9DB-44E4-9932-EB31B57AD14C}"/>
            </c:ext>
          </c:extLst>
        </c:ser>
        <c:ser>
          <c:idx val="188"/>
          <c:order val="188"/>
          <c:tx>
            <c:v>熱水分比基点</c:v>
          </c:tx>
          <c:spPr>
            <a:ln w="3175">
              <a:solidFill>
                <a:srgbClr val="000000"/>
              </a:solidFill>
              <a:prstDash val="solid"/>
            </a:ln>
          </c:spPr>
          <c:marker>
            <c:symbol val="circle"/>
            <c:size val="10"/>
            <c:spPr>
              <a:noFill/>
              <a:ln>
                <a:solidFill>
                  <a:srgbClr val="808080"/>
                </a:solidFill>
                <a:prstDash val="solid"/>
              </a:ln>
              <a:extLst>
                <a:ext uri="{909E8E84-426E-40DD-AFC4-6F175D3DCCD1}">
                  <a14:hiddenFill xmlns:a14="http://schemas.microsoft.com/office/drawing/2010/main">
                    <a:solidFill>
                      <a:srgbClr val="A5A5A5">
                        <a:tint val="35000"/>
                      </a:srgbClr>
                    </a:solidFill>
                  </a14:hiddenFill>
                </a:ext>
              </a:extLst>
            </c:spPr>
          </c:marker>
          <c:xVal>
            <c:numLit>
              <c:formatCode>General</c:formatCode>
              <c:ptCount val="1"/>
              <c:pt idx="0">
                <c:v>7.5219999999999994</c:v>
              </c:pt>
            </c:numLit>
          </c:xVal>
          <c:yVal>
            <c:numLit>
              <c:formatCode>General</c:formatCode>
              <c:ptCount val="1"/>
              <c:pt idx="0">
                <c:v>2.0930000000000001E-2</c:v>
              </c:pt>
            </c:numLit>
          </c:yVal>
          <c:smooth val="0"/>
          <c:extLst>
            <c:ext xmlns:c16="http://schemas.microsoft.com/office/drawing/2014/chart" uri="{C3380CC4-5D6E-409C-BE32-E72D297353CC}">
              <c16:uniqueId val="{000000E3-A9DB-44E4-9932-EB31B57AD14C}"/>
            </c:ext>
          </c:extLst>
        </c:ser>
        <c:ser>
          <c:idx val="189"/>
          <c:order val="189"/>
          <c:tx>
            <c:v>熱水分比基点</c:v>
          </c:tx>
          <c:spPr>
            <a:ln w="3175">
              <a:solidFill>
                <a:srgbClr val="000000"/>
              </a:solidFill>
              <a:prstDash val="solid"/>
            </a:ln>
          </c:spPr>
          <c:marker>
            <c:symbol val="plus"/>
            <c:size val="10"/>
            <c:spPr>
              <a:noFill/>
              <a:ln>
                <a:solidFill>
                  <a:srgbClr val="808080"/>
                </a:solidFill>
                <a:prstDash val="solid"/>
              </a:ln>
              <a:extLst>
                <a:ext uri="{909E8E84-426E-40DD-AFC4-6F175D3DCCD1}">
                  <a14:hiddenFill xmlns:a14="http://schemas.microsoft.com/office/drawing/2010/main">
                    <a:solidFill>
                      <a:srgbClr val="FFC000">
                        <a:tint val="35000"/>
                      </a:srgbClr>
                    </a:solidFill>
                  </a14:hiddenFill>
                </a:ext>
              </a:extLst>
            </c:spPr>
          </c:marker>
          <c:xVal>
            <c:numLit>
              <c:formatCode>General</c:formatCode>
              <c:ptCount val="1"/>
              <c:pt idx="0">
                <c:v>7.5219999999999994</c:v>
              </c:pt>
            </c:numLit>
          </c:xVal>
          <c:yVal>
            <c:numLit>
              <c:formatCode>General</c:formatCode>
              <c:ptCount val="1"/>
              <c:pt idx="0">
                <c:v>2.0930000000000001E-2</c:v>
              </c:pt>
            </c:numLit>
          </c:yVal>
          <c:smooth val="0"/>
          <c:extLst>
            <c:ext xmlns:c16="http://schemas.microsoft.com/office/drawing/2014/chart" uri="{C3380CC4-5D6E-409C-BE32-E72D297353CC}">
              <c16:uniqueId val="{000000E4-A9DB-44E4-9932-EB31B57AD14C}"/>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7B2B-494A-A068-C36D8922E342}"/>
            </c:ext>
          </c:extLst>
        </c:ser>
        <c:ser>
          <c:idx val="1"/>
          <c:order val="1"/>
          <c:tx>
            <c:v>RH=10_1</c:v>
          </c:tx>
          <c:spPr>
            <a:ln w="3175">
              <a:solidFill>
                <a:srgbClr val="0000FF"/>
              </a:solidFill>
              <a:prstDash val="solid"/>
            </a:ln>
          </c:spPr>
          <c:marker>
            <c:symbol val="none"/>
          </c:marker>
          <c:xVal>
            <c:numLit>
              <c:formatCode>General</c:formatCode>
              <c:ptCount val="38"/>
              <c:pt idx="0">
                <c:v>-10.0177756677797</c:v>
              </c:pt>
              <c:pt idx="1">
                <c:v>-9.0190959721921065</c:v>
              </c:pt>
              <c:pt idx="2">
                <c:v>-8.0204947203038497</c:v>
              </c:pt>
              <c:pt idx="3">
                <c:v>-7.0219748302109002</c:v>
              </c:pt>
              <c:pt idx="4">
                <c:v>-6.0235391639546627</c:v>
              </c:pt>
              <c:pt idx="5">
                <c:v>-5.0251905057455675</c:v>
              </c:pt>
              <c:pt idx="6">
                <c:v>-4.0269315379580988</c:v>
              </c:pt>
              <c:pt idx="7">
                <c:v>-3.0287648147507311</c:v>
              </c:pt>
              <c:pt idx="8">
                <c:v>-2.0306927331577049</c:v>
              </c:pt>
              <c:pt idx="9">
                <c:v>-1.0327175014929011</c:v>
              </c:pt>
              <c:pt idx="10">
                <c:v>-3.484110489918895E-2</c:v>
              </c:pt>
              <c:pt idx="11">
                <c:v>0.96328939591528173</c:v>
              </c:pt>
              <c:pt idx="12">
                <c:v>1.9613621474223808</c:v>
              </c:pt>
              <c:pt idx="13">
                <c:v>2.9593749622169305</c:v>
              </c:pt>
              <c:pt idx="14">
                <c:v>3.9573294009540501</c:v>
              </c:pt>
              <c:pt idx="15">
                <c:v>4.9552274207672413</c:v>
              </c:pt>
              <c:pt idx="16">
                <c:v>5.9530704719223664</c:v>
              </c:pt>
              <c:pt idx="17">
                <c:v>6.9508622511413787</c:v>
              </c:pt>
              <c:pt idx="18">
                <c:v>7.9486061034176085</c:v>
              </c:pt>
              <c:pt idx="19">
                <c:v>8.946305910300195</c:v>
              </c:pt>
              <c:pt idx="20">
                <c:v>9.9439661291778094</c:v>
              </c:pt>
              <c:pt idx="21">
                <c:v>10.941590669234015</c:v>
              </c:pt>
              <c:pt idx="22">
                <c:v>11.939186333734822</c:v>
              </c:pt>
              <c:pt idx="23">
                <c:v>12.936759560270477</c:v>
              </c:pt>
              <c:pt idx="24">
                <c:v>13.934317538581611</c:v>
              </c:pt>
              <c:pt idx="25">
                <c:v>14.931868259472157</c:v>
              </c:pt>
              <c:pt idx="26">
                <c:v>15.929420565788638</c:v>
              </c:pt>
              <c:pt idx="27">
                <c:v>16.926984205518398</c:v>
              </c:pt>
              <c:pt idx="28">
                <c:v>17.9245698870604</c:v>
              </c:pt>
              <c:pt idx="29">
                <c:v>18.922189336723491</c:v>
              </c:pt>
              <c:pt idx="30">
                <c:v>19.919855358508599</c:v>
              </c:pt>
              <c:pt idx="31">
                <c:v>20.917581896232608</c:v>
              </c:pt>
              <c:pt idx="32">
                <c:v>21.915384098053682</c:v>
              </c:pt>
              <c:pt idx="33">
                <c:v>22.913278383459538</c:v>
              </c:pt>
              <c:pt idx="34">
                <c:v>23.911282512782485</c:v>
              </c:pt>
              <c:pt idx="35">
                <c:v>24.909415659307243</c:v>
              </c:pt>
              <c:pt idx="36">
                <c:v>25.907696639619608</c:v>
              </c:pt>
              <c:pt idx="37">
                <c:v>26.317040192907807</c:v>
              </c:pt>
            </c:numLit>
          </c:xVal>
          <c:yVal>
            <c:numLit>
              <c:formatCode>General</c:formatCode>
              <c:ptCount val="38"/>
              <c:pt idx="0">
                <c:v>1.6023585830088701E-4</c:v>
              </c:pt>
              <c:pt idx="1">
                <c:v>1.7505511231326874E-4</c:v>
              </c:pt>
              <c:pt idx="2">
                <c:v>1.911168763966824E-4</c:v>
              </c:pt>
              <c:pt idx="3">
                <c:v>2.0851423497609411E-4</c:v>
              </c:pt>
              <c:pt idx="4">
                <c:v>2.2734637997686826E-4</c:v>
              </c:pt>
              <c:pt idx="5">
                <c:v>2.4771895190655777E-4</c:v>
              </c:pt>
              <c:pt idx="6">
                <c:v>2.6974439651381417E-4</c:v>
              </c:pt>
              <c:pt idx="7">
                <c:v>2.9354233758607893E-4</c:v>
              </c:pt>
              <c:pt idx="8">
                <c:v>3.1923996646661596E-4</c:v>
              </c:pt>
              <c:pt idx="9">
                <c:v>3.4697244889161612E-4</c:v>
              </c:pt>
              <c:pt idx="10">
                <c:v>3.7688334976972127E-4</c:v>
              </c:pt>
              <c:pt idx="11">
                <c:v>4.0521031061253583E-4</c:v>
              </c:pt>
              <c:pt idx="12">
                <c:v>4.3536827613222564E-4</c:v>
              </c:pt>
              <c:pt idx="13">
                <c:v>4.6749929089188232E-4</c:v>
              </c:pt>
              <c:pt idx="14">
                <c:v>5.0171368209707661E-4</c:v>
              </c:pt>
              <c:pt idx="15">
                <c:v>5.3812681849648315E-4</c:v>
              </c:pt>
              <c:pt idx="16">
                <c:v>5.7687078746455054E-4</c:v>
              </c:pt>
              <c:pt idx="17">
                <c:v>6.1806170732398903E-4</c:v>
              </c:pt>
              <c:pt idx="18">
                <c:v>6.6183128471435158E-4</c:v>
              </c:pt>
              <c:pt idx="19">
                <c:v>7.0831699761347128E-4</c:v>
              </c:pt>
              <c:pt idx="20">
                <c:v>7.5766228557958958E-4</c:v>
              </c:pt>
              <c:pt idx="21">
                <c:v>8.100329025445516E-4</c:v>
              </c:pt>
              <c:pt idx="22">
                <c:v>8.6557085827349055E-4</c:v>
              </c:pt>
              <c:pt idx="23">
                <c:v>9.244388603298438E-4</c:v>
              </c:pt>
              <c:pt idx="24">
                <c:v>9.8680639466692979E-4</c:v>
              </c:pt>
              <c:pt idx="25">
                <c:v>1.0528499381107718E-3</c:v>
              </c:pt>
              <c:pt idx="26">
                <c:v>1.1227531754685466E-3</c:v>
              </c:pt>
              <c:pt idx="27">
                <c:v>1.196707221383005E-3</c:v>
              </c:pt>
              <c:pt idx="28">
                <c:v>1.2749108470638381E-3</c:v>
              </c:pt>
              <c:pt idx="29">
                <c:v>1.357570712039002E-3</c:v>
              </c:pt>
              <c:pt idx="30">
                <c:v>1.4449016010815252E-3</c:v>
              </c:pt>
              <c:pt idx="31">
                <c:v>1.5371266664811695E-3</c:v>
              </c:pt>
              <c:pt idx="32">
                <c:v>1.6344776758448051E-3</c:v>
              </c:pt>
              <c:pt idx="33">
                <c:v>1.7371952656253776E-3</c:v>
              </c:pt>
              <c:pt idx="34">
                <c:v>1.8455292005959472E-3</c:v>
              </c:pt>
              <c:pt idx="35">
                <c:v>1.9597386395035048E-3</c:v>
              </c:pt>
              <c:pt idx="36">
                <c:v>2.0801339727301582E-3</c:v>
              </c:pt>
              <c:pt idx="37">
                <c:v>2.1313379082339733E-3</c:v>
              </c:pt>
            </c:numLit>
          </c:yVal>
          <c:smooth val="1"/>
          <c:extLst>
            <c:ext xmlns:c16="http://schemas.microsoft.com/office/drawing/2014/chart" uri="{C3380CC4-5D6E-409C-BE32-E72D297353CC}">
              <c16:uniqueId val="{00000001-7B2B-494A-A068-C36D8922E342}"/>
            </c:ext>
          </c:extLst>
        </c:ser>
        <c:ser>
          <c:idx val="2"/>
          <c:order val="2"/>
          <c:tx>
            <c:v>RH=10_Label1</c:v>
          </c:tx>
          <c:spPr>
            <a:ln w="3175">
              <a:solidFill>
                <a:srgbClr val="0000FF"/>
              </a:solidFill>
              <a:prstDash val="solid"/>
            </a:ln>
          </c:spPr>
          <c:marker>
            <c:symbol val="none"/>
          </c:marker>
          <c:dLbls>
            <c:dLbl>
              <c:idx val="0"/>
              <c:tx>
                <c:rich>
                  <a:bodyPr rot="-6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10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B2B-494A-A068-C36D8922E34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27.065919432379985</c:v>
              </c:pt>
            </c:numLit>
          </c:xVal>
          <c:yVal>
            <c:numLit>
              <c:formatCode>General</c:formatCode>
              <c:ptCount val="1"/>
              <c:pt idx="0">
                <c:v>2.2278649752776442E-3</c:v>
              </c:pt>
            </c:numLit>
          </c:yVal>
          <c:smooth val="0"/>
          <c:extLst>
            <c:ext xmlns:c16="http://schemas.microsoft.com/office/drawing/2014/chart" uri="{C3380CC4-5D6E-409C-BE32-E72D297353CC}">
              <c16:uniqueId val="{00000003-7B2B-494A-A068-C36D8922E342}"/>
            </c:ext>
          </c:extLst>
        </c:ser>
        <c:ser>
          <c:idx val="3"/>
          <c:order val="3"/>
          <c:tx>
            <c:v>RH=10_2</c:v>
          </c:tx>
          <c:spPr>
            <a:ln w="3175">
              <a:solidFill>
                <a:srgbClr val="0000FF"/>
              </a:solidFill>
              <a:prstDash val="solid"/>
            </a:ln>
          </c:spPr>
          <c:marker>
            <c:symbol val="none"/>
          </c:marker>
          <c:xVal>
            <c:numLit>
              <c:formatCode>General</c:formatCode>
              <c:ptCount val="21"/>
              <c:pt idx="0">
                <c:v>27.804923631172404</c:v>
              </c:pt>
              <c:pt idx="1">
                <c:v>28.803770180784756</c:v>
              </c:pt>
              <c:pt idx="2">
                <c:v>29.802862673887123</c:v>
              </c:pt>
              <c:pt idx="3">
                <c:v>30.802230253577527</c:v>
              </c:pt>
              <c:pt idx="4">
                <c:v>31.801904052668917</c:v>
              </c:pt>
              <c:pt idx="5">
                <c:v>32.801917289185013</c:v>
              </c:pt>
              <c:pt idx="6">
                <c:v>33.802305365200944</c:v>
              </c:pt>
              <c:pt idx="7">
                <c:v>34.803105969135679</c:v>
              </c:pt>
              <c:pt idx="8">
                <c:v>35.804359181609868</c:v>
              </c:pt>
              <c:pt idx="9">
                <c:v>36.806107584989242</c:v>
              </c:pt>
              <c:pt idx="10">
                <c:v>37.808396376741563</c:v>
              </c:pt>
              <c:pt idx="11">
                <c:v>38.811273486743076</c:v>
              </c:pt>
              <c:pt idx="12">
                <c:v>39.81478969867927</c:v>
              </c:pt>
              <c:pt idx="13">
                <c:v>40.818998044575913</c:v>
              </c:pt>
              <c:pt idx="14">
                <c:v>41.823956140919336</c:v>
              </c:pt>
              <c:pt idx="15">
                <c:v>42.829724214366031</c:v>
              </c:pt>
              <c:pt idx="16">
                <c:v>43.836365792343038</c:v>
              </c:pt>
              <c:pt idx="17">
                <c:v>44.843947933065749</c:v>
              </c:pt>
              <c:pt idx="18">
                <c:v>45.852541375331619</c:v>
              </c:pt>
              <c:pt idx="19">
                <c:v>46.86222069374503</c:v>
              </c:pt>
              <c:pt idx="20">
                <c:v>47.165347874114275</c:v>
              </c:pt>
            </c:numLit>
          </c:xVal>
          <c:yVal>
            <c:numLit>
              <c:formatCode>General</c:formatCode>
              <c:ptCount val="21"/>
              <c:pt idx="0">
                <c:v>2.3268337235576001E-3</c:v>
              </c:pt>
              <c:pt idx="1">
                <c:v>2.466676811153637E-3</c:v>
              </c:pt>
              <c:pt idx="2">
                <c:v>2.6138166712018933E-3</c:v>
              </c:pt>
              <c:pt idx="3">
                <c:v>2.7685741400948331E-3</c:v>
              </c:pt>
              <c:pt idx="4">
                <c:v>2.9312815010714525E-3</c:v>
              </c:pt>
              <c:pt idx="5">
                <c:v>3.1022828107865022E-3</c:v>
              </c:pt>
              <c:pt idx="6">
                <c:v>3.2819342352185372E-3</c:v>
              </c:pt>
              <c:pt idx="7">
                <c:v>3.4706043954107185E-3</c:v>
              </c:pt>
              <c:pt idx="8">
                <c:v>3.6686747235745365E-3</c:v>
              </c:pt>
              <c:pt idx="9">
                <c:v>3.87653983012467E-3</c:v>
              </c:pt>
              <c:pt idx="10">
                <c:v>4.094607882253176E-3</c:v>
              </c:pt>
              <c:pt idx="11">
                <c:v>4.3233009946946083E-3</c:v>
              </c:pt>
              <c:pt idx="12">
                <c:v>4.5630556333788666E-3</c:v>
              </c:pt>
              <c:pt idx="13">
                <c:v>4.8143664868622081E-3</c:v>
              </c:pt>
              <c:pt idx="14">
                <c:v>5.0776664167760535E-3</c:v>
              </c:pt>
              <c:pt idx="15">
                <c:v>5.3534333142334486E-3</c:v>
              </c:pt>
              <c:pt idx="16">
                <c:v>5.6421657767406772E-3</c:v>
              </c:pt>
              <c:pt idx="17">
                <c:v>5.9443790149535658E-3</c:v>
              </c:pt>
              <c:pt idx="18">
                <c:v>6.2606053522673184E-3</c:v>
              </c:pt>
              <c:pt idx="19">
                <c:v>6.5913947437551716E-3</c:v>
              </c:pt>
              <c:pt idx="20">
                <c:v>6.693555806651999E-3</c:v>
              </c:pt>
            </c:numLit>
          </c:yVal>
          <c:smooth val="1"/>
          <c:extLst>
            <c:ext xmlns:c16="http://schemas.microsoft.com/office/drawing/2014/chart" uri="{C3380CC4-5D6E-409C-BE32-E72D297353CC}">
              <c16:uniqueId val="{00000004-7B2B-494A-A068-C36D8922E342}"/>
            </c:ext>
          </c:extLst>
        </c:ser>
        <c:ser>
          <c:idx val="4"/>
          <c:order val="4"/>
          <c:tx>
            <c:v>RH=10_Label2</c:v>
          </c:tx>
          <c:spPr>
            <a:ln w="3175">
              <a:solidFill>
                <a:srgbClr val="0000FF"/>
              </a:solidFill>
              <a:prstDash val="solid"/>
            </a:ln>
          </c:spPr>
          <c:marker>
            <c:symbol val="none"/>
          </c:marker>
          <c:dLbls>
            <c:dLbl>
              <c:idx val="0"/>
              <c:tx>
                <c:rich>
                  <a:bodyPr rot="-15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10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B2B-494A-A068-C36D8922E34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47.468582019792713</c:v>
              </c:pt>
            </c:numLit>
          </c:xVal>
          <c:yVal>
            <c:numLit>
              <c:formatCode>General</c:formatCode>
              <c:ptCount val="1"/>
              <c:pt idx="0">
                <c:v>6.7970942125870166E-3</c:v>
              </c:pt>
            </c:numLit>
          </c:yVal>
          <c:smooth val="0"/>
          <c:extLst>
            <c:ext xmlns:c16="http://schemas.microsoft.com/office/drawing/2014/chart" uri="{C3380CC4-5D6E-409C-BE32-E72D297353CC}">
              <c16:uniqueId val="{00000006-7B2B-494A-A068-C36D8922E342}"/>
            </c:ext>
          </c:extLst>
        </c:ser>
        <c:ser>
          <c:idx val="5"/>
          <c:order val="5"/>
          <c:tx>
            <c:v>RH=10_3</c:v>
          </c:tx>
          <c:spPr>
            <a:ln w="3175">
              <a:solidFill>
                <a:srgbClr val="0000FF"/>
              </a:solidFill>
              <a:prstDash val="solid"/>
            </a:ln>
          </c:spPr>
          <c:marker>
            <c:symbol val="none"/>
          </c:marker>
          <c:xVal>
            <c:numLit>
              <c:formatCode>General</c:formatCode>
              <c:ptCount val="4"/>
              <c:pt idx="0">
                <c:v>47.77192535836096</c:v>
              </c:pt>
              <c:pt idx="1">
                <c:v>48.783887743051473</c:v>
              </c:pt>
              <c:pt idx="2">
                <c:v>49.797175474186403</c:v>
              </c:pt>
              <c:pt idx="3">
                <c:v>50</c:v>
              </c:pt>
            </c:numLit>
          </c:xVal>
          <c:yVal>
            <c:numLit>
              <c:formatCode>General</c:formatCode>
              <c:ptCount val="4"/>
              <c:pt idx="0">
                <c:v>6.9020257792945907E-3</c:v>
              </c:pt>
              <c:pt idx="1">
                <c:v>7.262065631820038E-3</c:v>
              </c:pt>
              <c:pt idx="2">
                <c:v>7.6383681948431099E-3</c:v>
              </c:pt>
              <c:pt idx="3">
                <c:v>7.7156347951563434E-3</c:v>
              </c:pt>
            </c:numLit>
          </c:yVal>
          <c:smooth val="1"/>
          <c:extLst>
            <c:ext xmlns:c16="http://schemas.microsoft.com/office/drawing/2014/chart" uri="{C3380CC4-5D6E-409C-BE32-E72D297353CC}">
              <c16:uniqueId val="{00000007-7B2B-494A-A068-C36D8922E342}"/>
            </c:ext>
          </c:extLst>
        </c:ser>
        <c:ser>
          <c:idx val="6"/>
          <c:order val="6"/>
          <c:tx>
            <c:v>RH=20_1</c:v>
          </c:tx>
          <c:spPr>
            <a:ln w="3175">
              <a:solidFill>
                <a:srgbClr val="0000FF"/>
              </a:solidFill>
              <a:prstDash val="solid"/>
            </a:ln>
          </c:spPr>
          <c:marker>
            <c:symbol val="none"/>
          </c:marker>
          <c:xVal>
            <c:numLit>
              <c:formatCode>General</c:formatCode>
              <c:ptCount val="34"/>
              <c:pt idx="0">
                <c:v>-10.035560496732938</c:v>
              </c:pt>
              <c:pt idx="1">
                <c:v>-9.0382026964619619</c:v>
              </c:pt>
              <c:pt idx="2">
                <c:v>-8.0410020393756554</c:v>
              </c:pt>
              <c:pt idx="3">
                <c:v>-7.0439643991642971</c:v>
              </c:pt>
              <c:pt idx="4">
                <c:v>-6.0470955422909016</c:v>
              </c:pt>
              <c:pt idx="5">
                <c:v>-5.0504010849725072</c:v>
              </c:pt>
              <c:pt idx="6">
                <c:v>-4.0538864457460759</c:v>
              </c:pt>
              <c:pt idx="7">
                <c:v>-3.0575567933261141</c:v>
              </c:pt>
              <c:pt idx="8">
                <c:v>-2.0614169894474266</c:v>
              </c:pt>
              <c:pt idx="9">
                <c:v>-1.0654715263721464</c:v>
              </c:pt>
              <c:pt idx="10">
                <c:v>-6.97244587252972E-2</c:v>
              </c:pt>
              <c:pt idx="11">
                <c:v>0.92653092787105074</c:v>
              </c:pt>
              <c:pt idx="12">
                <c:v>1.9226701661646581</c:v>
              </c:pt>
              <c:pt idx="13">
                <c:v>2.9186888084423579</c:v>
              </c:pt>
              <c:pt idx="14">
                <c:v>3.9145899067468815</c:v>
              </c:pt>
              <c:pt idx="15">
                <c:v>4.9103773014566139</c:v>
              </c:pt>
              <c:pt idx="16">
                <c:v>5.9060538111202767</c:v>
              </c:pt>
              <c:pt idx="17">
                <c:v>6.9016267487543175</c:v>
              </c:pt>
              <c:pt idx="18">
                <c:v>7.8971027167532792</c:v>
              </c:pt>
              <c:pt idx="19">
                <c:v>8.8924893864465524</c:v>
              </c:pt>
              <c:pt idx="20">
                <c:v>9.8877955770160781</c:v>
              </c:pt>
              <c:pt idx="21">
                <c:v>10.883029001805786</c:v>
              </c:pt>
              <c:pt idx="22">
                <c:v>11.878203170401681</c:v>
              </c:pt>
              <c:pt idx="23">
                <c:v>12.873330854228927</c:v>
              </c:pt>
              <c:pt idx="24">
                <c:v>13.868426328102487</c:v>
              </c:pt>
              <c:pt idx="25">
                <c:v>14.863505469299307</c:v>
              </c:pt>
              <c:pt idx="26">
                <c:v>15.858585861032267</c:v>
              </c:pt>
              <c:pt idx="27">
                <c:v>16.853686900469274</c:v>
              </c:pt>
              <c:pt idx="28">
                <c:v>17.848829911447321</c:v>
              </c:pt>
              <c:pt idx="29">
                <c:v>18.844038262038808</c:v>
              </c:pt>
              <c:pt idx="30">
                <c:v>19.839337487135094</c:v>
              </c:pt>
              <c:pt idx="31">
                <c:v>20.83475541622126</c:v>
              </c:pt>
              <c:pt idx="32">
                <c:v>21.830322306525588</c:v>
              </c:pt>
              <c:pt idx="33">
                <c:v>22.826070981737747</c:v>
              </c:pt>
            </c:numLit>
          </c:xVal>
          <c:yVal>
            <c:numLit>
              <c:formatCode>General</c:formatCode>
              <c:ptCount val="34"/>
              <c:pt idx="0">
                <c:v>3.2055429850658324E-4</c:v>
              </c:pt>
              <c:pt idx="1">
                <c:v>3.5020879023814594E-4</c:v>
              </c:pt>
              <c:pt idx="2">
                <c:v>3.8235123852344135E-4</c:v>
              </c:pt>
              <c:pt idx="3">
                <c:v>4.1716832257387661E-4</c:v>
              </c:pt>
              <c:pt idx="4">
                <c:v>4.5485902020590482E-4</c:v>
              </c:pt>
              <c:pt idx="5">
                <c:v>4.9563530285770194E-4</c:v>
              </c:pt>
              <c:pt idx="6">
                <c:v>5.3972286360566622E-4</c:v>
              </c:pt>
              <c:pt idx="7">
                <c:v>5.873618795503245E-4</c:v>
              </c:pt>
              <c:pt idx="8">
                <c:v>6.3880781000941775E-4</c:v>
              </c:pt>
              <c:pt idx="9">
                <c:v>6.9433223203014031E-4</c:v>
              </c:pt>
              <c:pt idx="10">
                <c:v>7.5422371481342985E-4</c:v>
              </c:pt>
              <c:pt idx="11">
                <c:v>8.1094894186661099E-4</c:v>
              </c:pt>
              <c:pt idx="12">
                <c:v>8.7134646996364098E-4</c:v>
              </c:pt>
              <c:pt idx="13">
                <c:v>9.3570188408817544E-4</c:v>
              </c:pt>
              <c:pt idx="14">
                <c:v>1.0042374218400759E-3</c:v>
              </c:pt>
              <c:pt idx="15">
                <c:v>1.0771856001749857E-3</c:v>
              </c:pt>
              <c:pt idx="16">
                <c:v>1.154812634567477E-3</c:v>
              </c:pt>
              <c:pt idx="17">
                <c:v>1.2373529726576297E-3</c:v>
              </c:pt>
              <c:pt idx="18">
                <c:v>1.3250725415540391E-3</c:v>
              </c:pt>
              <c:pt idx="19">
                <c:v>1.4182491113921719E-3</c:v>
              </c:pt>
              <c:pt idx="20">
                <c:v>1.5171727086266814E-3</c:v>
              </c:pt>
              <c:pt idx="21">
                <c:v>1.622178442009625E-3</c:v>
              </c:pt>
              <c:pt idx="22">
                <c:v>1.7335541960372019E-3</c:v>
              </c:pt>
              <c:pt idx="23">
                <c:v>1.8516297681735034E-3</c:v>
              </c:pt>
              <c:pt idx="24">
                <c:v>1.9767490132750658E-3</c:v>
              </c:pt>
              <c:pt idx="25">
                <c:v>2.10927032081257E-3</c:v>
              </c:pt>
              <c:pt idx="26">
                <c:v>2.2495671062861596E-3</c:v>
              </c:pt>
              <c:pt idx="27">
                <c:v>2.3980283174961114E-3</c:v>
              </c:pt>
              <c:pt idx="28">
                <c:v>2.5550589563843114E-3</c:v>
              </c:pt>
              <c:pt idx="29">
                <c:v>2.7210806172209283E-3</c:v>
              </c:pt>
              <c:pt idx="30">
                <c:v>2.8965320419730616E-3</c:v>
              </c:pt>
              <c:pt idx="31">
                <c:v>3.0818696937599506E-3</c:v>
              </c:pt>
              <c:pt idx="32">
                <c:v>3.2775683493713736E-3</c:v>
              </c:pt>
              <c:pt idx="33">
                <c:v>3.4841217119041239E-3</c:v>
              </c:pt>
            </c:numLit>
          </c:yVal>
          <c:smooth val="1"/>
          <c:extLst>
            <c:ext xmlns:c16="http://schemas.microsoft.com/office/drawing/2014/chart" uri="{C3380CC4-5D6E-409C-BE32-E72D297353CC}">
              <c16:uniqueId val="{00000008-7B2B-494A-A068-C36D8922E342}"/>
            </c:ext>
          </c:extLst>
        </c:ser>
        <c:ser>
          <c:idx val="7"/>
          <c:order val="7"/>
          <c:tx>
            <c:v>RH=20_Label1</c:v>
          </c:tx>
          <c:spPr>
            <a:ln w="3175">
              <a:solidFill>
                <a:srgbClr val="0000FF"/>
              </a:solidFill>
              <a:prstDash val="solid"/>
            </a:ln>
          </c:spPr>
          <c:marker>
            <c:symbol val="none"/>
          </c:marker>
          <c:dLbls>
            <c:dLbl>
              <c:idx val="0"/>
              <c:tx>
                <c:rich>
                  <a:bodyPr rot="-9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20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B2B-494A-A068-C36D8922E34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23.4634618281546</c:v>
              </c:pt>
            </c:numLit>
          </c:xVal>
          <c:yVal>
            <c:numLit>
              <c:formatCode>General</c:formatCode>
              <c:ptCount val="1"/>
              <c:pt idx="0">
                <c:v>3.6222486187216128E-3</c:v>
              </c:pt>
            </c:numLit>
          </c:yVal>
          <c:smooth val="0"/>
          <c:extLst>
            <c:ext xmlns:c16="http://schemas.microsoft.com/office/drawing/2014/chart" uri="{C3380CC4-5D6E-409C-BE32-E72D297353CC}">
              <c16:uniqueId val="{0000000A-7B2B-494A-A068-C36D8922E342}"/>
            </c:ext>
          </c:extLst>
        </c:ser>
        <c:ser>
          <c:idx val="8"/>
          <c:order val="8"/>
          <c:tx>
            <c:v>RH=20_2</c:v>
          </c:tx>
          <c:spPr>
            <a:ln w="3175">
              <a:solidFill>
                <a:srgbClr val="0000FF"/>
              </a:solidFill>
              <a:prstDash val="solid"/>
            </a:ln>
          </c:spPr>
          <c:marker>
            <c:symbol val="none"/>
          </c:marker>
          <c:xVal>
            <c:numLit>
              <c:formatCode>General</c:formatCode>
              <c:ptCount val="21"/>
              <c:pt idx="0">
                <c:v>24.090989965522958</c:v>
              </c:pt>
              <c:pt idx="1">
                <c:v>25.08728670106132</c:v>
              </c:pt>
              <c:pt idx="2">
                <c:v>26.083889525140563</c:v>
              </c:pt>
              <c:pt idx="3">
                <c:v>27.080846559796672</c:v>
              </c:pt>
              <c:pt idx="4">
                <c:v>28.078206710864933</c:v>
              </c:pt>
              <c:pt idx="5">
                <c:v>29.07602246563086</c:v>
              </c:pt>
              <c:pt idx="6">
                <c:v>30.074350079513291</c:v>
              </c:pt>
              <c:pt idx="7">
                <c:v>31.073249770509715</c:v>
              </c:pt>
              <c:pt idx="8">
                <c:v>32.072785921759255</c:v>
              </c:pt>
              <c:pt idx="9">
                <c:v>33.073027292605012</c:v>
              </c:pt>
              <c:pt idx="10">
                <c:v>34.074047238566301</c:v>
              </c:pt>
              <c:pt idx="11">
                <c:v>35.075923940662001</c:v>
              </c:pt>
              <c:pt idx="12">
                <c:v>36.078740644560909</c:v>
              </c:pt>
              <c:pt idx="13">
                <c:v>37.082585910071032</c:v>
              </c:pt>
              <c:pt idx="14">
                <c:v>38.087553871520392</c:v>
              </c:pt>
              <c:pt idx="15">
                <c:v>39.093744509625317</c:v>
              </c:pt>
              <c:pt idx="16">
                <c:v>40.101263475245702</c:v>
              </c:pt>
              <c:pt idx="17">
                <c:v>41.110222635937923</c:v>
              </c:pt>
              <c:pt idx="18">
                <c:v>42.120742613179722</c:v>
              </c:pt>
              <c:pt idx="19">
                <c:v>43.132949797257567</c:v>
              </c:pt>
              <c:pt idx="20">
                <c:v>43.143080835819099</c:v>
              </c:pt>
            </c:numLit>
          </c:xVal>
          <c:yVal>
            <c:numLit>
              <c:formatCode>General</c:formatCode>
              <c:ptCount val="21"/>
              <c:pt idx="0">
                <c:v>3.762899562535327E-3</c:v>
              </c:pt>
              <c:pt idx="1">
                <c:v>3.9960515227318218E-3</c:v>
              </c:pt>
              <c:pt idx="2">
                <c:v>4.2418774317838923E-3</c:v>
              </c:pt>
              <c:pt idx="3">
                <c:v>4.5009049866489162E-3</c:v>
              </c:pt>
              <c:pt idx="4">
                <c:v>4.7737395125384907E-3</c:v>
              </c:pt>
              <c:pt idx="5">
                <c:v>5.0610096938973562E-3</c:v>
              </c:pt>
              <c:pt idx="6">
                <c:v>5.3633683765682734E-3</c:v>
              </c:pt>
              <c:pt idx="7">
                <c:v>5.6814934027757868E-3</c:v>
              </c:pt>
              <c:pt idx="8">
                <c:v>6.0160884810445394E-3</c:v>
              </c:pt>
              <c:pt idx="9">
                <c:v>6.3678840933275062E-3</c:v>
              </c:pt>
              <c:pt idx="10">
                <c:v>6.7376384417931747E-3</c:v>
              </c:pt>
              <c:pt idx="11">
                <c:v>7.1261384379044338E-3</c:v>
              </c:pt>
              <c:pt idx="12">
                <c:v>7.5342007366225091E-3</c:v>
              </c:pt>
              <c:pt idx="13">
                <c:v>7.9626728187814425E-3</c:v>
              </c:pt>
              <c:pt idx="14">
                <c:v>8.4124341249109912E-3</c:v>
              </c:pt>
              <c:pt idx="15">
                <c:v>8.8843972440316565E-3</c:v>
              </c:pt>
              <c:pt idx="16">
                <c:v>9.3795347447102571E-3</c:v>
              </c:pt>
              <c:pt idx="17">
                <c:v>9.8988796663613213E-3</c:v>
              </c:pt>
              <c:pt idx="18">
                <c:v>1.0443387106594744E-2</c:v>
              </c:pt>
              <c:pt idx="19">
                <c:v>1.1014116215220278E-2</c:v>
              </c:pt>
              <c:pt idx="20">
                <c:v>1.1019959610694009E-2</c:v>
              </c:pt>
            </c:numLit>
          </c:yVal>
          <c:smooth val="1"/>
          <c:extLst>
            <c:ext xmlns:c16="http://schemas.microsoft.com/office/drawing/2014/chart" uri="{C3380CC4-5D6E-409C-BE32-E72D297353CC}">
              <c16:uniqueId val="{0000000B-7B2B-494A-A068-C36D8922E342}"/>
            </c:ext>
          </c:extLst>
        </c:ser>
        <c:ser>
          <c:idx val="9"/>
          <c:order val="9"/>
          <c:tx>
            <c:v>RH=20_Label2</c:v>
          </c:tx>
          <c:spPr>
            <a:ln w="3175">
              <a:solidFill>
                <a:srgbClr val="0000FF"/>
              </a:solidFill>
              <a:prstDash val="solid"/>
            </a:ln>
          </c:spPr>
          <c:marker>
            <c:symbol val="none"/>
          </c:marker>
          <c:dLbls>
            <c:dLbl>
              <c:idx val="0"/>
              <c:tx>
                <c:rich>
                  <a:bodyPr rot="-22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20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B2B-494A-A068-C36D8922E34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43.447097324768826</c:v>
              </c:pt>
            </c:numLit>
          </c:xVal>
          <c:yVal>
            <c:numLit>
              <c:formatCode>General</c:formatCode>
              <c:ptCount val="1"/>
              <c:pt idx="0">
                <c:v>1.1196537306347976E-2</c:v>
              </c:pt>
            </c:numLit>
          </c:yVal>
          <c:smooth val="0"/>
          <c:extLst>
            <c:ext xmlns:c16="http://schemas.microsoft.com/office/drawing/2014/chart" uri="{C3380CC4-5D6E-409C-BE32-E72D297353CC}">
              <c16:uniqueId val="{0000000D-7B2B-494A-A068-C36D8922E342}"/>
            </c:ext>
          </c:extLst>
        </c:ser>
        <c:ser>
          <c:idx val="10"/>
          <c:order val="10"/>
          <c:tx>
            <c:v>RH=20_3</c:v>
          </c:tx>
          <c:spPr>
            <a:ln w="3175">
              <a:solidFill>
                <a:srgbClr val="0000FF"/>
              </a:solidFill>
              <a:prstDash val="solid"/>
            </a:ln>
          </c:spPr>
          <c:marker>
            <c:symbol val="none"/>
          </c:marker>
          <c:dLbls>
            <c:dLbl>
              <c:idx val="3"/>
              <c:tx>
                <c:rich>
                  <a:bodyPr rot="-2520000" vert="horz" wrap="square" lIns="0" tIns="0" rIns="0" bIns="0" anchor="ctr">
                    <a:spAutoFit/>
                  </a:bodyPr>
                  <a:lstStyle/>
                  <a:p>
                    <a:pPr algn="ctr">
                      <a:defRPr altLang="en-US" sz="700" i="1" u="none" strike="noStrike" baseline="0">
                        <a:latin typeface="ＭＳ Ｐ明朝"/>
                        <a:ea typeface="ＭＳ Ｐ明朝"/>
                        <a:cs typeface="ＭＳ Ｐ明朝"/>
                      </a:defRPr>
                    </a:pPr>
                    <a:r>
                      <a:rPr lang="ja-JP" altLang="en-US"/>
                      <a:t>相対湿度 </a:t>
                    </a:r>
                    <a:r>
                      <a:rPr lang="el-GR"/>
                      <a:t>φ[</a:t>
                    </a:r>
                    <a:r>
                      <a:rPr lang="ja-JP" altLang="el-GR"/>
                      <a:t>％</a:t>
                    </a:r>
                    <a:r>
                      <a:rPr lang="el-GR"/>
                      <a:t>]
</a:t>
                    </a:r>
                    <a:endParaRPr lang="el-GR" altLang="ja-JP"/>
                  </a:p>
                </c:rich>
              </c:tx>
              <c:spPr>
                <a:solidFill>
                  <a:srgbClr val="FFFFFF">
                    <a:alpha val="0"/>
                  </a:srgbClr>
                </a:solidFill>
                <a:ln>
                  <a:noFill/>
                </a:ln>
                <a:effectLst/>
              </c:spPr>
              <c:dLblPos val="ct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E-7B2B-494A-A068-C36D8922E34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8"/>
              <c:pt idx="0">
                <c:v>43.751281523767183</c:v>
              </c:pt>
              <c:pt idx="1">
                <c:v>44.766489529880268</c:v>
              </c:pt>
              <c:pt idx="2">
                <c:v>45.783750430022089</c:v>
              </c:pt>
              <c:pt idx="3">
                <c:v>46.803219082404993</c:v>
              </c:pt>
              <c:pt idx="4">
                <c:v>47.825059125327186</c:v>
              </c:pt>
              <c:pt idx="5">
                <c:v>48.849443401728202</c:v>
              </c:pt>
              <c:pt idx="6">
                <c:v>49.876554405498752</c:v>
              </c:pt>
              <c:pt idx="7">
                <c:v>50.000000000000007</c:v>
              </c:pt>
            </c:numLit>
          </c:xVal>
          <c:yVal>
            <c:numLit>
              <c:formatCode>General</c:formatCode>
              <c:ptCount val="8"/>
              <c:pt idx="0">
                <c:v>1.1375605022333236E-2</c:v>
              </c:pt>
              <c:pt idx="1">
                <c:v>1.199087837496329E-2</c:v>
              </c:pt>
              <c:pt idx="2">
                <c:v>1.2635330853661442E-2</c:v>
              </c:pt>
              <c:pt idx="3">
                <c:v>1.3310174231557656E-2</c:v>
              </c:pt>
              <c:pt idx="4">
                <c:v>1.4016666646594227E-2</c:v>
              </c:pt>
              <c:pt idx="5">
                <c:v>1.475611456481781E-2</c:v>
              </c:pt>
              <c:pt idx="6">
                <c:v>1.5529874857761593E-2</c:v>
              </c:pt>
              <c:pt idx="7">
                <c:v>1.5625098253228449E-2</c:v>
              </c:pt>
            </c:numLit>
          </c:yVal>
          <c:smooth val="1"/>
          <c:extLst>
            <c:ext xmlns:c16="http://schemas.microsoft.com/office/drawing/2014/chart" uri="{C3380CC4-5D6E-409C-BE32-E72D297353CC}">
              <c16:uniqueId val="{0000000F-7B2B-494A-A068-C36D8922E342}"/>
            </c:ext>
          </c:extLst>
        </c:ser>
        <c:ser>
          <c:idx val="11"/>
          <c:order val="11"/>
          <c:tx>
            <c:v>RH=30_1</c:v>
          </c:tx>
          <c:spPr>
            <a:ln w="3175">
              <a:solidFill>
                <a:srgbClr val="0000FF"/>
              </a:solidFill>
              <a:prstDash val="solid"/>
            </a:ln>
          </c:spPr>
          <c:marker>
            <c:symbol val="none"/>
          </c:marker>
          <c:xVal>
            <c:numLit>
              <c:formatCode>General</c:formatCode>
              <c:ptCount val="32"/>
              <c:pt idx="0">
                <c:v>-10.053354493943724</c:v>
              </c:pt>
              <c:pt idx="1">
                <c:v>-9.0573201818931413</c:v>
              </c:pt>
              <c:pt idx="2">
                <c:v>-8.0615219688362885</c:v>
              </c:pt>
              <c:pt idx="3">
                <c:v>-7.0659687216933014</c:v>
              </c:pt>
              <c:pt idx="4">
                <c:v>-6.0706691538991491</c:v>
              </c:pt>
              <c:pt idx="5">
                <c:v>-5.0756317616842264</c:v>
              </c:pt>
              <c:pt idx="6">
                <c:v>-4.0808647537958755</c:v>
              </c:pt>
              <c:pt idx="7">
                <c:v>-3.0863759742222392</c:v>
              </c:pt>
              <c:pt idx="8">
                <c:v>-2.0921728174581125</c:v>
              </c:pt>
              <c:pt idx="9">
                <c:v>-1.0982621358298799</c:v>
              </c:pt>
              <c:pt idx="10">
                <c:v>-0.10465013837261665</c:v>
              </c:pt>
              <c:pt idx="11">
                <c:v>0.88972450219737909</c:v>
              </c:pt>
              <c:pt idx="12">
                <c:v>1.8839239424018834</c:v>
              </c:pt>
              <c:pt idx="13">
                <c:v>2.8779414006588313</c:v>
              </c:pt>
              <c:pt idx="14">
                <c:v>3.871781350388404</c:v>
              </c:pt>
              <c:pt idx="15">
                <c:v>4.8654494404600808</c:v>
              </c:pt>
              <c:pt idx="16">
                <c:v>5.8589497747029542</c:v>
              </c:pt>
              <c:pt idx="17">
                <c:v>6.8522932008453763</c:v>
              </c:pt>
              <c:pt idx="18">
                <c:v>7.8454894897457255</c:v>
              </c:pt>
              <c:pt idx="19">
                <c:v>8.8385500091965099</c:v>
              </c:pt>
              <c:pt idx="20">
                <c:v>9.8314878428015433</c:v>
              </c:pt>
              <c:pt idx="21">
                <c:v>10.824314400976062</c:v>
              </c:pt>
              <c:pt idx="22">
                <c:v>11.817049800389974</c:v>
              </c:pt>
              <c:pt idx="23">
                <c:v>12.809713039921014</c:v>
              </c:pt>
              <c:pt idx="24">
                <c:v>13.802325371823336</c:v>
              </c:pt>
              <c:pt idx="25">
                <c:v>14.794910452175319</c:v>
              </c:pt>
              <c:pt idx="26">
                <c:v>15.787494498334434</c:v>
              </c:pt>
              <c:pt idx="27">
                <c:v>16.780106453672715</c:v>
              </c:pt>
              <c:pt idx="28">
                <c:v>17.772778159883224</c:v>
              </c:pt>
              <c:pt idx="29">
                <c:v>18.765544537166129</c:v>
              </c:pt>
              <c:pt idx="30">
                <c:v>19.758443772623167</c:v>
              </c:pt>
              <c:pt idx="31">
                <c:v>20.24502537845661</c:v>
              </c:pt>
            </c:numLit>
          </c:xVal>
          <c:yVal>
            <c:numLit>
              <c:formatCode>General</c:formatCode>
              <c:ptCount val="32"/>
              <c:pt idx="0">
                <c:v>4.8095538447478798E-4</c:v>
              </c:pt>
              <c:pt idx="1">
                <c:v>5.2546111704482746E-4</c:v>
              </c:pt>
              <c:pt idx="2">
                <c:v>5.7370319474700678E-4</c:v>
              </c:pt>
              <c:pt idx="3">
                <c:v>6.2596240354141543E-4</c:v>
              </c:pt>
              <c:pt idx="4">
                <c:v>6.8253810313502938E-4</c:v>
              </c:pt>
              <c:pt idx="5">
                <c:v>7.4374928889864127E-4</c:v>
              </c:pt>
              <c:pt idx="6">
                <c:v>8.0993570607976032E-4</c:v>
              </c:pt>
              <c:pt idx="7">
                <c:v>8.8145901874186257E-4</c:v>
              </c:pt>
              <c:pt idx="8">
                <c:v>9.5870403600972981E-4</c:v>
              </c:pt>
              <c:pt idx="9">
                <c:v>1.042079998364528E-3</c:v>
              </c:pt>
              <c:pt idx="10">
                <c:v>1.1320219269123908E-3</c:v>
              </c:pt>
              <c:pt idx="11">
                <c:v>1.2172169276874775E-3</c:v>
              </c:pt>
              <c:pt idx="12">
                <c:v>1.3079358640647994E-3</c:v>
              </c:pt>
              <c:pt idx="13">
                <c:v>1.4046093678473526E-3</c:v>
              </c:pt>
              <c:pt idx="14">
                <c:v>1.5075731826702395E-3</c:v>
              </c:pt>
              <c:pt idx="15">
                <c:v>1.6171787681858833E-3</c:v>
              </c:pt>
              <c:pt idx="16">
                <c:v>1.7338285269895967E-3</c:v>
              </c:pt>
              <c:pt idx="17">
                <c:v>1.8578774687365771E-3</c:v>
              </c:pt>
              <c:pt idx="18">
                <c:v>1.9897282810522198E-3</c:v>
              </c:pt>
              <c:pt idx="19">
                <c:v>2.1298018718635013E-3</c:v>
              </c:pt>
              <c:pt idx="20">
                <c:v>2.278538039538269E-3</c:v>
              </c:pt>
              <c:pt idx="21">
                <c:v>2.4364448941009312E-3</c:v>
              </c:pt>
              <c:pt idx="22">
                <c:v>2.6039601132949388E-3</c:v>
              </c:pt>
              <c:pt idx="23">
                <c:v>2.7815850310877644E-3</c:v>
              </c:pt>
              <c:pt idx="24">
                <c:v>2.9698428307306547E-3</c:v>
              </c:pt>
              <c:pt idx="25">
                <c:v>3.1692793411924403E-3</c:v>
              </c:pt>
              <c:pt idx="26">
                <c:v>3.3804638626748922E-3</c:v>
              </c:pt>
              <c:pt idx="27">
                <c:v>3.6039900228942794E-3</c:v>
              </c:pt>
              <c:pt idx="28">
                <c:v>3.840476665952176E-3</c:v>
              </c:pt>
              <c:pt idx="29">
                <c:v>4.0905687757696188E-3</c:v>
              </c:pt>
              <c:pt idx="30">
                <c:v>4.3549384362202544E-3</c:v>
              </c:pt>
              <c:pt idx="31">
                <c:v>4.4899026259122817E-3</c:v>
              </c:pt>
            </c:numLit>
          </c:yVal>
          <c:smooth val="1"/>
          <c:extLst>
            <c:ext xmlns:c16="http://schemas.microsoft.com/office/drawing/2014/chart" uri="{C3380CC4-5D6E-409C-BE32-E72D297353CC}">
              <c16:uniqueId val="{00000010-7B2B-494A-A068-C36D8922E342}"/>
            </c:ext>
          </c:extLst>
        </c:ser>
        <c:ser>
          <c:idx val="12"/>
          <c:order val="12"/>
          <c:tx>
            <c:v>RH=30_Label1</c:v>
          </c:tx>
          <c:spPr>
            <a:ln w="3175">
              <a:solidFill>
                <a:srgbClr val="0000FF"/>
              </a:solidFill>
              <a:prstDash val="solid"/>
            </a:ln>
          </c:spPr>
          <c:marker>
            <c:symbol val="none"/>
          </c:marker>
          <c:dLbls>
            <c:dLbl>
              <c:idx val="0"/>
              <c:tx>
                <c:rich>
                  <a:bodyPr rot="-12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30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B2B-494A-A068-C36D8922E34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20.811108461403002</c:v>
              </c:pt>
            </c:numLit>
          </c:xVal>
          <c:yVal>
            <c:numLit>
              <c:formatCode>General</c:formatCode>
              <c:ptCount val="1"/>
              <c:pt idx="0">
                <c:v>4.6515387384462158E-3</c:v>
              </c:pt>
            </c:numLit>
          </c:yVal>
          <c:smooth val="0"/>
          <c:extLst>
            <c:ext xmlns:c16="http://schemas.microsoft.com/office/drawing/2014/chart" uri="{C3380CC4-5D6E-409C-BE32-E72D297353CC}">
              <c16:uniqueId val="{00000012-7B2B-494A-A068-C36D8922E342}"/>
            </c:ext>
          </c:extLst>
        </c:ser>
        <c:ser>
          <c:idx val="13"/>
          <c:order val="13"/>
          <c:tx>
            <c:v>RH=30_2</c:v>
          </c:tx>
          <c:spPr>
            <a:ln w="3175">
              <a:solidFill>
                <a:srgbClr val="0000FF"/>
              </a:solidFill>
              <a:prstDash val="solid"/>
            </a:ln>
          </c:spPr>
          <c:marker>
            <c:symbol val="none"/>
          </c:marker>
          <c:xVal>
            <c:numLit>
              <c:formatCode>General</c:formatCode>
              <c:ptCount val="18"/>
              <c:pt idx="0">
                <c:v>21.377263818739706</c:v>
              </c:pt>
              <c:pt idx="1">
                <c:v>22.370720895339069</c:v>
              </c:pt>
              <c:pt idx="2">
                <c:v>23.364480102613534</c:v>
              </c:pt>
              <c:pt idx="3">
                <c:v>24.35859746559164</c:v>
              </c:pt>
              <c:pt idx="4">
                <c:v>25.353129999964821</c:v>
              </c:pt>
              <c:pt idx="5">
                <c:v>26.348144260675021</c:v>
              </c:pt>
              <c:pt idx="6">
                <c:v>27.343712590614235</c:v>
              </c:pt>
              <c:pt idx="7">
                <c:v>28.339910613496379</c:v>
              </c:pt>
              <c:pt idx="8">
                <c:v>29.336819542810858</c:v>
              </c:pt>
              <c:pt idx="9">
                <c:v>30.334526485832559</c:v>
              </c:pt>
              <c:pt idx="10">
                <c:v>31.333124762061246</c:v>
              </c:pt>
              <c:pt idx="11">
                <c:v>32.332714236929732</c:v>
              </c:pt>
              <c:pt idx="12">
                <c:v>33.333401671690773</c:v>
              </c:pt>
              <c:pt idx="13">
                <c:v>34.335301090470558</c:v>
              </c:pt>
              <c:pt idx="14">
                <c:v>35.338534165561015</c:v>
              </c:pt>
              <c:pt idx="15">
                <c:v>36.343230622116273</c:v>
              </c:pt>
              <c:pt idx="16">
                <c:v>37.349528663520069</c:v>
              </c:pt>
              <c:pt idx="17">
                <c:v>38.286952001805297</c:v>
              </c:pt>
            </c:numLit>
          </c:xVal>
          <c:yVal>
            <c:numLit>
              <c:formatCode>General</c:formatCode>
              <c:ptCount val="18"/>
              <c:pt idx="0">
                <c:v>4.8182920461159124E-3</c:v>
              </c:pt>
              <c:pt idx="1">
                <c:v>5.1236299709849099E-3</c:v>
              </c:pt>
              <c:pt idx="2">
                <c:v>5.445929040633163E-3</c:v>
              </c:pt>
              <c:pt idx="3">
                <c:v>5.7860005173922934E-3</c:v>
              </c:pt>
              <c:pt idx="4">
                <c:v>6.1447668346722162E-3</c:v>
              </c:pt>
              <c:pt idx="5">
                <c:v>6.5230875389578839E-3</c:v>
              </c:pt>
              <c:pt idx="6">
                <c:v>6.9218359323902426E-3</c:v>
              </c:pt>
              <c:pt idx="7">
                <c:v>7.3419657449303828E-3</c:v>
              </c:pt>
              <c:pt idx="8">
                <c:v>7.7844695692135405E-3</c:v>
              </c:pt>
              <c:pt idx="9">
                <c:v>8.2503804034741533E-3</c:v>
              </c:pt>
              <c:pt idx="10">
                <c:v>8.7407732735813454E-3</c:v>
              </c:pt>
              <c:pt idx="11">
                <c:v>9.256766939931332E-3</c:v>
              </c:pt>
              <c:pt idx="12">
                <c:v>9.7995256954131298E-3</c:v>
              </c:pt>
              <c:pt idx="13">
                <c:v>1.0370261261171108E-2</c:v>
              </c:pt>
              <c:pt idx="14">
                <c:v>1.0970234787438431E-2</c:v>
              </c:pt>
              <c:pt idx="15">
                <c:v>1.1600758967316551E-2</c:v>
              </c:pt>
              <c:pt idx="16">
                <c:v>1.226320027202504E-2</c:v>
              </c:pt>
              <c:pt idx="17">
                <c:v>1.2909160753810515E-2</c:v>
              </c:pt>
            </c:numLit>
          </c:yVal>
          <c:smooth val="1"/>
          <c:extLst>
            <c:ext xmlns:c16="http://schemas.microsoft.com/office/drawing/2014/chart" uri="{C3380CC4-5D6E-409C-BE32-E72D297353CC}">
              <c16:uniqueId val="{00000013-7B2B-494A-A068-C36D8922E342}"/>
            </c:ext>
          </c:extLst>
        </c:ser>
        <c:ser>
          <c:idx val="14"/>
          <c:order val="14"/>
          <c:tx>
            <c:v>RH=30_Label2</c:v>
          </c:tx>
          <c:spPr>
            <a:ln w="3175">
              <a:solidFill>
                <a:srgbClr val="0000FF"/>
              </a:solidFill>
              <a:prstDash val="solid"/>
            </a:ln>
          </c:spPr>
          <c:marker>
            <c:symbol val="none"/>
          </c:marker>
          <c:dLbls>
            <c:dLbl>
              <c:idx val="0"/>
              <c:tx>
                <c:rich>
                  <a:bodyPr rot="-264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30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B2B-494A-A068-C36D8922E34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38.589689789328688</c:v>
              </c:pt>
            </c:numLit>
          </c:xVal>
          <c:yVal>
            <c:numLit>
              <c:formatCode>General</c:formatCode>
              <c:ptCount val="1"/>
              <c:pt idx="0">
                <c:v>1.3123881389130688E-2</c:v>
              </c:pt>
            </c:numLit>
          </c:yVal>
          <c:smooth val="0"/>
          <c:extLst>
            <c:ext xmlns:c16="http://schemas.microsoft.com/office/drawing/2014/chart" uri="{C3380CC4-5D6E-409C-BE32-E72D297353CC}">
              <c16:uniqueId val="{00000015-7B2B-494A-A068-C36D8922E342}"/>
            </c:ext>
          </c:extLst>
        </c:ser>
        <c:ser>
          <c:idx val="15"/>
          <c:order val="15"/>
          <c:tx>
            <c:v>RH=30_3</c:v>
          </c:tx>
          <c:spPr>
            <a:ln w="3175">
              <a:solidFill>
                <a:srgbClr val="0000FF"/>
              </a:solidFill>
              <a:prstDash val="solid"/>
            </a:ln>
          </c:spPr>
          <c:marker>
            <c:symbol val="none"/>
          </c:marker>
          <c:xVal>
            <c:numLit>
              <c:formatCode>General</c:formatCode>
              <c:ptCount val="12"/>
              <c:pt idx="0">
                <c:v>38.892602344462084</c:v>
              </c:pt>
              <c:pt idx="1">
                <c:v>39.903630523991851</c:v>
              </c:pt>
              <c:pt idx="2">
                <c:v>40.916820712497518</c:v>
              </c:pt>
              <c:pt idx="3">
                <c:v>41.932357840698131</c:v>
              </c:pt>
              <c:pt idx="4">
                <c:v>42.950435837011995</c:v>
              </c:pt>
              <c:pt idx="5">
                <c:v>43.971260512090304</c:v>
              </c:pt>
              <c:pt idx="6">
                <c:v>44.995050194605206</c:v>
              </c:pt>
              <c:pt idx="7">
                <c:v>46.022036404376692</c:v>
              </c:pt>
              <c:pt idx="8">
                <c:v>47.052464565732187</c:v>
              </c:pt>
              <c:pt idx="9">
                <c:v>48.086594764263893</c:v>
              </c:pt>
              <c:pt idx="10">
                <c:v>49.124702550447587</c:v>
              </c:pt>
              <c:pt idx="11">
                <c:v>50</c:v>
              </c:pt>
            </c:numLit>
          </c:xVal>
          <c:yVal>
            <c:numLit>
              <c:formatCode>General</c:formatCode>
              <c:ptCount val="12"/>
              <c:pt idx="0">
                <c:v>1.3341766926117184E-2</c:v>
              </c:pt>
              <c:pt idx="1">
                <c:v>1.4091468488515061E-2</c:v>
              </c:pt>
              <c:pt idx="2">
                <c:v>1.4878506983621821E-2</c:v>
              </c:pt>
              <c:pt idx="3">
                <c:v>1.5704411637157415E-2</c:v>
              </c:pt>
              <c:pt idx="4">
                <c:v>1.6570894482639917E-2</c:v>
              </c:pt>
              <c:pt idx="5">
                <c:v>1.7479739729448066E-2</c:v>
              </c:pt>
              <c:pt idx="6">
                <c:v>1.8432807276633257E-2</c:v>
              </c:pt>
              <c:pt idx="7">
                <c:v>1.9432036457920871E-2</c:v>
              </c:pt>
              <c:pt idx="8">
                <c:v>2.0479450036616827E-2</c:v>
              </c:pt>
              <c:pt idx="9">
                <c:v>2.1577158470815844E-2</c:v>
              </c:pt>
              <c:pt idx="10">
                <c:v>2.272736447115447E-2</c:v>
              </c:pt>
              <c:pt idx="11">
                <c:v>2.3735787197097544E-2</c:v>
              </c:pt>
            </c:numLit>
          </c:yVal>
          <c:smooth val="1"/>
          <c:extLst>
            <c:ext xmlns:c16="http://schemas.microsoft.com/office/drawing/2014/chart" uri="{C3380CC4-5D6E-409C-BE32-E72D297353CC}">
              <c16:uniqueId val="{00000016-7B2B-494A-A068-C36D8922E342}"/>
            </c:ext>
          </c:extLst>
        </c:ser>
        <c:ser>
          <c:idx val="16"/>
          <c:order val="16"/>
          <c:tx>
            <c:v>RH=40_1</c:v>
          </c:tx>
          <c:spPr>
            <a:ln w="3175">
              <a:solidFill>
                <a:srgbClr val="0000FF"/>
              </a:solidFill>
              <a:prstDash val="solid"/>
            </a:ln>
          </c:spPr>
          <c:marker>
            <c:symbol val="none"/>
          </c:marker>
          <c:xVal>
            <c:numLit>
              <c:formatCode>General</c:formatCode>
              <c:ptCount val="30"/>
              <c:pt idx="0">
                <c:v>-10.071157666503382</c:v>
              </c:pt>
              <c:pt idx="1">
                <c:v>-9.0764484375794456</c:v>
              </c:pt>
              <c:pt idx="2">
                <c:v>-8.0820545203209271</c:v>
              </c:pt>
              <c:pt idx="3">
                <c:v>-7.0879878126509359</c:v>
              </c:pt>
              <c:pt idx="4">
                <c:v>-6.094260017697489</c:v>
              </c:pt>
              <c:pt idx="5">
                <c:v>-5.1008825599224101</c:v>
              </c:pt>
              <c:pt idx="6">
                <c:v>-4.107866492592299</c:v>
              </c:pt>
              <c:pt idx="7">
                <c:v>-3.1152223960079723</c:v>
              </c:pt>
              <c:pt idx="8">
                <c:v>-2.1229602658786209</c:v>
              </c:pt>
              <c:pt idx="9">
                <c:v>-1.1310893911950206</c:v>
              </c:pt>
              <c:pt idx="10">
                <c:v>-0.1396182209221522</c:v>
              </c:pt>
              <c:pt idx="11">
                <c:v>0.85287002497976261</c:v>
              </c:pt>
              <c:pt idx="12">
                <c:v>1.8451233619897396</c:v>
              </c:pt>
              <c:pt idx="13">
                <c:v>2.8371326004330104</c:v>
              </c:pt>
              <c:pt idx="14">
                <c:v>3.8289035643484142</c:v>
              </c:pt>
              <c:pt idx="15">
                <c:v>4.8204436354700766</c:v>
              </c:pt>
              <c:pt idx="16">
                <c:v>5.8117581188760123</c:v>
              </c:pt>
              <c:pt idx="17">
                <c:v>6.8028613142570338</c:v>
              </c:pt>
              <c:pt idx="18">
                <c:v>7.7937660706380818</c:v>
              </c:pt>
              <c:pt idx="19">
                <c:v>8.784487357391205</c:v>
              </c:pt>
              <c:pt idx="20">
                <c:v>9.7750424233722342</c:v>
              </c:pt>
              <c:pt idx="21">
                <c:v>10.765446266884746</c:v>
              </c:pt>
              <c:pt idx="22">
                <c:v>11.755725510122451</c:v>
              </c:pt>
              <c:pt idx="23">
                <c:v>12.745905270364457</c:v>
              </c:pt>
              <c:pt idx="24">
                <c:v>13.736013666649088</c:v>
              </c:pt>
              <c:pt idx="25">
                <c:v>14.726082022781892</c:v>
              </c:pt>
              <c:pt idx="26">
                <c:v>15.71614508022641</c:v>
              </c:pt>
              <c:pt idx="27">
                <c:v>16.706241221322188</c:v>
              </c:pt>
              <c:pt idx="28">
                <c:v>17.696412703306457</c:v>
              </c:pt>
              <c:pt idx="29">
                <c:v>18.171735229623049</c:v>
              </c:pt>
            </c:numLit>
          </c:xVal>
          <c:yVal>
            <c:numLit>
              <c:formatCode>General</c:formatCode>
              <c:ptCount val="30"/>
              <c:pt idx="0">
                <c:v>6.4143918012905593E-4</c:v>
              </c:pt>
              <c:pt idx="1">
                <c:v>7.008121760973331E-4</c:v>
              </c:pt>
              <c:pt idx="2">
                <c:v>7.651728535674235E-4</c:v>
              </c:pt>
              <c:pt idx="3">
                <c:v>8.3489661881570713E-4</c:v>
              </c:pt>
              <c:pt idx="4">
                <c:v>9.1038381147920844E-4</c:v>
              </c:pt>
              <c:pt idx="5">
                <c:v>9.9206114645107807E-4</c:v>
              </c:pt>
              <c:pt idx="6">
                <c:v>1.0803832292697476E-3</c:v>
              </c:pt>
              <c:pt idx="7">
                <c:v>1.1758341487524879E-3</c:v>
              </c:pt>
              <c:pt idx="8">
                <c:v>1.2789291508880532E-3</c:v>
              </c:pt>
              <c:pt idx="9">
                <c:v>1.3902163982942313E-3</c:v>
              </c:pt>
              <c:pt idx="10">
                <c:v>1.5102788198675821E-3</c:v>
              </c:pt>
              <c:pt idx="11">
                <c:v>1.6240153047000082E-3</c:v>
              </c:pt>
              <c:pt idx="12">
                <c:v>1.7451377446048627E-3</c:v>
              </c:pt>
              <c:pt idx="13">
                <c:v>1.8742233352138143E-3</c:v>
              </c:pt>
              <c:pt idx="14">
                <c:v>2.0117229343793344E-3</c:v>
              </c:pt>
              <c:pt idx="15">
                <c:v>2.1581087540872529E-3</c:v>
              </c:pt>
              <c:pt idx="16">
                <c:v>2.3139214615192092E-3</c:v>
              </c:pt>
              <c:pt idx="17">
                <c:v>2.4796388829385293E-3</c:v>
              </c:pt>
              <c:pt idx="18">
                <c:v>2.6558030330016539E-3</c:v>
              </c:pt>
              <c:pt idx="19">
                <c:v>2.8429808348341017E-3</c:v>
              </c:pt>
              <c:pt idx="20">
                <c:v>3.0417650818216663E-3</c:v>
              </c:pt>
              <c:pt idx="21">
                <c:v>3.2528405778045949E-3</c:v>
              </c:pt>
              <c:pt idx="22">
                <c:v>3.4767987665084011E-3</c:v>
              </c:pt>
              <c:pt idx="23">
                <c:v>3.7143170301272206E-3</c:v>
              </c:pt>
              <c:pt idx="24">
                <c:v>3.9661029174285749E-3</c:v>
              </c:pt>
              <c:pt idx="25">
                <c:v>4.2328953161507891E-3</c:v>
              </c:pt>
              <c:pt idx="26">
                <c:v>4.5154656750827386E-3</c:v>
              </c:pt>
              <c:pt idx="27">
                <c:v>4.8146192790791617E-3</c:v>
              </c:pt>
              <c:pt idx="28">
                <c:v>5.1311965805394127E-3</c:v>
              </c:pt>
              <c:pt idx="29">
                <c:v>5.289598667499288E-3</c:v>
              </c:pt>
            </c:numLit>
          </c:yVal>
          <c:smooth val="1"/>
          <c:extLst>
            <c:ext xmlns:c16="http://schemas.microsoft.com/office/drawing/2014/chart" uri="{C3380CC4-5D6E-409C-BE32-E72D297353CC}">
              <c16:uniqueId val="{00000017-7B2B-494A-A068-C36D8922E342}"/>
            </c:ext>
          </c:extLst>
        </c:ser>
        <c:ser>
          <c:idx val="17"/>
          <c:order val="17"/>
          <c:tx>
            <c:v>RH=40_Label1</c:v>
          </c:tx>
          <c:spPr>
            <a:ln w="3175">
              <a:solidFill>
                <a:srgbClr val="0000FF"/>
              </a:solidFill>
              <a:prstDash val="solid"/>
            </a:ln>
          </c:spPr>
          <c:marker>
            <c:symbol val="none"/>
          </c:marker>
          <c:dLbls>
            <c:dLbl>
              <c:idx val="0"/>
              <c:tx>
                <c:rich>
                  <a:bodyPr rot="-15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40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B2B-494A-A068-C36D8922E34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18.696609618261668</c:v>
              </c:pt>
            </c:numLit>
          </c:xVal>
          <c:yVal>
            <c:numLit>
              <c:formatCode>General</c:formatCode>
              <c:ptCount val="1"/>
              <c:pt idx="0">
                <c:v>5.4695188532680209E-3</c:v>
              </c:pt>
            </c:numLit>
          </c:yVal>
          <c:smooth val="0"/>
          <c:extLst>
            <c:ext xmlns:c16="http://schemas.microsoft.com/office/drawing/2014/chart" uri="{C3380CC4-5D6E-409C-BE32-E72D297353CC}">
              <c16:uniqueId val="{00000019-7B2B-494A-A068-C36D8922E342}"/>
            </c:ext>
          </c:extLst>
        </c:ser>
        <c:ser>
          <c:idx val="18"/>
          <c:order val="18"/>
          <c:tx>
            <c:v>RH=40_2</c:v>
          </c:tx>
          <c:spPr>
            <a:ln w="3175">
              <a:solidFill>
                <a:srgbClr val="0000FF"/>
              </a:solidFill>
              <a:prstDash val="solid"/>
            </a:ln>
          </c:spPr>
          <c:marker>
            <c:symbol val="none"/>
          </c:marker>
          <c:xVal>
            <c:numLit>
              <c:formatCode>General</c:formatCode>
              <c:ptCount val="17"/>
              <c:pt idx="0">
                <c:v>19.211627821712195</c:v>
              </c:pt>
              <c:pt idx="1">
                <c:v>20.202207062511963</c:v>
              </c:pt>
              <c:pt idx="2">
                <c:v>21.193045521947305</c:v>
              </c:pt>
              <c:pt idx="3">
                <c:v>22.184206264025072</c:v>
              </c:pt>
              <c:pt idx="4">
                <c:v>23.175757742162592</c:v>
              </c:pt>
              <c:pt idx="5">
                <c:v>24.167774118297825</c:v>
              </c:pt>
              <c:pt idx="6">
                <c:v>25.1603316445307</c:v>
              </c:pt>
              <c:pt idx="7">
                <c:v>26.153517149618409</c:v>
              </c:pt>
              <c:pt idx="8">
                <c:v>27.14742747249446</c:v>
              </c:pt>
              <c:pt idx="9">
                <c:v>28.142163180108163</c:v>
              </c:pt>
              <c:pt idx="10">
                <c:v>29.137832409025819</c:v>
              </c:pt>
              <c:pt idx="11">
                <c:v>30.134551295721444</c:v>
              </c:pt>
              <c:pt idx="12">
                <c:v>31.132444429611024</c:v>
              </c:pt>
              <c:pt idx="13">
                <c:v>32.131645330365913</c:v>
              </c:pt>
              <c:pt idx="14">
                <c:v>33.132296951182454</c:v>
              </c:pt>
              <c:pt idx="15">
                <c:v>34.13455220983942</c:v>
              </c:pt>
              <c:pt idx="16">
                <c:v>34.726700730219605</c:v>
              </c:pt>
            </c:numLit>
          </c:xVal>
          <c:yVal>
            <c:numLit>
              <c:formatCode>General</c:formatCode>
              <c:ptCount val="17"/>
              <c:pt idx="0">
                <c:v>5.6512912640590517E-3</c:v>
              </c:pt>
              <c:pt idx="1">
                <c:v>6.0159538060022208E-3</c:v>
              </c:pt>
              <c:pt idx="2">
                <c:v>6.4013091486796996E-3</c:v>
              </c:pt>
              <c:pt idx="3">
                <c:v>6.8083754788367118E-3</c:v>
              </c:pt>
              <c:pt idx="4">
                <c:v>7.2382147244076525E-3</c:v>
              </c:pt>
              <c:pt idx="5">
                <c:v>7.6919343649579095E-3</c:v>
              </c:pt>
              <c:pt idx="6">
                <c:v>8.1707767158846062E-3</c:v>
              </c:pt>
              <c:pt idx="7">
                <c:v>8.6759520844244559E-3</c:v>
              </c:pt>
              <c:pt idx="8">
                <c:v>9.208645282612761E-3</c:v>
              </c:pt>
              <c:pt idx="9">
                <c:v>9.7701679465518245E-3</c:v>
              </c:pt>
              <c:pt idx="10">
                <c:v>1.0361888011305007E-2</c:v>
              </c:pt>
              <c:pt idx="11">
                <c:v>1.0985232215656456E-2</c:v>
              </c:pt>
              <c:pt idx="12">
                <c:v>1.1641688754542854E-2</c:v>
              </c:pt>
              <c:pt idx="13">
                <c:v>1.2332810090782168E-2</c:v>
              </c:pt>
              <c:pt idx="14">
                <c:v>1.3060215938736743E-2</c:v>
              </c:pt>
              <c:pt idx="15">
                <c:v>1.3825596433664258E-2</c:v>
              </c:pt>
              <c:pt idx="16">
                <c:v>1.4295694061418956E-2</c:v>
              </c:pt>
            </c:numLit>
          </c:yVal>
          <c:smooth val="1"/>
          <c:extLst>
            <c:ext xmlns:c16="http://schemas.microsoft.com/office/drawing/2014/chart" uri="{C3380CC4-5D6E-409C-BE32-E72D297353CC}">
              <c16:uniqueId val="{0000001A-7B2B-494A-A068-C36D8922E342}"/>
            </c:ext>
          </c:extLst>
        </c:ser>
        <c:ser>
          <c:idx val="19"/>
          <c:order val="19"/>
          <c:tx>
            <c:v>RH=40_Label2</c:v>
          </c:tx>
          <c:spPr>
            <a:ln w="3175">
              <a:solidFill>
                <a:srgbClr val="0000FF"/>
              </a:solidFill>
              <a:prstDash val="solid"/>
            </a:ln>
          </c:spPr>
          <c:marker>
            <c:symbol val="none"/>
          </c:marker>
          <c:dLbls>
            <c:dLbl>
              <c:idx val="0"/>
              <c:tx>
                <c:rich>
                  <a:bodyPr rot="-28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40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7B2B-494A-A068-C36D8922E34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35.028040308533853</c:v>
              </c:pt>
            </c:numLit>
          </c:xVal>
          <c:yVal>
            <c:numLit>
              <c:formatCode>General</c:formatCode>
              <c:ptCount val="1"/>
              <c:pt idx="0">
                <c:v>1.4540151098681935E-2</c:v>
              </c:pt>
            </c:numLit>
          </c:yVal>
          <c:smooth val="0"/>
          <c:extLst>
            <c:ext xmlns:c16="http://schemas.microsoft.com/office/drawing/2014/chart" uri="{C3380CC4-5D6E-409C-BE32-E72D297353CC}">
              <c16:uniqueId val="{0000001C-7B2B-494A-A068-C36D8922E342}"/>
            </c:ext>
          </c:extLst>
        </c:ser>
        <c:ser>
          <c:idx val="20"/>
          <c:order val="20"/>
          <c:tx>
            <c:v>RH=40_3</c:v>
          </c:tx>
          <c:spPr>
            <a:ln w="3175">
              <a:solidFill>
                <a:srgbClr val="0000FF"/>
              </a:solidFill>
              <a:prstDash val="solid"/>
            </a:ln>
          </c:spPr>
          <c:marker>
            <c:symbol val="none"/>
          </c:marker>
          <c:xVal>
            <c:numLit>
              <c:formatCode>General</c:formatCode>
              <c:ptCount val="16"/>
              <c:pt idx="0">
                <c:v>35.329552776174317</c:v>
              </c:pt>
              <c:pt idx="1">
                <c:v>36.335906363098594</c:v>
              </c:pt>
              <c:pt idx="2">
                <c:v>37.344424679792851</c:v>
              </c:pt>
              <c:pt idx="3">
                <c:v>38.355308879053233</c:v>
              </c:pt>
              <c:pt idx="4">
                <c:v>39.368773366008369</c:v>
              </c:pt>
              <c:pt idx="5">
                <c:v>40.385044078419881</c:v>
              </c:pt>
              <c:pt idx="6">
                <c:v>41.404366085039008</c:v>
              </c:pt>
              <c:pt idx="7">
                <c:v>42.426999385462096</c:v>
              </c:pt>
              <c:pt idx="8">
                <c:v>43.453219557967351</c:v>
              </c:pt>
              <c:pt idx="9">
                <c:v>44.483319737831081</c:v>
              </c:pt>
              <c:pt idx="10">
                <c:v>45.517611653111167</c:v>
              </c:pt>
              <c:pt idx="11">
                <c:v>46.556426731421674</c:v>
              </c:pt>
              <c:pt idx="12">
                <c:v>47.600117283983685</c:v>
              </c:pt>
              <c:pt idx="13">
                <c:v>48.64905777389</c:v>
              </c:pt>
              <c:pt idx="14">
                <c:v>49.703646176251077</c:v>
              </c:pt>
              <c:pt idx="15">
                <c:v>50.000000000000007</c:v>
              </c:pt>
            </c:numLit>
          </c:xVal>
          <c:yVal>
            <c:numLit>
              <c:formatCode>General</c:formatCode>
              <c:ptCount val="16"/>
              <c:pt idx="0">
                <c:v>1.478833119366236E-2</c:v>
              </c:pt>
              <c:pt idx="1">
                <c:v>1.5643145109583971E-2</c:v>
              </c:pt>
              <c:pt idx="2">
                <c:v>1.6541836193495318E-2</c:v>
              </c:pt>
              <c:pt idx="3">
                <c:v>1.7486428909881571E-2</c:v>
              </c:pt>
              <c:pt idx="4">
                <c:v>1.8479038209467172E-2</c:v>
              </c:pt>
              <c:pt idx="5">
                <c:v>1.9522018510706687E-2</c:v>
              </c:pt>
              <c:pt idx="6">
                <c:v>2.0617611971505051E-2</c:v>
              </c:pt>
              <c:pt idx="7">
                <c:v>2.1768183432671905E-2</c:v>
              </c:pt>
              <c:pt idx="8">
                <c:v>2.2976262300941908E-2</c:v>
              </c:pt>
              <c:pt idx="9">
                <c:v>2.424449573781436E-2</c:v>
              </c:pt>
              <c:pt idx="10">
                <c:v>2.5575655332400155E-2</c:v>
              </c:pt>
              <c:pt idx="11">
                <c:v>2.6972644274486847E-2</c:v>
              </c:pt>
              <c:pt idx="12">
                <c:v>2.8438505072725828E-2</c:v>
              </c:pt>
              <c:pt idx="13">
                <c:v>2.9976427867378353E-2</c:v>
              </c:pt>
              <c:pt idx="14">
                <c:v>3.1589759392127853E-2</c:v>
              </c:pt>
              <c:pt idx="15">
                <c:v>3.2055479665609135E-2</c:v>
              </c:pt>
            </c:numLit>
          </c:yVal>
          <c:smooth val="1"/>
          <c:extLst>
            <c:ext xmlns:c16="http://schemas.microsoft.com/office/drawing/2014/chart" uri="{C3380CC4-5D6E-409C-BE32-E72D297353CC}">
              <c16:uniqueId val="{0000001D-7B2B-494A-A068-C36D8922E342}"/>
            </c:ext>
          </c:extLst>
        </c:ser>
        <c:ser>
          <c:idx val="21"/>
          <c:order val="21"/>
          <c:tx>
            <c:v>RH=50_1</c:v>
          </c:tx>
          <c:spPr>
            <a:ln w="3175">
              <a:solidFill>
                <a:srgbClr val="FF6600"/>
              </a:solidFill>
              <a:prstDash val="solid"/>
            </a:ln>
          </c:spPr>
          <c:marker>
            <c:symbol val="none"/>
          </c:marker>
          <c:xVal>
            <c:numLit>
              <c:formatCode>General</c:formatCode>
              <c:ptCount val="28"/>
              <c:pt idx="0">
                <c:v>-10.08897002151055</c:v>
              </c:pt>
              <c:pt idx="1">
                <c:v>-9.0955874726249295</c:v>
              </c:pt>
              <c:pt idx="2">
                <c:v>-8.1025997054790633</c:v>
              </c:pt>
              <c:pt idx="3">
                <c:v>-7.1100216869101676</c:v>
              </c:pt>
              <c:pt idx="4">
                <c:v>-6.1178681526317034</c:v>
              </c:pt>
              <c:pt idx="5">
                <c:v>-5.1261535037671155</c:v>
              </c:pt>
              <c:pt idx="6">
                <c:v>-4.1348916926731265</c:v>
              </c:pt>
              <c:pt idx="7">
                <c:v>-3.1440960973251273</c:v>
              </c:pt>
              <c:pt idx="8">
                <c:v>-2.1537793834979757</c:v>
              </c:pt>
              <c:pt idx="9">
                <c:v>-1.1639533539336429</c:v>
              </c:pt>
              <c:pt idx="10">
                <c:v>-0.17462878364218917</c:v>
              </c:pt>
              <c:pt idx="11">
                <c:v>0.81596740205832308</c:v>
              </c:pt>
              <c:pt idx="12">
                <c:v>1.806268310463421</c:v>
              </c:pt>
              <c:pt idx="13">
                <c:v>2.7962622689140946</c:v>
              </c:pt>
              <c:pt idx="14">
                <c:v>3.785956380554413</c:v>
              </c:pt>
              <c:pt idx="15">
                <c:v>4.7753596834764709</c:v>
              </c:pt>
              <c:pt idx="16">
                <c:v>5.7644785989372425</c:v>
              </c:pt>
              <c:pt idx="17">
                <c:v>6.753330794661875</c:v>
              </c:pt>
              <c:pt idx="18">
                <c:v>7.7419321061698998</c:v>
              </c:pt>
              <c:pt idx="19">
                <c:v>8.7303010079445151</c:v>
              </c:pt>
              <c:pt idx="20">
                <c:v>9.7184588131024761</c:v>
              </c:pt>
              <c:pt idx="21">
                <c:v>10.706423996530482</c:v>
              </c:pt>
              <c:pt idx="22">
                <c:v>11.694229582027464</c:v>
              </c:pt>
              <c:pt idx="23">
                <c:v>12.681906693511435</c:v>
              </c:pt>
              <c:pt idx="24">
                <c:v>13.669490203078148</c:v>
              </c:pt>
              <c:pt idx="25">
                <c:v>14.657018987720264</c:v>
              </c:pt>
              <c:pt idx="26">
                <c:v>15.644536199075654</c:v>
              </c:pt>
              <c:pt idx="27">
                <c:v>16.444449259100793</c:v>
              </c:pt>
            </c:numLit>
          </c:xVal>
          <c:yVal>
            <c:numLit>
              <c:formatCode>General</c:formatCode>
              <c:ptCount val="28"/>
              <c:pt idx="0">
                <c:v>8.0200574945888238E-4</c:v>
              </c:pt>
              <c:pt idx="1">
                <c:v>8.7626205085363938E-4</c:v>
              </c:pt>
              <c:pt idx="2">
                <c:v>9.5676032361825683E-4</c:v>
              </c:pt>
              <c:pt idx="3">
                <c:v>1.0439711095229951E-3</c:v>
              </c:pt>
              <c:pt idx="4">
                <c:v>1.1383963282209435E-3</c:v>
              </c:pt>
              <c:pt idx="5">
                <c:v>1.2405711123139587E-3</c:v>
              </c:pt>
              <c:pt idx="6">
                <c:v>1.3510657390398758E-3</c:v>
              </c:pt>
              <c:pt idx="7">
                <c:v>1.4704876639184206E-3</c:v>
              </c:pt>
              <c:pt idx="8">
                <c:v>1.5994836621067371E-3</c:v>
              </c:pt>
              <c:pt idx="9">
                <c:v>1.7387420836732516E-3</c:v>
              </c:pt>
              <c:pt idx="10">
                <c:v>1.8889952295058313E-3</c:v>
              </c:pt>
              <c:pt idx="11">
                <c:v>2.0313451122375144E-3</c:v>
              </c:pt>
              <c:pt idx="12">
                <c:v>2.1829534013642305E-3</c:v>
              </c:pt>
              <c:pt idx="13">
                <c:v>2.3445453840359293E-3</c:v>
              </c:pt>
              <c:pt idx="14">
                <c:v>2.5166886531353488E-3</c:v>
              </c:pt>
              <c:pt idx="15">
                <c:v>2.6999779978813701E-3</c:v>
              </c:pt>
              <c:pt idx="16">
                <c:v>2.8950944461037949E-3</c:v>
              </c:pt>
              <c:pt idx="17">
                <c:v>3.1026409173562676E-3</c:v>
              </c:pt>
              <c:pt idx="18">
                <c:v>3.3233013465576106E-3</c:v>
              </c:pt>
              <c:pt idx="19">
                <c:v>3.5577915815344584E-3</c:v>
              </c:pt>
              <c:pt idx="20">
                <c:v>3.8068606722971615E-3</c:v>
              </c:pt>
              <c:pt idx="21">
                <c:v>4.0713738556704586E-3</c:v>
              </c:pt>
              <c:pt idx="22">
                <c:v>4.3520803689922234E-3</c:v>
              </c:pt>
              <c:pt idx="23">
                <c:v>4.6498382203937379E-3</c:v>
              </c:pt>
              <c:pt idx="24">
                <c:v>4.9655444400146668E-3</c:v>
              </c:pt>
              <c:pt idx="25">
                <c:v>5.300136687456442E-3</c:v>
              </c:pt>
              <c:pt idx="26">
                <c:v>5.654594935640289E-3</c:v>
              </c:pt>
              <c:pt idx="27">
                <c:v>5.9569705434108725E-3</c:v>
              </c:pt>
            </c:numLit>
          </c:yVal>
          <c:smooth val="1"/>
          <c:extLst>
            <c:ext xmlns:c16="http://schemas.microsoft.com/office/drawing/2014/chart" uri="{C3380CC4-5D6E-409C-BE32-E72D297353CC}">
              <c16:uniqueId val="{0000001E-7B2B-494A-A068-C36D8922E342}"/>
            </c:ext>
          </c:extLst>
        </c:ser>
        <c:ser>
          <c:idx val="22"/>
          <c:order val="22"/>
          <c:tx>
            <c:v>RH=50_Label1</c:v>
          </c:tx>
          <c:spPr>
            <a:ln w="3175">
              <a:solidFill>
                <a:srgbClr val="FF6600"/>
              </a:solidFill>
              <a:prstDash val="solid"/>
            </a:ln>
          </c:spPr>
          <c:marker>
            <c:symbol val="none"/>
          </c:marker>
          <c:dLbls>
            <c:dLbl>
              <c:idx val="0"/>
              <c:tx>
                <c:rich>
                  <a:bodyPr rot="-16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50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7B2B-494A-A068-C36D8922E34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16.938246504261446</c:v>
              </c:pt>
            </c:numLit>
          </c:xVal>
          <c:yVal>
            <c:numLit>
              <c:formatCode>General</c:formatCode>
              <c:ptCount val="1"/>
              <c:pt idx="0">
                <c:v>6.1507089523445638E-3</c:v>
              </c:pt>
            </c:numLit>
          </c:yVal>
          <c:smooth val="0"/>
          <c:extLst>
            <c:ext xmlns:c16="http://schemas.microsoft.com/office/drawing/2014/chart" uri="{C3380CC4-5D6E-409C-BE32-E72D297353CC}">
              <c16:uniqueId val="{00000020-7B2B-494A-A068-C36D8922E342}"/>
            </c:ext>
          </c:extLst>
        </c:ser>
        <c:ser>
          <c:idx val="23"/>
          <c:order val="23"/>
          <c:tx>
            <c:v>RH=50_2</c:v>
          </c:tx>
          <c:spPr>
            <a:ln w="3175">
              <a:solidFill>
                <a:srgbClr val="FF6600"/>
              </a:solidFill>
              <a:prstDash val="solid"/>
            </a:ln>
          </c:spPr>
          <c:marker>
            <c:symbol val="none"/>
          </c:marker>
          <c:xVal>
            <c:numLit>
              <c:formatCode>General</c:formatCode>
              <c:ptCount val="16"/>
              <c:pt idx="0">
                <c:v>17.422193396353077</c:v>
              </c:pt>
              <c:pt idx="1">
                <c:v>18.409947717682584</c:v>
              </c:pt>
              <c:pt idx="2">
                <c:v>19.397898605362961</c:v>
              </c:pt>
              <c:pt idx="3">
                <c:v>20.386113938329231</c:v>
              </c:pt>
              <c:pt idx="4">
                <c:v>21.374667728823542</c:v>
              </c:pt>
              <c:pt idx="5">
                <c:v>22.363640501219667</c:v>
              </c:pt>
              <c:pt idx="6">
                <c:v>23.353119690709409</c:v>
              </c:pt>
              <c:pt idx="7">
                <c:v>24.343200063094248</c:v>
              </c:pt>
              <c:pt idx="8">
                <c:v>25.333976607753801</c:v>
              </c:pt>
              <c:pt idx="9">
                <c:v>26.32556544086038</c:v>
              </c:pt>
              <c:pt idx="10">
                <c:v>27.318087972919766</c:v>
              </c:pt>
              <c:pt idx="11">
                <c:v>28.311673026562932</c:v>
              </c:pt>
              <c:pt idx="12">
                <c:v>29.306459234239682</c:v>
              </c:pt>
              <c:pt idx="13">
                <c:v>30.302595619159391</c:v>
              </c:pt>
              <c:pt idx="14">
                <c:v>31.300242210065303</c:v>
              </c:pt>
              <c:pt idx="15">
                <c:v>31.909621057494508</c:v>
              </c:pt>
            </c:numLit>
          </c:xVal>
          <c:yVal>
            <c:numLit>
              <c:formatCode>General</c:formatCode>
              <c:ptCount val="16"/>
              <c:pt idx="0">
                <c:v>6.3459801520872189E-3</c:v>
              </c:pt>
              <c:pt idx="1">
                <c:v>6.7616590159105252E-3</c:v>
              </c:pt>
              <c:pt idx="2">
                <c:v>7.201345919761834E-3</c:v>
              </c:pt>
              <c:pt idx="3">
                <c:v>7.6662501480482086E-3</c:v>
              </c:pt>
              <c:pt idx="4">
                <c:v>8.1576348814824777E-3</c:v>
              </c:pt>
              <c:pt idx="5">
                <c:v>8.676819571731012E-3</c:v>
              </c:pt>
              <c:pt idx="6">
                <c:v>9.2251824498550249E-3</c:v>
              </c:pt>
              <c:pt idx="7">
                <c:v>9.8041631790234604E-3</c:v>
              </c:pt>
              <c:pt idx="8">
                <c:v>1.0415434386378618E-2</c:v>
              </c:pt>
              <c:pt idx="9">
                <c:v>1.1060464555396202E-2</c:v>
              </c:pt>
              <c:pt idx="10">
                <c:v>1.1740857774937448E-2</c:v>
              </c:pt>
              <c:pt idx="11">
                <c:v>1.2458331691968276E-2</c:v>
              </c:pt>
              <c:pt idx="12">
                <c:v>1.3214681421134968E-2</c:v>
              </c:pt>
              <c:pt idx="13">
                <c:v>1.4011783353652977E-2</c:v>
              </c:pt>
              <c:pt idx="14">
                <c:v>1.4851599216421624E-2</c:v>
              </c:pt>
              <c:pt idx="15">
                <c:v>1.5385734079129848E-2</c:v>
              </c:pt>
            </c:numLit>
          </c:yVal>
          <c:smooth val="1"/>
          <c:extLst>
            <c:ext xmlns:c16="http://schemas.microsoft.com/office/drawing/2014/chart" uri="{C3380CC4-5D6E-409C-BE32-E72D297353CC}">
              <c16:uniqueId val="{00000021-7B2B-494A-A068-C36D8922E342}"/>
            </c:ext>
          </c:extLst>
        </c:ser>
        <c:ser>
          <c:idx val="24"/>
          <c:order val="24"/>
          <c:tx>
            <c:v>RH=50_Label2</c:v>
          </c:tx>
          <c:spPr>
            <a:ln w="3175">
              <a:solidFill>
                <a:srgbClr val="FF6600"/>
              </a:solidFill>
              <a:prstDash val="solid"/>
            </a:ln>
          </c:spPr>
          <c:marker>
            <c:symbol val="none"/>
          </c:marker>
          <c:dLbls>
            <c:dLbl>
              <c:idx val="0"/>
              <c:tx>
                <c:rich>
                  <a:bodyPr rot="-30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50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2-7B2B-494A-A068-C36D8922E34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32.209557548226279</c:v>
              </c:pt>
            </c:numLit>
          </c:xVal>
          <c:yVal>
            <c:numLit>
              <c:formatCode>General</c:formatCode>
              <c:ptCount val="1"/>
              <c:pt idx="0">
                <c:v>1.565467970435885E-2</c:v>
              </c:pt>
            </c:numLit>
          </c:yVal>
          <c:smooth val="0"/>
          <c:extLst>
            <c:ext xmlns:c16="http://schemas.microsoft.com/office/drawing/2014/chart" uri="{C3380CC4-5D6E-409C-BE32-E72D297353CC}">
              <c16:uniqueId val="{00000023-7B2B-494A-A068-C36D8922E342}"/>
            </c:ext>
          </c:extLst>
        </c:ser>
        <c:ser>
          <c:idx val="25"/>
          <c:order val="25"/>
          <c:tx>
            <c:v>RH=50_3</c:v>
          </c:tx>
          <c:spPr>
            <a:ln w="3175">
              <a:solidFill>
                <a:srgbClr val="FF6600"/>
              </a:solidFill>
              <a:prstDash val="solid"/>
            </a:ln>
          </c:spPr>
          <c:marker>
            <c:symbol val="none"/>
          </c:marker>
          <c:xVal>
            <c:numLit>
              <c:formatCode>General</c:formatCode>
              <c:ptCount val="18"/>
              <c:pt idx="0">
                <c:v>32.50966034549127</c:v>
              </c:pt>
              <c:pt idx="1">
                <c:v>33.511271187330614</c:v>
              </c:pt>
              <c:pt idx="2">
                <c:v>34.514988192934567</c:v>
              </c:pt>
              <c:pt idx="3">
                <c:v>35.521025346691431</c:v>
              </c:pt>
              <c:pt idx="4">
                <c:v>36.529611499761643</c:v>
              </c:pt>
              <c:pt idx="5">
                <c:v>37.540991263473543</c:v>
              </c:pt>
              <c:pt idx="6">
                <c:v>38.555425961918715</c:v>
              </c:pt>
              <c:pt idx="7">
                <c:v>39.573194603758857</c:v>
              </c:pt>
              <c:pt idx="8">
                <c:v>40.594590851639929</c:v>
              </c:pt>
              <c:pt idx="9">
                <c:v>41.619937316690823</c:v>
              </c:pt>
              <c:pt idx="10">
                <c:v>42.649573211420787</c:v>
              </c:pt>
              <c:pt idx="11">
                <c:v>43.683860328611424</c:v>
              </c:pt>
              <c:pt idx="12">
                <c:v>44.723184479726754</c:v>
              </c:pt>
              <c:pt idx="13">
                <c:v>45.767957042375727</c:v>
              </c:pt>
              <c:pt idx="14">
                <c:v>46.818616627355617</c:v>
              </c:pt>
              <c:pt idx="15">
                <c:v>47.87563087698836</c:v>
              </c:pt>
              <c:pt idx="16">
                <c:v>48.939498407794616</c:v>
              </c:pt>
              <c:pt idx="17">
                <c:v>50</c:v>
              </c:pt>
            </c:numLit>
          </c:xVal>
          <c:yVal>
            <c:numLit>
              <c:formatCode>General</c:formatCode>
              <c:ptCount val="18"/>
              <c:pt idx="0">
                <c:v>1.5927828907446664E-2</c:v>
              </c:pt>
              <c:pt idx="1">
                <c:v>1.6869454213500404E-2</c:v>
              </c:pt>
              <c:pt idx="2">
                <c:v>1.7860719974887418E-2</c:v>
              </c:pt>
              <c:pt idx="3">
                <c:v>1.8903998294804217E-2</c:v>
              </c:pt>
              <c:pt idx="4">
                <c:v>2.000177271349279E-2</c:v>
              </c:pt>
              <c:pt idx="5">
                <c:v>2.1156644378631805E-2</c:v>
              </c:pt>
              <c:pt idx="6">
                <c:v>2.2371338671019026E-2</c:v>
              </c:pt>
              <c:pt idx="7">
                <c:v>2.3648714769532078E-2</c:v>
              </c:pt>
              <c:pt idx="8">
                <c:v>2.4992022393473451E-2</c:v>
              </c:pt>
              <c:pt idx="9">
                <c:v>2.6404178570594451E-2</c:v>
              </c:pt>
              <c:pt idx="10">
                <c:v>2.7888485033202765E-2</c:v>
              </c:pt>
              <c:pt idx="11">
                <c:v>2.9448409483270498E-2</c:v>
              </c:pt>
              <c:pt idx="12">
                <c:v>3.1087595987123743E-2</c:v>
              </c:pt>
              <c:pt idx="13">
                <c:v>3.2809876218774625E-2</c:v>
              </c:pt>
              <c:pt idx="14">
                <c:v>3.4619281634166249E-2</c:v>
              </c:pt>
              <c:pt idx="15">
                <c:v>3.6520056667667937E-2</c:v>
              </c:pt>
              <c:pt idx="16">
                <c:v>3.8516673052359653E-2</c:v>
              </c:pt>
              <c:pt idx="17">
                <c:v>4.0592359792918926E-2</c:v>
              </c:pt>
            </c:numLit>
          </c:yVal>
          <c:smooth val="1"/>
          <c:extLst>
            <c:ext xmlns:c16="http://schemas.microsoft.com/office/drawing/2014/chart" uri="{C3380CC4-5D6E-409C-BE32-E72D297353CC}">
              <c16:uniqueId val="{00000024-7B2B-494A-A068-C36D8922E342}"/>
            </c:ext>
          </c:extLst>
        </c:ser>
        <c:ser>
          <c:idx val="26"/>
          <c:order val="26"/>
          <c:tx>
            <c:v>RH=60_1</c:v>
          </c:tx>
          <c:spPr>
            <a:ln w="3175">
              <a:solidFill>
                <a:srgbClr val="0000FF"/>
              </a:solidFill>
              <a:prstDash val="solid"/>
            </a:ln>
          </c:spPr>
          <c:marker>
            <c:symbol val="none"/>
          </c:marker>
          <c:xVal>
            <c:numLit>
              <c:formatCode>General</c:formatCode>
              <c:ptCount val="27"/>
              <c:pt idx="0">
                <c:v>-10.106791566071182</c:v>
              </c:pt>
              <c:pt idx="1">
                <c:v>-9.114737296143911</c:v>
              </c:pt>
              <c:pt idx="2">
                <c:v>-8.1231575359745278</c:v>
              </c:pt>
              <c:pt idx="3">
                <c:v>-7.1320703593639401</c:v>
              </c:pt>
              <c:pt idx="4">
                <c:v>-6.1414935776753259</c:v>
              </c:pt>
              <c:pt idx="5">
                <c:v>-5.1514446173368293</c:v>
              </c:pt>
              <c:pt idx="6">
                <c:v>-4.1619403846292249</c:v>
              </c:pt>
              <c:pt idx="7">
                <c:v>-3.1729971168886375</c:v>
              </c:pt>
              <c:pt idx="8">
                <c:v>-2.1846302192056264</c:v>
              </c:pt>
              <c:pt idx="9">
                <c:v>-1.1968540856493599</c:v>
              </c:pt>
              <c:pt idx="10">
                <c:v>-0.20968190398886188</c:v>
              </c:pt>
              <c:pt idx="11">
                <c:v>0.77901653902700452</c:v>
              </c:pt>
              <c:pt idx="12">
                <c:v>1.7673586730365087</c:v>
              </c:pt>
              <c:pt idx="13">
                <c:v>2.7553302668322517</c:v>
              </c:pt>
              <c:pt idx="14">
                <c:v>3.742939630389412</c:v>
              </c:pt>
              <c:pt idx="15">
                <c:v>4.7301973807635171</c:v>
              </c:pt>
              <c:pt idx="16">
                <c:v>5.7171109692723858</c:v>
              </c:pt>
              <c:pt idx="17">
                <c:v>6.7037013465567465</c:v>
              </c:pt>
              <c:pt idx="18">
                <c:v>7.6899872415691117</c:v>
              </c:pt>
              <c:pt idx="19">
                <c:v>8.6759905358320282</c:v>
              </c:pt>
              <c:pt idx="20">
                <c:v>9.6617365038877931</c:v>
              </c:pt>
              <c:pt idx="21">
                <c:v>10.647246983750058</c:v>
              </c:pt>
              <c:pt idx="22">
                <c:v>11.632561294510978</c:v>
              </c:pt>
              <c:pt idx="23">
                <c:v>12.617716452210654</c:v>
              </c:pt>
              <c:pt idx="24">
                <c:v>13.60275396515117</c:v>
              </c:pt>
              <c:pt idx="25">
                <c:v>14.587720145442251</c:v>
              </c:pt>
              <c:pt idx="26">
                <c:v>14.971848553064145</c:v>
              </c:pt>
            </c:numLit>
          </c:xVal>
          <c:yVal>
            <c:numLit>
              <c:formatCode>General</c:formatCode>
              <c:ptCount val="27"/>
              <c:pt idx="0">
                <c:v>9.6265515651978821E-4</c:v>
              </c:pt>
              <c:pt idx="1">
                <c:v>1.0518108248658113E-3</c:v>
              </c:pt>
              <c:pt idx="2">
                <c:v>1.1484657136667973E-3</c:v>
              </c:pt>
              <c:pt idx="3">
                <c:v>1.253186016979086E-3</c:v>
              </c:pt>
              <c:pt idx="4">
                <c:v>1.3665758366107619E-3</c:v>
              </c:pt>
              <c:pt idx="5">
                <c:v>1.4892794236642264E-3</c:v>
              </c:pt>
              <c:pt idx="6">
                <c:v>1.6219835417861427E-3</c:v>
              </c:pt>
              <c:pt idx="7">
                <c:v>1.7654199593220663E-3</c:v>
              </c:pt>
              <c:pt idx="8">
                <c:v>1.9203680781726613E-3</c:v>
              </c:pt>
              <c:pt idx="9">
                <c:v>2.087657707814211E-3</c:v>
              </c:pt>
              <c:pt idx="10">
                <c:v>2.2681719936859684E-3</c:v>
              </c:pt>
              <c:pt idx="11">
                <c:v>2.4392073923505966E-3</c:v>
              </c:pt>
              <c:pt idx="12">
                <c:v>2.6213841277472243E-3</c:v>
              </c:pt>
              <c:pt idx="13">
                <c:v>2.815577116984156E-3</c:v>
              </c:pt>
              <c:pt idx="14">
                <c:v>3.0224723215083122E-3</c:v>
              </c:pt>
              <c:pt idx="15">
                <c:v>3.2427889480513973E-3</c:v>
              </c:pt>
              <c:pt idx="16">
                <c:v>3.4773504999020071E-3</c:v>
              </c:pt>
              <c:pt idx="17">
                <c:v>3.7268872888711327E-3</c:v>
              </c:pt>
              <c:pt idx="18">
                <c:v>3.9922277903414322E-3</c:v>
              </c:pt>
              <c:pt idx="19">
                <c:v>4.2742397187644924E-3</c:v>
              </c:pt>
              <c:pt idx="20">
                <c:v>4.5738316813021601E-3</c:v>
              </c:pt>
              <c:pt idx="21">
                <c:v>4.8920531340976188E-3</c:v>
              </c:pt>
              <c:pt idx="22">
                <c:v>5.2298151913123467E-3</c:v>
              </c:pt>
              <c:pt idx="23">
                <c:v>5.5881611315908462E-3</c:v>
              </c:pt>
              <c:pt idx="24">
                <c:v>5.968182662155372E-3</c:v>
              </c:pt>
              <c:pt idx="25">
                <c:v>6.3710220228125171E-3</c:v>
              </c:pt>
              <c:pt idx="26">
                <c:v>6.5345703991554396E-3</c:v>
              </c:pt>
            </c:numLit>
          </c:yVal>
          <c:smooth val="1"/>
          <c:extLst>
            <c:ext xmlns:c16="http://schemas.microsoft.com/office/drawing/2014/chart" uri="{C3380CC4-5D6E-409C-BE32-E72D297353CC}">
              <c16:uniqueId val="{00000025-7B2B-494A-A068-C36D8922E342}"/>
            </c:ext>
          </c:extLst>
        </c:ser>
        <c:ser>
          <c:idx val="27"/>
          <c:order val="27"/>
          <c:tx>
            <c:v>RH=60_Label1</c:v>
          </c:tx>
          <c:spPr>
            <a:ln w="3175">
              <a:solidFill>
                <a:srgbClr val="0000FF"/>
              </a:solidFill>
              <a:prstDash val="solid"/>
            </a:ln>
          </c:spPr>
          <c:marker>
            <c:symbol val="none"/>
          </c:marker>
          <c:dLbls>
            <c:dLbl>
              <c:idx val="0"/>
              <c:tx>
                <c:rich>
                  <a:bodyPr rot="-18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60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6-7B2B-494A-A068-C36D8922E34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15.434773089390811</c:v>
              </c:pt>
            </c:numLit>
          </c:xVal>
          <c:yVal>
            <c:numLit>
              <c:formatCode>General</c:formatCode>
              <c:ptCount val="1"/>
              <c:pt idx="0">
                <c:v>6.736623266512377E-3</c:v>
              </c:pt>
            </c:numLit>
          </c:yVal>
          <c:smooth val="0"/>
          <c:extLst>
            <c:ext xmlns:c16="http://schemas.microsoft.com/office/drawing/2014/chart" uri="{C3380CC4-5D6E-409C-BE32-E72D297353CC}">
              <c16:uniqueId val="{00000027-7B2B-494A-A068-C36D8922E342}"/>
            </c:ext>
          </c:extLst>
        </c:ser>
        <c:ser>
          <c:idx val="28"/>
          <c:order val="28"/>
          <c:tx>
            <c:v>RH=60_2</c:v>
          </c:tx>
          <c:spPr>
            <a:ln w="3175">
              <a:solidFill>
                <a:srgbClr val="0000FF"/>
              </a:solidFill>
              <a:prstDash val="solid"/>
            </a:ln>
          </c:spPr>
          <c:marker>
            <c:symbol val="none"/>
          </c:marker>
          <c:xVal>
            <c:numLit>
              <c:formatCode>General</c:formatCode>
              <c:ptCount val="15"/>
              <c:pt idx="0">
                <c:v>15.897703887038311</c:v>
              </c:pt>
              <c:pt idx="1">
                <c:v>16.882712907666683</c:v>
              </c:pt>
              <c:pt idx="2">
                <c:v>17.867843780457338</c:v>
              </c:pt>
              <c:pt idx="3">
                <c:v>18.853167632773957</c:v>
              </c:pt>
              <c:pt idx="4">
                <c:v>19.838762357666667</c:v>
              </c:pt>
              <c:pt idx="5">
                <c:v>20.824713047015294</c:v>
              </c:pt>
              <c:pt idx="6">
                <c:v>21.811112448447897</c:v>
              </c:pt>
              <c:pt idx="7">
                <c:v>22.798061447611477</c:v>
              </c:pt>
              <c:pt idx="8">
                <c:v>23.785669577521677</c:v>
              </c:pt>
              <c:pt idx="9">
                <c:v>24.774051831419158</c:v>
              </c:pt>
              <c:pt idx="10">
                <c:v>25.763332537489855</c:v>
              </c:pt>
              <c:pt idx="11">
                <c:v>26.753657982880188</c:v>
              </c:pt>
              <c:pt idx="12">
                <c:v>27.745178065536479</c:v>
              </c:pt>
              <c:pt idx="13">
                <c:v>28.738054370171888</c:v>
              </c:pt>
              <c:pt idx="14">
                <c:v>29.583195155694028</c:v>
              </c:pt>
            </c:numLit>
          </c:xVal>
          <c:yVal>
            <c:numLit>
              <c:formatCode>General</c:formatCode>
              <c:ptCount val="15"/>
              <c:pt idx="0">
                <c:v>6.9442164723304209E-3</c:v>
              </c:pt>
              <c:pt idx="1">
                <c:v>7.4049523400725346E-3</c:v>
              </c:pt>
              <c:pt idx="2">
                <c:v>7.8927032614548986E-3</c:v>
              </c:pt>
              <c:pt idx="3">
                <c:v>8.4088574073189169E-3</c:v>
              </c:pt>
              <c:pt idx="4">
                <c:v>8.9548667635628559E-3</c:v>
              </c:pt>
              <c:pt idx="5">
                <c:v>9.5322500891234421E-3</c:v>
              </c:pt>
              <c:pt idx="6">
                <c:v>1.0142596050639335E-2</c:v>
              </c:pt>
              <c:pt idx="7">
                <c:v>1.0787566548190554E-2</c:v>
              </c:pt>
              <c:pt idx="8">
                <c:v>1.1468900247835185E-2</c:v>
              </c:pt>
              <c:pt idx="9">
                <c:v>1.2188498014486378E-2</c:v>
              </c:pt>
              <c:pt idx="10">
                <c:v>1.2948368636975393E-2</c:v>
              </c:pt>
              <c:pt idx="11">
                <c:v>1.3750351447902053E-2</c:v>
              </c:pt>
              <c:pt idx="12">
                <c:v>1.4596535174992941E-2</c:v>
              </c:pt>
              <c:pt idx="13">
                <c:v>1.5489106949635579E-2</c:v>
              </c:pt>
              <c:pt idx="14">
                <c:v>1.6285973584079443E-2</c:v>
              </c:pt>
            </c:numLit>
          </c:yVal>
          <c:smooth val="1"/>
          <c:extLst>
            <c:ext xmlns:c16="http://schemas.microsoft.com/office/drawing/2014/chart" uri="{C3380CC4-5D6E-409C-BE32-E72D297353CC}">
              <c16:uniqueId val="{00000028-7B2B-494A-A068-C36D8922E342}"/>
            </c:ext>
          </c:extLst>
        </c:ser>
        <c:ser>
          <c:idx val="29"/>
          <c:order val="29"/>
          <c:tx>
            <c:v>RH=60_Label2</c:v>
          </c:tx>
          <c:spPr>
            <a:ln w="3175">
              <a:solidFill>
                <a:srgbClr val="0000FF"/>
              </a:solidFill>
              <a:prstDash val="solid"/>
            </a:ln>
          </c:spPr>
          <c:marker>
            <c:symbol val="none"/>
          </c:marker>
          <c:dLbls>
            <c:dLbl>
              <c:idx val="0"/>
              <c:tx>
                <c:rich>
                  <a:bodyPr rot="-31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60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9-7B2B-494A-A068-C36D8922E34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29.881765236525613</c:v>
              </c:pt>
            </c:numLit>
          </c:xVal>
          <c:yVal>
            <c:numLit>
              <c:formatCode>General</c:formatCode>
              <c:ptCount val="1"/>
              <c:pt idx="0">
                <c:v>1.6575890513595995E-2</c:v>
              </c:pt>
            </c:numLit>
          </c:yVal>
          <c:smooth val="0"/>
          <c:extLst>
            <c:ext xmlns:c16="http://schemas.microsoft.com/office/drawing/2014/chart" uri="{C3380CC4-5D6E-409C-BE32-E72D297353CC}">
              <c16:uniqueId val="{0000002A-7B2B-494A-A068-C36D8922E342}"/>
            </c:ext>
          </c:extLst>
        </c:ser>
        <c:ser>
          <c:idx val="30"/>
          <c:order val="30"/>
          <c:tx>
            <c:v>RH=60_3</c:v>
          </c:tx>
          <c:spPr>
            <a:ln w="3175">
              <a:solidFill>
                <a:srgbClr val="0000FF"/>
              </a:solidFill>
              <a:prstDash val="solid"/>
            </a:ln>
          </c:spPr>
          <c:marker>
            <c:symbol val="none"/>
          </c:marker>
          <c:xVal>
            <c:numLit>
              <c:formatCode>General</c:formatCode>
              <c:ptCount val="19"/>
              <c:pt idx="0">
                <c:v>30.180492418482846</c:v>
              </c:pt>
              <c:pt idx="1">
                <c:v>31.177453891540974</c:v>
              </c:pt>
              <c:pt idx="2">
                <c:v>32.176429201565348</c:v>
              </c:pt>
              <c:pt idx="3">
                <c:v>33.177641333674551</c:v>
              </c:pt>
              <c:pt idx="4">
                <c:v>34.181329486483897</c:v>
              </c:pt>
              <c:pt idx="5">
                <c:v>35.18775008865876</c:v>
              </c:pt>
              <c:pt idx="6">
                <c:v>36.19717788603942</c:v>
              </c:pt>
              <c:pt idx="7">
                <c:v>37.209907105737216</c:v>
              </c:pt>
              <c:pt idx="8">
                <c:v>38.226252704299107</c:v>
              </c:pt>
              <c:pt idx="9">
                <c:v>39.246551707818924</c:v>
              </c:pt>
              <c:pt idx="10">
                <c:v>40.271160513360229</c:v>
              </c:pt>
              <c:pt idx="11">
                <c:v>41.300468212126702</c:v>
              </c:pt>
              <c:pt idx="12">
                <c:v>42.334888519870255</c:v>
              </c:pt>
              <c:pt idx="13">
                <c:v>43.374862492056081</c:v>
              </c:pt>
              <c:pt idx="14">
                <c:v>44.420861699804476</c:v>
              </c:pt>
              <c:pt idx="15">
                <c:v>45.473390347027014</c:v>
              </c:pt>
              <c:pt idx="16">
                <c:v>46.53298756667926</c:v>
              </c:pt>
              <c:pt idx="17">
                <c:v>47.600229915093209</c:v>
              </c:pt>
              <c:pt idx="18">
                <c:v>42.698224206857375</c:v>
              </c:pt>
            </c:numLit>
          </c:xVal>
          <c:yVal>
            <c:numLit>
              <c:formatCode>General</c:formatCode>
              <c:ptCount val="19"/>
              <c:pt idx="0">
                <c:v>1.6870437016947411E-2</c:v>
              </c:pt>
              <c:pt idx="1">
                <c:v>1.7886565192149154E-2</c:v>
              </c:pt>
              <c:pt idx="2">
                <c:v>1.8957458295095053E-2</c:v>
              </c:pt>
              <c:pt idx="3">
                <c:v>2.0085809975849678E-2</c:v>
              </c:pt>
              <c:pt idx="4">
                <c:v>2.127444564301351E-2</c:v>
              </c:pt>
              <c:pt idx="5">
                <c:v>2.2526330127538324E-2</c:v>
              </c:pt>
              <c:pt idx="6">
                <c:v>2.3844575937580107E-2</c:v>
              </c:pt>
              <c:pt idx="7">
                <c:v>2.5232452159705081E-2</c:v>
              </c:pt>
              <c:pt idx="8">
                <c:v>2.6693394067577716E-2</c:v>
              </c:pt>
              <c:pt idx="9">
                <c:v>2.8231013505784899E-2</c:v>
              </c:pt>
              <c:pt idx="10">
                <c:v>2.984935294705339E-2</c:v>
              </c:pt>
              <c:pt idx="11">
                <c:v>3.1552270792490095E-2</c:v>
              </c:pt>
              <c:pt idx="12">
                <c:v>3.3343918402475865E-2</c:v>
              </c:pt>
              <c:pt idx="13">
                <c:v>3.522873949724975E-2</c:v>
              </c:pt>
              <c:pt idx="14">
                <c:v>3.7211421126014395E-2</c:v>
              </c:pt>
              <c:pt idx="15">
                <c:v>3.9296910626666244E-2</c:v>
              </c:pt>
              <c:pt idx="16">
                <c:v>4.1490434101493494E-2</c:v>
              </c:pt>
              <c:pt idx="17">
                <c:v>4.3797516568883268E-2</c:v>
              </c:pt>
              <c:pt idx="18">
                <c:v>3.4000000000000002E-2</c:v>
              </c:pt>
            </c:numLit>
          </c:yVal>
          <c:smooth val="1"/>
          <c:extLst>
            <c:ext xmlns:c16="http://schemas.microsoft.com/office/drawing/2014/chart" uri="{C3380CC4-5D6E-409C-BE32-E72D297353CC}">
              <c16:uniqueId val="{0000002B-7B2B-494A-A068-C36D8922E342}"/>
            </c:ext>
          </c:extLst>
        </c:ser>
        <c:ser>
          <c:idx val="31"/>
          <c:order val="31"/>
          <c:tx>
            <c:v>RH=70_1</c:v>
          </c:tx>
          <c:spPr>
            <a:ln w="3175">
              <a:solidFill>
                <a:srgbClr val="0000FF"/>
              </a:solidFill>
              <a:prstDash val="solid"/>
            </a:ln>
          </c:spPr>
          <c:marker>
            <c:symbol val="none"/>
          </c:marker>
          <c:xVal>
            <c:numLit>
              <c:formatCode>General</c:formatCode>
              <c:ptCount val="26"/>
              <c:pt idx="0">
                <c:v>-10.124622307298575</c:v>
              </c:pt>
              <c:pt idx="1">
                <c:v>-9.1338979172609864</c:v>
              </c:pt>
              <c:pt idx="2">
                <c:v>-8.1437280234855134</c:v>
              </c:pt>
              <c:pt idx="3">
                <c:v>-7.1541338449252079</c:v>
              </c:pt>
              <c:pt idx="4">
                <c:v>-6.1651363118296896</c:v>
              </c:pt>
              <c:pt idx="5">
                <c:v>-5.1767559247885586</c:v>
              </c:pt>
              <c:pt idx="6">
                <c:v>-4.1890125991046698</c:v>
              </c:pt>
              <c:pt idx="7">
                <c:v>-3.2019254934867307</c:v>
              </c:pt>
              <c:pt idx="8">
                <c:v>-2.2155128219917031</c:v>
              </c:pt>
              <c:pt idx="9">
                <c:v>-1.2297916480837099</c:v>
              </c:pt>
              <c:pt idx="10">
                <c:v>-0.24477765960672535</c:v>
              </c:pt>
              <c:pt idx="11">
                <c:v>0.7420173412327703</c:v>
              </c:pt>
              <c:pt idx="12">
                <c:v>1.7283943345998389</c:v>
              </c:pt>
              <c:pt idx="13">
                <c:v>2.7143364544970345</c:v>
              </c:pt>
              <c:pt idx="14">
                <c:v>3.6998531446897225</c:v>
              </c:pt>
              <c:pt idx="15">
                <c:v>4.6849565229067851</c:v>
              </c:pt>
              <c:pt idx="16">
                <c:v>5.6696549833508803</c:v>
              </c:pt>
              <c:pt idx="17">
                <c:v>6.653972673256888</c:v>
              </c:pt>
              <c:pt idx="18">
                <c:v>7.6379311205439393</c:v>
              </c:pt>
              <c:pt idx="19">
                <c:v>8.6215555140799189</c:v>
              </c:pt>
              <c:pt idx="20">
                <c:v>9.6048749851296975</c:v>
              </c:pt>
              <c:pt idx="21">
                <c:v>10.587914619197658</c:v>
              </c:pt>
              <c:pt idx="22">
                <c:v>11.57071992192834</c:v>
              </c:pt>
              <c:pt idx="23">
                <c:v>12.553333684169095</c:v>
              </c:pt>
              <c:pt idx="24">
                <c:v>13.535803930399325</c:v>
              </c:pt>
              <c:pt idx="25">
                <c:v>13.663517251468223</c:v>
              </c:pt>
            </c:numLit>
          </c:xVal>
          <c:yVal>
            <c:numLit>
              <c:formatCode>General</c:formatCode>
              <c:ptCount val="26"/>
              <c:pt idx="0">
                <c:v>1.1233874654334045E-3</c:v>
              </c:pt>
              <c:pt idx="1">
                <c:v>1.2274585817801354E-3</c:v>
              </c:pt>
              <c:pt idx="2">
                <c:v>1.3402891326142665E-3</c:v>
              </c:pt>
              <c:pt idx="3">
                <c:v>1.4625414826896688E-3</c:v>
              </c:pt>
              <c:pt idx="4">
                <c:v>1.5949225201677061E-3</c:v>
              </c:pt>
              <c:pt idx="5">
                <c:v>1.7381863180575758E-3</c:v>
              </c:pt>
              <c:pt idx="6">
                <c:v>1.8931369444374524E-3</c:v>
              </c:pt>
              <c:pt idx="7">
                <c:v>2.0606314307937824E-3</c:v>
              </c:pt>
              <c:pt idx="8">
                <c:v>2.2415829086399218E-3</c:v>
              </c:pt>
              <c:pt idx="9">
                <c:v>2.436963925492433E-3</c:v>
              </c:pt>
              <c:pt idx="10">
                <c:v>2.6478099523050075E-3</c:v>
              </c:pt>
              <c:pt idx="11">
                <c:v>2.8476031898160307E-3</c:v>
              </c:pt>
              <c:pt idx="12">
                <c:v>3.0604312207948227E-3</c:v>
              </c:pt>
              <c:pt idx="13">
                <c:v>3.2873201415692466E-3</c:v>
              </c:pt>
              <c:pt idx="14">
                <c:v>3.5290759284962439E-3</c:v>
              </c:pt>
              <c:pt idx="15">
                <c:v>3.7865440615982605E-3</c:v>
              </c:pt>
              <c:pt idx="16">
                <c:v>4.0606926533359542E-3</c:v>
              </c:pt>
              <c:pt idx="17">
                <c:v>4.3523817292269416E-3</c:v>
              </c:pt>
              <c:pt idx="18">
                <c:v>4.662586952544772E-3</c:v>
              </c:pt>
              <c:pt idx="19">
                <c:v>4.9923308790401572E-3</c:v>
              </c:pt>
              <c:pt idx="20">
                <c:v>5.3426850128968318E-3</c:v>
              </c:pt>
              <c:pt idx="21">
                <c:v>5.7148868636222108E-3</c:v>
              </c:pt>
              <c:pt idx="22">
                <c:v>6.110013561687732E-3</c:v>
              </c:pt>
              <c:pt idx="23">
                <c:v>6.529298368583126E-3</c:v>
              </c:pt>
              <c:pt idx="24">
                <c:v>6.9740329453147794E-3</c:v>
              </c:pt>
              <c:pt idx="25">
                <c:v>7.0337875575625384E-3</c:v>
              </c:pt>
            </c:numLit>
          </c:yVal>
          <c:smooth val="1"/>
          <c:extLst>
            <c:ext xmlns:c16="http://schemas.microsoft.com/office/drawing/2014/chart" uri="{C3380CC4-5D6E-409C-BE32-E72D297353CC}">
              <c16:uniqueId val="{0000002C-7B2B-494A-A068-C36D8922E342}"/>
            </c:ext>
          </c:extLst>
        </c:ser>
        <c:ser>
          <c:idx val="32"/>
          <c:order val="32"/>
          <c:tx>
            <c:v>RH=70_Label1</c:v>
          </c:tx>
          <c:spPr>
            <a:ln w="3175">
              <a:solidFill>
                <a:srgbClr val="0000FF"/>
              </a:solidFill>
              <a:prstDash val="solid"/>
            </a:ln>
          </c:spPr>
          <c:marker>
            <c:symbol val="none"/>
          </c:marker>
          <c:dLbls>
            <c:dLbl>
              <c:idx val="0"/>
              <c:tx>
                <c:rich>
                  <a:bodyPr rot="-19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70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D-7B2B-494A-A068-C36D8922E34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14.115415531085313</c:v>
              </c:pt>
            </c:numLit>
          </c:xVal>
          <c:yVal>
            <c:numLit>
              <c:formatCode>General</c:formatCode>
              <c:ptCount val="1"/>
              <c:pt idx="0">
                <c:v>7.248908724043295E-3</c:v>
              </c:pt>
            </c:numLit>
          </c:yVal>
          <c:smooth val="0"/>
          <c:extLst>
            <c:ext xmlns:c16="http://schemas.microsoft.com/office/drawing/2014/chart" uri="{C3380CC4-5D6E-409C-BE32-E72D297353CC}">
              <c16:uniqueId val="{0000002E-7B2B-494A-A068-C36D8922E342}"/>
            </c:ext>
          </c:extLst>
        </c:ser>
        <c:ser>
          <c:idx val="33"/>
          <c:order val="33"/>
          <c:tx>
            <c:v>RH=70_2</c:v>
          </c:tx>
          <c:spPr>
            <a:ln w="3175">
              <a:solidFill>
                <a:srgbClr val="0000FF"/>
              </a:solidFill>
              <a:prstDash val="solid"/>
            </a:ln>
          </c:spPr>
          <c:marker>
            <c:symbol val="none"/>
          </c:marker>
          <c:xVal>
            <c:numLit>
              <c:formatCode>General</c:formatCode>
              <c:ptCount val="15"/>
              <c:pt idx="0">
                <c:v>14.557478452716124</c:v>
              </c:pt>
              <c:pt idx="1">
                <c:v>15.539828650256451</c:v>
              </c:pt>
              <c:pt idx="2">
                <c:v>16.522217362965936</c:v>
              </c:pt>
              <c:pt idx="3">
                <c:v>17.504717714343734</c:v>
              </c:pt>
              <c:pt idx="4">
                <c:v>18.487410131551616</c:v>
              </c:pt>
              <c:pt idx="5">
                <c:v>19.470382827891875</c:v>
              </c:pt>
              <c:pt idx="6">
                <c:v>20.453732312792965</c:v>
              </c:pt>
              <c:pt idx="7">
                <c:v>21.437563931214026</c:v>
              </c:pt>
              <c:pt idx="8">
                <c:v>22.421992434567873</c:v>
              </c:pt>
              <c:pt idx="9">
                <c:v>23.407142585470929</c:v>
              </c:pt>
              <c:pt idx="10">
                <c:v>24.393149271932984</c:v>
              </c:pt>
              <c:pt idx="11">
                <c:v>25.380146828018695</c:v>
              </c:pt>
              <c:pt idx="12">
                <c:v>26.368306476005845</c:v>
              </c:pt>
              <c:pt idx="13">
                <c:v>27.357799918479614</c:v>
              </c:pt>
              <c:pt idx="14">
                <c:v>27.60540309392756</c:v>
              </c:pt>
            </c:numLit>
          </c:xVal>
          <c:yVal>
            <c:numLit>
              <c:formatCode>General</c:formatCode>
              <c:ptCount val="15"/>
              <c:pt idx="0">
                <c:v>7.4650088052640581E-3</c:v>
              </c:pt>
              <c:pt idx="1">
                <c:v>7.9659241397534303E-3</c:v>
              </c:pt>
              <c:pt idx="2">
                <c:v>8.4966028039244381E-3</c:v>
              </c:pt>
              <c:pt idx="3">
                <c:v>9.058601130616949E-3</c:v>
              </c:pt>
              <c:pt idx="4">
                <c:v>9.6535489368709364E-3</c:v>
              </c:pt>
              <c:pt idx="5">
                <c:v>1.0283153077594011E-2</c:v>
              </c:pt>
              <c:pt idx="6">
                <c:v>1.0949201221749659E-2</c:v>
              </c:pt>
              <c:pt idx="7">
                <c:v>1.1653565869804223E-2</c:v>
              </c:pt>
              <c:pt idx="8">
                <c:v>1.2398208632955276E-2</c:v>
              </c:pt>
              <c:pt idx="9">
                <c:v>1.318518479663176E-2</c:v>
              </c:pt>
              <c:pt idx="10">
                <c:v>1.4016659610978009E-2</c:v>
              </c:pt>
              <c:pt idx="11">
                <c:v>1.4895172308085002E-2</c:v>
              </c:pt>
              <c:pt idx="12">
                <c:v>1.5822835533000876E-2</c:v>
              </c:pt>
              <c:pt idx="13">
                <c:v>1.6802134918069693E-2</c:v>
              </c:pt>
              <c:pt idx="14">
                <c:v>1.7055330715959553E-2</c:v>
              </c:pt>
            </c:numLit>
          </c:yVal>
          <c:smooth val="1"/>
          <c:extLst>
            <c:ext xmlns:c16="http://schemas.microsoft.com/office/drawing/2014/chart" uri="{C3380CC4-5D6E-409C-BE32-E72D297353CC}">
              <c16:uniqueId val="{0000002F-7B2B-494A-A068-C36D8922E342}"/>
            </c:ext>
          </c:extLst>
        </c:ser>
        <c:ser>
          <c:idx val="34"/>
          <c:order val="34"/>
          <c:tx>
            <c:v>RH=70_Label2</c:v>
          </c:tx>
          <c:spPr>
            <a:ln w="3175">
              <a:solidFill>
                <a:srgbClr val="0000FF"/>
              </a:solidFill>
              <a:prstDash val="solid"/>
            </a:ln>
          </c:spPr>
          <c:marker>
            <c:symbol val="none"/>
          </c:marker>
          <c:dLbls>
            <c:dLbl>
              <c:idx val="0"/>
              <c:tx>
                <c:rich>
                  <a:bodyPr rot="-33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70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0-7B2B-494A-A068-C36D8922E34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27.902656418060964</c:v>
              </c:pt>
            </c:numLit>
          </c:xVal>
          <c:yVal>
            <c:numLit>
              <c:formatCode>General</c:formatCode>
              <c:ptCount val="1"/>
              <c:pt idx="0">
                <c:v>1.7363699091236338E-2</c:v>
              </c:pt>
            </c:numLit>
          </c:yVal>
          <c:smooth val="0"/>
          <c:extLst>
            <c:ext xmlns:c16="http://schemas.microsoft.com/office/drawing/2014/chart" uri="{C3380CC4-5D6E-409C-BE32-E72D297353CC}">
              <c16:uniqueId val="{00000031-7B2B-494A-A068-C36D8922E342}"/>
            </c:ext>
          </c:extLst>
        </c:ser>
        <c:ser>
          <c:idx val="35"/>
          <c:order val="35"/>
          <c:tx>
            <c:v>RH=70_3</c:v>
          </c:tx>
          <c:spPr>
            <a:ln w="3175">
              <a:solidFill>
                <a:srgbClr val="0000FF"/>
              </a:solidFill>
              <a:prstDash val="solid"/>
            </a:ln>
          </c:spPr>
          <c:marker>
            <c:symbol val="none"/>
          </c:marker>
          <c:xVal>
            <c:numLit>
              <c:formatCode>General</c:formatCode>
              <c:ptCount val="18"/>
              <c:pt idx="0">
                <c:v>28.200056090842775</c:v>
              </c:pt>
              <c:pt idx="1">
                <c:v>29.192516531934622</c:v>
              </c:pt>
              <c:pt idx="2">
                <c:v>30.186878036299017</c:v>
              </c:pt>
              <c:pt idx="3">
                <c:v>31.183369872871133</c:v>
              </c:pt>
              <c:pt idx="4">
                <c:v>32.182238665200806</c:v>
              </c:pt>
              <c:pt idx="5">
                <c:v>33.183749518970501</c:v>
              </c:pt>
              <c:pt idx="6">
                <c:v>34.188187230843702</c:v>
              </c:pt>
              <c:pt idx="7">
                <c:v>35.195857586295595</c:v>
              </c:pt>
              <c:pt idx="8">
                <c:v>36.207088754941182</c:v>
              </c:pt>
              <c:pt idx="9">
                <c:v>37.222232792847343</c:v>
              </c:pt>
              <c:pt idx="10">
                <c:v>38.241667262409628</c:v>
              </c:pt>
              <c:pt idx="11">
                <c:v>39.265796981608062</c:v>
              </c:pt>
              <c:pt idx="12">
                <c:v>40.295050347074792</c:v>
              </c:pt>
              <c:pt idx="13">
                <c:v>41.329898060190359</c:v>
              </c:pt>
              <c:pt idx="14">
                <c:v>42.370839619643959</c:v>
              </c:pt>
              <c:pt idx="15">
                <c:v>43.418409665420448</c:v>
              </c:pt>
              <c:pt idx="16">
                <c:v>44.47318133087601</c:v>
              </c:pt>
              <c:pt idx="17">
                <c:v>39.594578804453931</c:v>
              </c:pt>
            </c:numLit>
          </c:xVal>
          <c:yVal>
            <c:numLit>
              <c:formatCode>General</c:formatCode>
              <c:ptCount val="18"/>
              <c:pt idx="0">
                <c:v>1.7677082476637275E-2</c:v>
              </c:pt>
              <c:pt idx="1">
                <c:v>1.8758879091709882E-2</c:v>
              </c:pt>
              <c:pt idx="2">
                <c:v>1.9900088775318587E-2</c:v>
              </c:pt>
              <c:pt idx="3">
                <c:v>2.1103706378928135E-2</c:v>
              </c:pt>
              <c:pt idx="4">
                <c:v>2.2372878301942182E-2</c:v>
              </c:pt>
              <c:pt idx="5">
                <c:v>2.3710911672963426E-2</c:v>
              </c:pt>
              <c:pt idx="6">
                <c:v>2.5121284265609178E-2</c:v>
              </c:pt>
              <c:pt idx="7">
                <c:v>2.6607655219993035E-2</c:v>
              </c:pt>
              <c:pt idx="8">
                <c:v>2.8173876648752687E-2</c:v>
              </c:pt>
              <c:pt idx="9">
                <c:v>2.9824006215230181E-2</c:v>
              </c:pt>
              <c:pt idx="10">
                <c:v>3.1562320781235269E-2</c:v>
              </c:pt>
              <c:pt idx="11">
                <c:v>3.339333123290554E-2</c:v>
              </c:pt>
              <c:pt idx="12">
                <c:v>3.5322129223631905E-2</c:v>
              </c:pt>
              <c:pt idx="13">
                <c:v>3.7353496377000327E-2</c:v>
              </c:pt>
              <c:pt idx="14">
                <c:v>3.949271377872883E-2</c:v>
              </c:pt>
              <c:pt idx="15">
                <c:v>4.1745409128964649E-2</c:v>
              </c:pt>
              <c:pt idx="16">
                <c:v>4.4117541099966587E-2</c:v>
              </c:pt>
              <c:pt idx="17">
                <c:v>3.4000000000000002E-2</c:v>
              </c:pt>
            </c:numLit>
          </c:yVal>
          <c:smooth val="1"/>
          <c:extLst>
            <c:ext xmlns:c16="http://schemas.microsoft.com/office/drawing/2014/chart" uri="{C3380CC4-5D6E-409C-BE32-E72D297353CC}">
              <c16:uniqueId val="{00000032-7B2B-494A-A068-C36D8922E342}"/>
            </c:ext>
          </c:extLst>
        </c:ser>
        <c:ser>
          <c:idx val="36"/>
          <c:order val="36"/>
          <c:tx>
            <c:v>RH=80_1</c:v>
          </c:tx>
          <c:spPr>
            <a:ln w="3175">
              <a:solidFill>
                <a:srgbClr val="0000FF"/>
              </a:solidFill>
              <a:prstDash val="solid"/>
            </a:ln>
          </c:spPr>
          <c:marker>
            <c:symbol val="none"/>
          </c:marker>
          <c:xVal>
            <c:numLit>
              <c:formatCode>General</c:formatCode>
              <c:ptCount val="25"/>
              <c:pt idx="0">
                <c:v>-10.142462252313372</c:v>
              </c:pt>
              <c:pt idx="1">
                <c:v>-9.1530693451110441</c:v>
              </c:pt>
              <c:pt idx="2">
                <c:v>-8.1643111797046028</c:v>
              </c:pt>
              <c:pt idx="3">
                <c:v>-7.1762121585269725</c:v>
              </c:pt>
              <c:pt idx="4">
                <c:v>-6.1887963741239869</c:v>
              </c:pt>
              <c:pt idx="5">
                <c:v>-5.2020874503179</c:v>
              </c:pt>
              <c:pt idx="6">
                <c:v>-4.216108366796858</c:v>
              </c:pt>
              <c:pt idx="7">
                <c:v>-3.2308812659811013</c:v>
              </c:pt>
              <c:pt idx="8">
                <c:v>-2.2464272409472805</c:v>
              </c:pt>
              <c:pt idx="9">
                <c:v>-1.2627661031165411</c:v>
              </c:pt>
              <c:pt idx="10">
                <c:v>-0.27991612832932827</c:v>
              </c:pt>
              <c:pt idx="11">
                <c:v>0.70496971377479312</c:v>
              </c:pt>
              <c:pt idx="12">
                <c:v>1.6893751797203689</c:v>
              </c:pt>
              <c:pt idx="13">
                <c:v>2.673280691795791</c:v>
              </c:pt>
              <c:pt idx="14">
                <c:v>3.6566967537427413</c:v>
              </c:pt>
              <c:pt idx="15">
                <c:v>4.6396369047700743</c:v>
              </c:pt>
              <c:pt idx="16">
                <c:v>5.6221103937215835</c:v>
              </c:pt>
              <c:pt idx="17">
                <c:v>6.6041444768900135</c:v>
              </c:pt>
              <c:pt idx="18">
                <c:v>7.5857633852747366</c:v>
              </c:pt>
              <c:pt idx="19">
                <c:v>8.5669955137537652</c:v>
              </c:pt>
              <c:pt idx="20">
                <c:v>9.5478737437203733</c:v>
              </c:pt>
              <c:pt idx="21">
                <c:v>10.528426290323946</c:v>
              </c:pt>
              <c:pt idx="22">
                <c:v>11.508704734555835</c:v>
              </c:pt>
              <c:pt idx="23">
                <c:v>12.488757521913389</c:v>
              </c:pt>
              <c:pt idx="24">
                <c:v>12.508356639226964</c:v>
              </c:pt>
            </c:numLit>
          </c:xVal>
          <c:yVal>
            <c:numLit>
              <c:formatCode>General</c:formatCode>
              <c:ptCount val="25"/>
              <c:pt idx="0">
                <c:v>1.2842027403875593E-3</c:v>
              </c:pt>
              <c:pt idx="1">
                <c:v>1.4032054053372527E-3</c:v>
              </c:pt>
              <c:pt idx="2">
                <c:v>1.5322306894960248E-3</c:v>
              </c:pt>
              <c:pt idx="3">
                <c:v>1.6720376483506344E-3</c:v>
              </c:pt>
              <c:pt idx="4">
                <c:v>1.8234365626798278E-3</c:v>
              </c:pt>
              <c:pt idx="5">
                <c:v>1.9872920334292098E-3</c:v>
              </c:pt>
              <c:pt idx="6">
                <c:v>2.1645262544567742E-3</c:v>
              </c:pt>
              <c:pt idx="7">
                <c:v>2.3561224749136492E-3</c:v>
              </c:pt>
              <c:pt idx="8">
                <c:v>2.5631286641125323E-3</c:v>
              </c:pt>
              <c:pt idx="9">
                <c:v>2.7866613929500377E-3</c:v>
              </c:pt>
              <c:pt idx="10">
                <c:v>3.027909947304347E-3</c:v>
              </c:pt>
              <c:pt idx="11">
                <c:v>3.2565335521456892E-3</c:v>
              </c:pt>
              <c:pt idx="12">
                <c:v>3.5000959811974544E-3</c:v>
              </c:pt>
              <c:pt idx="13">
                <c:v>3.7597760701605356E-3</c:v>
              </c:pt>
              <c:pt idx="14">
                <c:v>4.0365014695512222E-3</c:v>
              </c:pt>
              <c:pt idx="15">
                <c:v>4.3312458040777246E-3</c:v>
              </c:pt>
              <c:pt idx="16">
                <c:v>4.6451239481437702E-3</c:v>
              </c:pt>
              <c:pt idx="17">
                <c:v>4.9791279851043521E-3</c:v>
              </c:pt>
              <c:pt idx="18">
                <c:v>5.3343834410344883E-3</c:v>
              </c:pt>
              <c:pt idx="19">
                <c:v>5.7120707207410411E-3</c:v>
              </c:pt>
              <c:pt idx="20">
                <c:v>6.1134276050712729E-3</c:v>
              </c:pt>
              <c:pt idx="21">
                <c:v>6.5398835392074571E-3</c:v>
              </c:pt>
              <c:pt idx="22">
                <c:v>6.9926858663954712E-3</c:v>
              </c:pt>
              <c:pt idx="23">
                <c:v>7.4732626119606346E-3</c:v>
              </c:pt>
              <c:pt idx="24">
                <c:v>7.4831676078565192E-3</c:v>
              </c:pt>
            </c:numLit>
          </c:yVal>
          <c:smooth val="1"/>
          <c:extLst>
            <c:ext xmlns:c16="http://schemas.microsoft.com/office/drawing/2014/chart" uri="{C3380CC4-5D6E-409C-BE32-E72D297353CC}">
              <c16:uniqueId val="{00000033-7B2B-494A-A068-C36D8922E342}"/>
            </c:ext>
          </c:extLst>
        </c:ser>
        <c:ser>
          <c:idx val="37"/>
          <c:order val="37"/>
          <c:tx>
            <c:v>RH=80_Label1</c:v>
          </c:tx>
          <c:spPr>
            <a:ln w="3175">
              <a:solidFill>
                <a:srgbClr val="0000FF"/>
              </a:solidFill>
              <a:prstDash val="solid"/>
            </a:ln>
          </c:spPr>
          <c:marker>
            <c:symbol val="none"/>
          </c:marker>
          <c:dLbls>
            <c:dLbl>
              <c:idx val="0"/>
              <c:tx>
                <c:rich>
                  <a:bodyPr rot="-21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80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4-7B2B-494A-A068-C36D8922E34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12.93952077992059</c:v>
              </c:pt>
            </c:numLit>
          </c:xVal>
          <c:yVal>
            <c:numLit>
              <c:formatCode>General</c:formatCode>
              <c:ptCount val="1"/>
              <c:pt idx="0">
                <c:v>7.7040641188605768E-3</c:v>
              </c:pt>
            </c:numLit>
          </c:yVal>
          <c:smooth val="0"/>
          <c:extLst>
            <c:ext xmlns:c16="http://schemas.microsoft.com/office/drawing/2014/chart" uri="{C3380CC4-5D6E-409C-BE32-E72D297353CC}">
              <c16:uniqueId val="{00000035-7B2B-494A-A068-C36D8922E342}"/>
            </c:ext>
          </c:extLst>
        </c:ser>
        <c:ser>
          <c:idx val="38"/>
          <c:order val="38"/>
          <c:tx>
            <c:v>RH=80_2</c:v>
          </c:tx>
          <c:spPr>
            <a:ln w="3175">
              <a:solidFill>
                <a:srgbClr val="0000FF"/>
              </a:solidFill>
              <a:prstDash val="solid"/>
            </a:ln>
          </c:spPr>
          <c:marker>
            <c:symbol val="none"/>
          </c:marker>
          <c:xVal>
            <c:numLit>
              <c:formatCode>General</c:formatCode>
              <c:ptCount val="14"/>
              <c:pt idx="0">
                <c:v>13.3608586632075</c:v>
              </c:pt>
              <c:pt idx="1">
                <c:v>14.340638748180433</c:v>
              </c:pt>
              <c:pt idx="2">
                <c:v>15.320368273945533</c:v>
              </c:pt>
              <c:pt idx="3">
                <c:v>16.300121388752697</c:v>
              </c:pt>
              <c:pt idx="4">
                <c:v>17.279980004684329</c:v>
              </c:pt>
              <c:pt idx="5">
                <c:v>18.260034325056761</c:v>
              </c:pt>
              <c:pt idx="6">
                <c:v>19.240383402872951</c:v>
              </c:pt>
              <c:pt idx="7">
                <c:v>20.221135732568783</c:v>
              </c:pt>
              <c:pt idx="8">
                <c:v>21.202409877522989</c:v>
              </c:pt>
              <c:pt idx="9">
                <c:v>22.184335136054546</c:v>
              </c:pt>
              <c:pt idx="10">
                <c:v>23.167052248913919</c:v>
              </c:pt>
              <c:pt idx="11">
                <c:v>24.150714151590211</c:v>
              </c:pt>
              <c:pt idx="12">
                <c:v>25.135473037228405</c:v>
              </c:pt>
              <c:pt idx="13">
                <c:v>25.874877054992844</c:v>
              </c:pt>
            </c:numLit>
          </c:xVal>
          <c:yVal>
            <c:numLit>
              <c:formatCode>General</c:formatCode>
              <c:ptCount val="14"/>
              <c:pt idx="0">
                <c:v>7.9255468626814787E-3</c:v>
              </c:pt>
              <c:pt idx="1">
                <c:v>8.4627640216843013E-3</c:v>
              </c:pt>
              <c:pt idx="2">
                <c:v>9.0322819658535669E-3</c:v>
              </c:pt>
              <c:pt idx="3">
                <c:v>9.6358161442111449E-3</c:v>
              </c:pt>
              <c:pt idx="4">
                <c:v>1.0275164928481188E-2</c:v>
              </c:pt>
              <c:pt idx="5">
                <c:v>1.0952213771336889E-2</c:v>
              </c:pt>
              <c:pt idx="6">
                <c:v>1.1668939635490804E-2</c:v>
              </c:pt>
              <c:pt idx="7">
                <c:v>1.2427415717094702E-2</c:v>
              </c:pt>
              <c:pt idx="8">
                <c:v>1.3229816489212421E-2</c:v>
              </c:pt>
              <c:pt idx="9">
                <c:v>1.4078423093671105E-2</c:v>
              </c:pt>
              <c:pt idx="10">
                <c:v>1.497562911241101E-2</c:v>
              </c:pt>
              <c:pt idx="11">
                <c:v>1.5923946752573682E-2</c:v>
              </c:pt>
              <c:pt idx="12">
                <c:v>1.6926321665222295E-2</c:v>
              </c:pt>
              <c:pt idx="13">
                <c:v>1.7715092490545425E-2</c:v>
              </c:pt>
            </c:numLit>
          </c:yVal>
          <c:smooth val="1"/>
          <c:extLst>
            <c:ext xmlns:c16="http://schemas.microsoft.com/office/drawing/2014/chart" uri="{C3380CC4-5D6E-409C-BE32-E72D297353CC}">
              <c16:uniqueId val="{00000036-7B2B-494A-A068-C36D8922E342}"/>
            </c:ext>
          </c:extLst>
        </c:ser>
        <c:ser>
          <c:idx val="39"/>
          <c:order val="39"/>
          <c:tx>
            <c:v>RH=80_Label2</c:v>
          </c:tx>
          <c:spPr>
            <a:ln w="3175">
              <a:solidFill>
                <a:srgbClr val="0000FF"/>
              </a:solidFill>
              <a:prstDash val="solid"/>
            </a:ln>
          </c:spPr>
          <c:marker>
            <c:symbol val="none"/>
          </c:marker>
          <c:dLbls>
            <c:dLbl>
              <c:idx val="0"/>
              <c:tx>
                <c:rich>
                  <a:bodyPr rot="-33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80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7B2B-494A-A068-C36D8922E34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26.170859778080111</c:v>
              </c:pt>
            </c:numLit>
          </c:xVal>
          <c:yVal>
            <c:numLit>
              <c:formatCode>General</c:formatCode>
              <c:ptCount val="1"/>
              <c:pt idx="0">
                <c:v>1.8039780825415901E-2</c:v>
              </c:pt>
            </c:numLit>
          </c:yVal>
          <c:smooth val="0"/>
          <c:extLst>
            <c:ext xmlns:c16="http://schemas.microsoft.com/office/drawing/2014/chart" uri="{C3380CC4-5D6E-409C-BE32-E72D297353CC}">
              <c16:uniqueId val="{00000038-7B2B-494A-A068-C36D8922E342}"/>
            </c:ext>
          </c:extLst>
        </c:ser>
        <c:ser>
          <c:idx val="40"/>
          <c:order val="40"/>
          <c:tx>
            <c:v>RH=80_3</c:v>
          </c:tx>
          <c:spPr>
            <a:ln w="3175">
              <a:solidFill>
                <a:srgbClr val="0000FF"/>
              </a:solidFill>
              <a:prstDash val="solid"/>
            </a:ln>
          </c:spPr>
          <c:marker>
            <c:symbol val="none"/>
          </c:marker>
          <c:xVal>
            <c:numLit>
              <c:formatCode>General</c:formatCode>
              <c:ptCount val="17"/>
              <c:pt idx="0">
                <c:v>26.466976910593637</c:v>
              </c:pt>
              <c:pt idx="1">
                <c:v>27.455076949237203</c:v>
              </c:pt>
              <c:pt idx="2">
                <c:v>28.444949400883822</c:v>
              </c:pt>
              <c:pt idx="3">
                <c:v>29.436827565234527</c:v>
              </c:pt>
              <c:pt idx="4">
                <c:v>30.430963058409187</c:v>
              </c:pt>
              <c:pt idx="5">
                <c:v>31.427627039849007</c:v>
              </c:pt>
              <c:pt idx="6">
                <c:v>32.427111530608649</c:v>
              </c:pt>
              <c:pt idx="7">
                <c:v>33.429730831909019</c:v>
              </c:pt>
              <c:pt idx="8">
                <c:v>34.435823053853696</c:v>
              </c:pt>
              <c:pt idx="9">
                <c:v>35.445751765376748</c:v>
              </c:pt>
              <c:pt idx="10">
                <c:v>36.45990777780662</c:v>
              </c:pt>
              <c:pt idx="11">
                <c:v>37.478711075921858</c:v>
              </c:pt>
              <c:pt idx="12">
                <c:v>38.50261291206558</c:v>
              </c:pt>
              <c:pt idx="13">
                <c:v>39.532096283331867</c:v>
              </c:pt>
              <c:pt idx="14">
                <c:v>40.567678543689389</c:v>
              </c:pt>
              <c:pt idx="15">
                <c:v>41.609925340912454</c:v>
              </c:pt>
              <c:pt idx="16">
                <c:v>36.958513469612221</c:v>
              </c:pt>
            </c:numLit>
          </c:xVal>
          <c:yVal>
            <c:numLit>
              <c:formatCode>General</c:formatCode>
              <c:ptCount val="17"/>
              <c:pt idx="0">
                <c:v>1.8369834550872179E-2</c:v>
              </c:pt>
              <c:pt idx="1">
                <c:v>1.9509818475929395E-2</c:v>
              </c:pt>
              <c:pt idx="2">
                <c:v>2.0713450771512626E-2</c:v>
              </c:pt>
              <c:pt idx="3">
                <c:v>2.1984008896382069E-2</c:v>
              </c:pt>
              <c:pt idx="4">
                <c:v>2.3324941056249882E-2</c:v>
              </c:pt>
              <c:pt idx="5">
                <c:v>2.4739876910536536E-2</c:v>
              </c:pt>
              <c:pt idx="6">
                <c:v>2.6232639162871791E-2</c:v>
              </c:pt>
              <c:pt idx="7">
                <c:v>2.780725612342148E-2</c:v>
              </c:pt>
              <c:pt idx="8">
                <c:v>2.9467975341054942E-2</c:v>
              </c:pt>
              <c:pt idx="9">
                <c:v>3.1219278414564438E-2</c:v>
              </c:pt>
              <c:pt idx="10">
                <c:v>3.3065897104802532E-2</c:v>
              </c:pt>
              <c:pt idx="11">
                <c:v>3.5012830883924491E-2</c:v>
              </c:pt>
              <c:pt idx="12">
                <c:v>3.7065366074171026E-2</c:v>
              </c:pt>
              <c:pt idx="13">
                <c:v>3.9229196355992167E-2</c:v>
              </c:pt>
              <c:pt idx="14">
                <c:v>4.1510494000618466E-2</c:v>
              </c:pt>
              <c:pt idx="15">
                <c:v>4.39152468574769E-2</c:v>
              </c:pt>
              <c:pt idx="16">
                <c:v>3.4000000000000002E-2</c:v>
              </c:pt>
            </c:numLit>
          </c:yVal>
          <c:smooth val="1"/>
          <c:extLst>
            <c:ext xmlns:c16="http://schemas.microsoft.com/office/drawing/2014/chart" uri="{C3380CC4-5D6E-409C-BE32-E72D297353CC}">
              <c16:uniqueId val="{00000039-7B2B-494A-A068-C36D8922E342}"/>
            </c:ext>
          </c:extLst>
        </c:ser>
        <c:ser>
          <c:idx val="41"/>
          <c:order val="41"/>
          <c:tx>
            <c:v>RH=90_1</c:v>
          </c:tx>
          <c:spPr>
            <a:ln w="3175">
              <a:solidFill>
                <a:srgbClr val="0000FF"/>
              </a:solidFill>
              <a:prstDash val="solid"/>
            </a:ln>
          </c:spPr>
          <c:marker>
            <c:symbol val="none"/>
          </c:marker>
          <c:xVal>
            <c:numLit>
              <c:formatCode>General</c:formatCode>
              <c:ptCount val="24"/>
              <c:pt idx="0">
                <c:v>-10.160311408243556</c:v>
              </c:pt>
              <c:pt idx="1">
                <c:v>-9.1722515888392806</c:v>
              </c:pt>
              <c:pt idx="2">
                <c:v>-8.1849070163387818</c:v>
              </c:pt>
              <c:pt idx="3">
                <c:v>-7.1983053151223135</c:v>
              </c:pt>
              <c:pt idx="4">
                <c:v>-6.2124737836153079</c:v>
              </c:pt>
              <c:pt idx="5">
                <c:v>-5.2274392181591223</c:v>
              </c:pt>
              <c:pt idx="6">
                <c:v>-4.2432277184566214</c:v>
              </c:pt>
              <c:pt idx="7">
                <c:v>-3.2598644733070836</c:v>
              </c:pt>
              <c:pt idx="8">
                <c:v>-2.2773735252646343</c:v>
              </c:pt>
              <c:pt idx="9">
                <c:v>-1.2957775127664004</c:v>
              </c:pt>
              <c:pt idx="10">
                <c:v>-0.31509738817978866</c:v>
              </c:pt>
              <c:pt idx="11">
                <c:v>0.66787356150364452</c:v>
              </c:pt>
              <c:pt idx="12">
                <c:v>1.6503010926400361</c:v>
              </c:pt>
              <c:pt idx="13">
                <c:v>2.632162838192071</c:v>
              </c:pt>
              <c:pt idx="14">
                <c:v>3.6134702872847182</c:v>
              </c:pt>
              <c:pt idx="15">
                <c:v>4.5942383205023143</c:v>
              </c:pt>
              <c:pt idx="16">
                <c:v>5.5744769520084745</c:v>
              </c:pt>
              <c:pt idx="17">
                <c:v>6.5542164583903677</c:v>
              </c:pt>
              <c:pt idx="18">
                <c:v>7.5334836764058082</c:v>
              </c:pt>
              <c:pt idx="19">
                <c:v>8.5123101039472857</c:v>
              </c:pt>
              <c:pt idx="20">
                <c:v>9.490732264027244</c:v>
              </c:pt>
              <c:pt idx="21">
                <c:v>10.468781381354987</c:v>
              </c:pt>
              <c:pt idx="22">
                <c:v>11.446514998561955</c:v>
              </c:pt>
              <c:pt idx="23">
                <c:v>11.466066812546941</c:v>
              </c:pt>
            </c:numLit>
          </c:xVal>
          <c:yVal>
            <c:numLit>
              <c:formatCode>General</c:formatCode>
              <c:ptCount val="24"/>
              <c:pt idx="0">
                <c:v>1.4451010456363609E-3</c:v>
              </c:pt>
              <c:pt idx="1">
                <c:v>1.5790513793722909E-3</c:v>
              </c:pt>
              <c:pt idx="2">
                <c:v>1.7242904934817753E-3</c:v>
              </c:pt>
              <c:pt idx="3">
                <c:v>1.8816746558483943E-3</c:v>
              </c:pt>
              <c:pt idx="4">
                <c:v>2.0521181482046785E-3</c:v>
              </c:pt>
              <c:pt idx="5">
                <c:v>2.2365968080945969E-3</c:v>
              </c:pt>
              <c:pt idx="6">
                <c:v>2.4361517798423041E-3</c:v>
              </c:pt>
              <c:pt idx="7">
                <c:v>2.651893489013245E-3</c:v>
              </c:pt>
              <c:pt idx="8">
                <c:v>2.8850058562471248E-3</c:v>
              </c:pt>
              <c:pt idx="9">
                <c:v>3.1367507679000511E-3</c:v>
              </c:pt>
              <c:pt idx="10">
                <c:v>3.4084728226759938E-3</c:v>
              </c:pt>
              <c:pt idx="11">
                <c:v>3.6659995295954982E-3</c:v>
              </c:pt>
              <c:pt idx="12">
                <c:v>3.9403797133078381E-3</c:v>
              </c:pt>
              <c:pt idx="13">
                <c:v>4.2329465200043074E-3</c:v>
              </c:pt>
              <c:pt idx="14">
                <c:v>4.5447509466055858E-3</c:v>
              </c:pt>
              <c:pt idx="15">
                <c:v>4.8768966496376548E-3</c:v>
              </c:pt>
              <c:pt idx="16">
                <c:v>5.2306474374324884E-3</c:v>
              </c:pt>
              <c:pt idx="17">
                <c:v>5.6071298181956681E-3</c:v>
              </c:pt>
              <c:pt idx="18">
                <c:v>6.0076218834582296E-3</c:v>
              </c:pt>
              <c:pt idx="19">
                <c:v>6.4334649282589956E-3</c:v>
              </c:pt>
              <c:pt idx="20">
                <c:v>6.8860664299542004E-3</c:v>
              </c:pt>
              <c:pt idx="21">
                <c:v>7.3670517005360123E-3</c:v>
              </c:pt>
              <c:pt idx="22">
                <c:v>7.8778425501793113E-3</c:v>
              </c:pt>
              <c:pt idx="23">
                <c:v>7.8883734305233554E-3</c:v>
              </c:pt>
            </c:numLit>
          </c:yVal>
          <c:smooth val="1"/>
          <c:extLst>
            <c:ext xmlns:c16="http://schemas.microsoft.com/office/drawing/2014/chart" uri="{C3380CC4-5D6E-409C-BE32-E72D297353CC}">
              <c16:uniqueId val="{0000003A-7B2B-494A-A068-C36D8922E342}"/>
            </c:ext>
          </c:extLst>
        </c:ser>
        <c:ser>
          <c:idx val="42"/>
          <c:order val="42"/>
          <c:tx>
            <c:v>RH=90_Label1</c:v>
          </c:tx>
          <c:spPr>
            <a:ln w="3175">
              <a:solidFill>
                <a:srgbClr val="0000FF"/>
              </a:solidFill>
              <a:prstDash val="solid"/>
            </a:ln>
          </c:spPr>
          <c:marker>
            <c:symbol val="none"/>
          </c:marker>
          <c:dLbls>
            <c:dLbl>
              <c:idx val="0"/>
              <c:tx>
                <c:rich>
                  <a:bodyPr rot="-21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90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B-7B2B-494A-A068-C36D8922E34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11.886406335561087</c:v>
              </c:pt>
            </c:numLit>
          </c:xVal>
          <c:yVal>
            <c:numLit>
              <c:formatCode>General</c:formatCode>
              <c:ptCount val="1"/>
              <c:pt idx="0">
                <c:v>8.1178532770005106E-3</c:v>
              </c:pt>
            </c:numLit>
          </c:yVal>
          <c:smooth val="0"/>
          <c:extLst>
            <c:ext xmlns:c16="http://schemas.microsoft.com/office/drawing/2014/chart" uri="{C3380CC4-5D6E-409C-BE32-E72D297353CC}">
              <c16:uniqueId val="{0000003C-7B2B-494A-A068-C36D8922E342}"/>
            </c:ext>
          </c:extLst>
        </c:ser>
        <c:ser>
          <c:idx val="43"/>
          <c:order val="43"/>
          <c:tx>
            <c:v>RH=90_2</c:v>
          </c:tx>
          <c:spPr>
            <a:ln w="3175">
              <a:solidFill>
                <a:srgbClr val="0000FF"/>
              </a:solidFill>
              <a:prstDash val="solid"/>
            </a:ln>
          </c:spPr>
          <c:marker>
            <c:symbol val="none"/>
          </c:marker>
          <c:xVal>
            <c:numLit>
              <c:formatCode>General</c:formatCode>
              <c:ptCount val="14"/>
              <c:pt idx="0">
                <c:v>12.287154552505491</c:v>
              </c:pt>
              <c:pt idx="1">
                <c:v>13.264450008749437</c:v>
              </c:pt>
              <c:pt idx="2">
                <c:v>14.241602544783566</c:v>
              </c:pt>
              <c:pt idx="3">
                <c:v>15.218686623205453</c:v>
              </c:pt>
              <c:pt idx="4">
                <c:v>16.195784869538244</c:v>
              </c:pt>
              <c:pt idx="5">
                <c:v>17.172988640875836</c:v>
              </c:pt>
              <c:pt idx="6">
                <c:v>18.150398628951599</c:v>
              </c:pt>
              <c:pt idx="7">
                <c:v>19.128125500200142</c:v>
              </c:pt>
              <c:pt idx="8">
                <c:v>20.106290575649407</c:v>
              </c:pt>
              <c:pt idx="9">
                <c:v>21.085026553779926</c:v>
              </c:pt>
              <c:pt idx="10">
                <c:v>22.064478279822467</c:v>
              </c:pt>
              <c:pt idx="11">
                <c:v>23.044803565339887</c:v>
              </c:pt>
              <c:pt idx="12">
                <c:v>24.026174062357637</c:v>
              </c:pt>
              <c:pt idx="13">
                <c:v>24.350283760914369</c:v>
              </c:pt>
            </c:numLit>
          </c:xVal>
          <c:yVal>
            <c:numLit>
              <c:formatCode>General</c:formatCode>
              <c:ptCount val="14"/>
              <c:pt idx="0">
                <c:v>8.3422001056663829E-3</c:v>
              </c:pt>
              <c:pt idx="1">
                <c:v>8.9128194892929211E-3</c:v>
              </c:pt>
              <c:pt idx="2">
                <c:v>9.518115555408645E-3</c:v>
              </c:pt>
              <c:pt idx="3">
                <c:v>1.0159955796425158E-2</c:v>
              </c:pt>
              <c:pt idx="4">
                <c:v>1.0840299888458355E-2</c:v>
              </c:pt>
              <c:pt idx="5">
                <c:v>1.1561204462982987E-2</c:v>
              </c:pt>
              <c:pt idx="6">
                <c:v>1.2324828199989819E-2</c:v>
              </c:pt>
              <c:pt idx="7">
                <c:v>1.3133437271204971E-2</c:v>
              </c:pt>
              <c:pt idx="8">
                <c:v>1.3989411164801244E-2</c:v>
              </c:pt>
              <c:pt idx="9">
                <c:v>1.4895248926209768E-2</c:v>
              </c:pt>
              <c:pt idx="10">
                <c:v>1.5853575853174682E-2</c:v>
              </c:pt>
              <c:pt idx="11">
                <c:v>1.68671506871205E-2</c:v>
              </c:pt>
              <c:pt idx="12">
                <c:v>1.7938873347281416E-2</c:v>
              </c:pt>
              <c:pt idx="13">
                <c:v>1.830588898250678E-2</c:v>
              </c:pt>
            </c:numLit>
          </c:yVal>
          <c:smooth val="1"/>
          <c:extLst>
            <c:ext xmlns:c16="http://schemas.microsoft.com/office/drawing/2014/chart" uri="{C3380CC4-5D6E-409C-BE32-E72D297353CC}">
              <c16:uniqueId val="{0000003D-7B2B-494A-A068-C36D8922E342}"/>
            </c:ext>
          </c:extLst>
        </c:ser>
        <c:ser>
          <c:idx val="44"/>
          <c:order val="44"/>
          <c:tx>
            <c:v>RH=90_Label2</c:v>
          </c:tx>
          <c:spPr>
            <a:ln w="3175">
              <a:solidFill>
                <a:srgbClr val="0000FF"/>
              </a:solidFill>
              <a:prstDash val="solid"/>
            </a:ln>
          </c:spPr>
          <c:marker>
            <c:symbol val="none"/>
          </c:marker>
          <c:dLbls>
            <c:dLbl>
              <c:idx val="0"/>
              <c:tx>
                <c:rich>
                  <a:bodyPr rot="-342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90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E-7B2B-494A-A068-C36D8922E34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24.645048916449817</c:v>
              </c:pt>
            </c:numLit>
          </c:xVal>
          <c:yVal>
            <c:numLit>
              <c:formatCode>General</c:formatCode>
              <c:ptCount val="1"/>
              <c:pt idx="0">
                <c:v>1.8645468166416327E-2</c:v>
              </c:pt>
            </c:numLit>
          </c:yVal>
          <c:smooth val="0"/>
          <c:extLst>
            <c:ext xmlns:c16="http://schemas.microsoft.com/office/drawing/2014/chart" uri="{C3380CC4-5D6E-409C-BE32-E72D297353CC}">
              <c16:uniqueId val="{0000003F-7B2B-494A-A068-C36D8922E342}"/>
            </c:ext>
          </c:extLst>
        </c:ser>
        <c:ser>
          <c:idx val="45"/>
          <c:order val="45"/>
          <c:tx>
            <c:v>RH=90_3</c:v>
          </c:tx>
          <c:spPr>
            <a:ln w="3175">
              <a:solidFill>
                <a:srgbClr val="0000FF"/>
              </a:solidFill>
              <a:prstDash val="solid"/>
            </a:ln>
          </c:spPr>
          <c:marker>
            <c:symbol val="none"/>
          </c:marker>
          <c:xVal>
            <c:numLit>
              <c:formatCode>General</c:formatCode>
              <c:ptCount val="16"/>
              <c:pt idx="0">
                <c:v>24.939936032452529</c:v>
              </c:pt>
              <c:pt idx="1">
                <c:v>25.92384661002826</c:v>
              </c:pt>
              <c:pt idx="2">
                <c:v>26.909393516522343</c:v>
              </c:pt>
              <c:pt idx="3">
                <c:v>27.896812587546918</c:v>
              </c:pt>
              <c:pt idx="4">
                <c:v>28.886358806211785</c:v>
              </c:pt>
              <c:pt idx="5">
                <c:v>29.87830762052651</c:v>
              </c:pt>
              <c:pt idx="6">
                <c:v>30.872956361702308</c:v>
              </c:pt>
              <c:pt idx="7">
                <c:v>31.870625773419732</c:v>
              </c:pt>
              <c:pt idx="8">
                <c:v>32.871661663330364</c:v>
              </c:pt>
              <c:pt idx="9">
                <c:v>33.876436689422889</c:v>
              </c:pt>
              <c:pt idx="10">
                <c:v>34.885352295428454</c:v>
              </c:pt>
              <c:pt idx="11">
                <c:v>35.898840811195406</c:v>
              </c:pt>
              <c:pt idx="12">
                <c:v>36.917367735961534</c:v>
              </c:pt>
              <c:pt idx="13">
                <c:v>37.941434224729875</c:v>
              </c:pt>
              <c:pt idx="14">
                <c:v>38.971579800557322</c:v>
              </c:pt>
              <c:pt idx="15">
                <c:v>34.663014089963724</c:v>
              </c:pt>
            </c:numLit>
          </c:xVal>
          <c:yVal>
            <c:numLit>
              <c:formatCode>General</c:formatCode>
              <c:ptCount val="16"/>
              <c:pt idx="0">
                <c:v>1.8990738550069466E-2</c:v>
              </c:pt>
              <c:pt idx="1">
                <c:v>2.0183882325276323E-2</c:v>
              </c:pt>
              <c:pt idx="2">
                <c:v>2.1444620082461376E-2</c:v>
              </c:pt>
              <c:pt idx="3">
                <c:v>2.2776498631904309E-2</c:v>
              </c:pt>
              <c:pt idx="4">
                <c:v>2.4183254349516771E-2</c:v>
              </c:pt>
              <c:pt idx="5">
                <c:v>2.5668825425554889E-2</c:v>
              </c:pt>
              <c:pt idx="6">
                <c:v>2.7237365152299648E-2</c:v>
              </c:pt>
              <c:pt idx="7">
                <c:v>2.8893256356949129E-2</c:v>
              </c:pt>
              <c:pt idx="8">
                <c:v>3.0641127098288597E-2</c:v>
              </c:pt>
              <c:pt idx="9">
                <c:v>3.2485867759629528E-2</c:v>
              </c:pt>
              <c:pt idx="10">
                <c:v>3.4432649686309907E-2</c:v>
              </c:pt>
              <c:pt idx="11">
                <c:v>3.6486945533989089E-2</c:v>
              </c:pt>
              <c:pt idx="12">
                <c:v>3.8654551514389603E-2</c:v>
              </c:pt>
              <c:pt idx="13">
                <c:v>4.0941611748426872E-2</c:v>
              </c:pt>
              <c:pt idx="14">
                <c:v>4.3354644963263043E-2</c:v>
              </c:pt>
              <c:pt idx="15">
                <c:v>3.4000000000000002E-2</c:v>
              </c:pt>
            </c:numLit>
          </c:yVal>
          <c:smooth val="1"/>
          <c:extLst>
            <c:ext xmlns:c16="http://schemas.microsoft.com/office/drawing/2014/chart" uri="{C3380CC4-5D6E-409C-BE32-E72D297353CC}">
              <c16:uniqueId val="{00000040-7B2B-494A-A068-C36D8922E342}"/>
            </c:ext>
          </c:extLst>
        </c:ser>
        <c:ser>
          <c:idx val="46"/>
          <c:order val="46"/>
          <c:tx>
            <c:v>RH=100_1</c:v>
          </c:tx>
          <c:spPr>
            <a:ln w="3175">
              <a:solidFill>
                <a:srgbClr val="0000FF"/>
              </a:solidFill>
              <a:prstDash val="solid"/>
            </a:ln>
          </c:spPr>
          <c:marker>
            <c:symbol val="none"/>
          </c:marker>
          <c:xVal>
            <c:numLit>
              <c:formatCode>General</c:formatCode>
              <c:ptCount val="23"/>
              <c:pt idx="0">
                <c:v>-10.178169782224485</c:v>
              </c:pt>
              <c:pt idx="1">
                <c:v>-9.1914446576012097</c:v>
              </c:pt>
              <c:pt idx="2">
                <c:v>-8.2055155451094635</c:v>
              </c:pt>
              <c:pt idx="3">
                <c:v>-7.22041332968442</c:v>
              </c:pt>
              <c:pt idx="4">
                <c:v>-6.2361685593886982</c:v>
              </c:pt>
              <c:pt idx="5">
                <c:v>-5.2528112525852375</c:v>
              </c:pt>
              <c:pt idx="6">
                <c:v>-4.2703706848883494</c:v>
              </c:pt>
              <c:pt idx="7">
                <c:v>-3.2888751544738279</c:v>
              </c:pt>
              <c:pt idx="8">
                <c:v>-2.3083517242375029</c:v>
              </c:pt>
              <c:pt idx="9">
                <c:v>-1.3288259391909207</c:v>
              </c:pt>
              <c:pt idx="10">
                <c:v>-0.35032151737137113</c:v>
              </c:pt>
              <c:pt idx="11">
                <c:v>0.63072878902048002</c:v>
              </c:pt>
              <c:pt idx="12">
                <c:v>1.6111719572746135</c:v>
              </c:pt>
              <c:pt idx="13">
                <c:v>2.5909827527240186</c:v>
              </c:pt>
              <c:pt idx="14">
                <c:v>3.5701735744985212</c:v>
              </c:pt>
              <c:pt idx="15">
                <c:v>4.5487605635344499</c:v>
              </c:pt>
              <c:pt idx="16">
                <c:v>5.5267544089063207</c:v>
              </c:pt>
              <c:pt idx="17">
                <c:v>6.5041883174927406</c:v>
              </c:pt>
              <c:pt idx="18">
                <c:v>7.481091633037142</c:v>
              </c:pt>
              <c:pt idx="19">
                <c:v>8.4574988517709855</c:v>
              </c:pt>
              <c:pt idx="20">
                <c:v>9.4334500278774112</c:v>
              </c:pt>
              <c:pt idx="21">
                <c:v>10.408979273270996</c:v>
              </c:pt>
              <c:pt idx="22">
                <c:v>10.516264586793987</c:v>
              </c:pt>
            </c:numLit>
          </c:xVal>
          <c:yVal>
            <c:numLit>
              <c:formatCode>General</c:formatCode>
              <c:ptCount val="23"/>
              <c:pt idx="0">
                <c:v>1.6060824455002855E-3</c:v>
              </c:pt>
              <c:pt idx="1">
                <c:v>1.7549965878149991E-3</c:v>
              </c:pt>
              <c:pt idx="2">
                <c:v>1.9164686538757729E-3</c:v>
              </c:pt>
              <c:pt idx="3">
                <c:v>2.0914526472602013E-3</c:v>
              </c:pt>
              <c:pt idx="4">
                <c:v>2.2809674610698065E-3</c:v>
              </c:pt>
              <c:pt idx="5">
                <c:v>2.4861008807502316E-3</c:v>
              </c:pt>
              <c:pt idx="6">
                <c:v>2.7080138291286308E-3</c:v>
              </c:pt>
              <c:pt idx="7">
                <c:v>2.9479448711774276E-3</c:v>
              </c:pt>
              <c:pt idx="8">
                <c:v>3.2072149977556683E-3</c:v>
              </c:pt>
              <c:pt idx="9">
                <c:v>3.4872327095305327E-3</c:v>
              </c:pt>
              <c:pt idx="10">
                <c:v>3.7894994244688104E-3</c:v>
              </c:pt>
              <c:pt idx="11">
                <c:v>4.076002175174424E-3</c:v>
              </c:pt>
              <c:pt idx="12">
                <c:v>4.3812837251538872E-3</c:v>
              </c:pt>
              <c:pt idx="13">
                <c:v>4.7068331132422495E-3</c:v>
              </c:pt>
              <c:pt idx="14">
                <c:v>5.0538263680982628E-3</c:v>
              </c:pt>
              <c:pt idx="15">
                <c:v>5.4234990810554818E-3</c:v>
              </c:pt>
              <c:pt idx="16">
                <c:v>5.8172661857312045E-3</c:v>
              </c:pt>
              <c:pt idx="17">
                <c:v>6.236391005280101E-3</c:v>
              </c:pt>
              <c:pt idx="18">
                <c:v>6.6823069273506883E-3</c:v>
              </c:pt>
              <c:pt idx="19">
                <c:v>7.156519212147776E-3</c:v>
              </c:pt>
              <c:pt idx="20">
                <c:v>7.6606084940231836E-3</c:v>
              </c:pt>
              <c:pt idx="21">
                <c:v>8.196399932304619E-3</c:v>
              </c:pt>
              <c:pt idx="22">
                <c:v>8.2573377030506299E-3</c:v>
              </c:pt>
            </c:numLit>
          </c:yVal>
          <c:smooth val="1"/>
          <c:extLst>
            <c:ext xmlns:c16="http://schemas.microsoft.com/office/drawing/2014/chart" uri="{C3380CC4-5D6E-409C-BE32-E72D297353CC}">
              <c16:uniqueId val="{00000041-7B2B-494A-A068-C36D8922E342}"/>
            </c:ext>
          </c:extLst>
        </c:ser>
        <c:ser>
          <c:idx val="47"/>
          <c:order val="47"/>
          <c:tx>
            <c:v>RH=100_Label1</c:v>
          </c:tx>
          <c:spPr>
            <a:ln w="3175">
              <a:solidFill>
                <a:srgbClr val="0000FF"/>
              </a:solidFill>
              <a:prstDash val="solid"/>
            </a:ln>
          </c:spPr>
          <c:marker>
            <c:symbol val="none"/>
          </c:marker>
          <c:dLbls>
            <c:dLbl>
              <c:idx val="0"/>
              <c:tx>
                <c:rich>
                  <a:bodyPr rot="-22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100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2-7B2B-494A-A068-C36D8922E34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10.916109197854718</c:v>
              </c:pt>
            </c:numLit>
          </c:xVal>
          <c:yVal>
            <c:numLit>
              <c:formatCode>General</c:formatCode>
              <c:ptCount val="1"/>
              <c:pt idx="0">
                <c:v>8.4880589687444351E-3</c:v>
              </c:pt>
            </c:numLit>
          </c:yVal>
          <c:smooth val="0"/>
          <c:extLst>
            <c:ext xmlns:c16="http://schemas.microsoft.com/office/drawing/2014/chart" uri="{C3380CC4-5D6E-409C-BE32-E72D297353CC}">
              <c16:uniqueId val="{00000043-7B2B-494A-A068-C36D8922E342}"/>
            </c:ext>
          </c:extLst>
        </c:ser>
        <c:ser>
          <c:idx val="48"/>
          <c:order val="48"/>
          <c:tx>
            <c:v>RH=100_2</c:v>
          </c:tx>
          <c:spPr>
            <a:ln w="3175">
              <a:solidFill>
                <a:srgbClr val="0000FF"/>
              </a:solidFill>
              <a:prstDash val="solid"/>
            </a:ln>
          </c:spPr>
          <c:marker>
            <c:symbol val="none"/>
          </c:marker>
          <c:xVal>
            <c:numLit>
              <c:formatCode>General</c:formatCode>
              <c:ptCount val="13"/>
              <c:pt idx="0">
                <c:v>11.306148161457124</c:v>
              </c:pt>
              <c:pt idx="1">
                <c:v>12.281041279910601</c:v>
              </c:pt>
              <c:pt idx="2">
                <c:v>13.255696426782698</c:v>
              </c:pt>
              <c:pt idx="3">
                <c:v>14.23018774206972</c:v>
              </c:pt>
              <c:pt idx="4">
                <c:v>15.204597871348779</c:v>
              </c:pt>
              <c:pt idx="5">
                <c:v>16.179018572095902</c:v>
              </c:pt>
              <c:pt idx="6">
                <c:v>17.153551357611043</c:v>
              </c:pt>
              <c:pt idx="7">
                <c:v>18.128308181438197</c:v>
              </c:pt>
              <c:pt idx="8">
                <c:v>19.103412165477447</c:v>
              </c:pt>
              <c:pt idx="9">
                <c:v>20.078998375331533</c:v>
              </c:pt>
              <c:pt idx="10">
                <c:v>21.055214646816154</c:v>
              </c:pt>
              <c:pt idx="11">
                <c:v>22.032222467998068</c:v>
              </c:pt>
              <c:pt idx="12">
                <c:v>22.980842787419583</c:v>
              </c:pt>
            </c:numLit>
          </c:xVal>
          <c:yVal>
            <c:numLit>
              <c:formatCode>General</c:formatCode>
              <c:ptCount val="13"/>
              <c:pt idx="0">
                <c:v>8.7186984612775478E-3</c:v>
              </c:pt>
              <c:pt idx="1">
                <c:v>9.3200472156966009E-3</c:v>
              </c:pt>
              <c:pt idx="2">
                <c:v>9.9582974908895144E-3</c:v>
              </c:pt>
              <c:pt idx="3">
                <c:v>1.0635461977505508E-2</c:v>
              </c:pt>
              <c:pt idx="4">
                <c:v>1.1353654611274092E-2</c:v>
              </c:pt>
              <c:pt idx="5">
                <c:v>1.2115095962728417E-2</c:v>
              </c:pt>
              <c:pt idx="6">
                <c:v>1.2922119000939997E-2</c:v>
              </c:pt>
              <c:pt idx="7">
                <c:v>1.377717526523955E-2</c:v>
              </c:pt>
              <c:pt idx="8">
                <c:v>1.46828414823855E-2</c:v>
              </c:pt>
              <c:pt idx="9">
                <c:v>1.5641826670521098E-2</c:v>
              </c:pt>
              <c:pt idx="10">
                <c:v>1.665697977558259E-2</c:v>
              </c:pt>
              <c:pt idx="11">
                <c:v>1.7731297890637539E-2</c:v>
              </c:pt>
              <c:pt idx="12">
                <c:v>1.8832897951509976E-2</c:v>
              </c:pt>
            </c:numLit>
          </c:yVal>
          <c:smooth val="1"/>
          <c:extLst>
            <c:ext xmlns:c16="http://schemas.microsoft.com/office/drawing/2014/chart" uri="{C3380CC4-5D6E-409C-BE32-E72D297353CC}">
              <c16:uniqueId val="{00000044-7B2B-494A-A068-C36D8922E342}"/>
            </c:ext>
          </c:extLst>
        </c:ser>
        <c:ser>
          <c:idx val="49"/>
          <c:order val="49"/>
          <c:tx>
            <c:v>RH=100_Label2</c:v>
          </c:tx>
          <c:spPr>
            <a:ln w="3175">
              <a:solidFill>
                <a:srgbClr val="0000FF"/>
              </a:solidFill>
              <a:prstDash val="solid"/>
            </a:ln>
          </c:spPr>
          <c:marker>
            <c:symbol val="none"/>
          </c:marker>
          <c:dLbls>
            <c:dLbl>
              <c:idx val="0"/>
              <c:tx>
                <c:rich>
                  <a:bodyPr rot="-34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100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5-7B2B-494A-A068-C36D8922E34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23.274441676340576</c:v>
              </c:pt>
            </c:numLit>
          </c:xVal>
          <c:yVal>
            <c:numLit>
              <c:formatCode>General</c:formatCode>
              <c:ptCount val="1"/>
              <c:pt idx="0">
                <c:v>1.9185938466822944E-2</c:v>
              </c:pt>
            </c:numLit>
          </c:yVal>
          <c:smooth val="0"/>
          <c:extLst>
            <c:ext xmlns:c16="http://schemas.microsoft.com/office/drawing/2014/chart" uri="{C3380CC4-5D6E-409C-BE32-E72D297353CC}">
              <c16:uniqueId val="{00000046-7B2B-494A-A068-C36D8922E342}"/>
            </c:ext>
          </c:extLst>
        </c:ser>
        <c:ser>
          <c:idx val="50"/>
          <c:order val="50"/>
          <c:tx>
            <c:v>RH=100_3</c:v>
          </c:tx>
          <c:spPr>
            <a:ln w="3175">
              <a:solidFill>
                <a:srgbClr val="0000FF"/>
              </a:solidFill>
              <a:prstDash val="solid"/>
            </a:ln>
          </c:spPr>
          <c:marker>
            <c:symbol val="none"/>
          </c:marker>
          <c:xVal>
            <c:numLit>
              <c:formatCode>General</c:formatCode>
              <c:ptCount val="15"/>
              <c:pt idx="0">
                <c:v>23.568149699182413</c:v>
              </c:pt>
              <c:pt idx="1">
                <c:v>24.548027900099004</c:v>
              </c:pt>
              <c:pt idx="2">
                <c:v>25.529389944809026</c:v>
              </c:pt>
              <c:pt idx="3">
                <c:v>26.512482514651783</c:v>
              </c:pt>
              <c:pt idx="4">
                <c:v>27.497562490796636</c:v>
              </c:pt>
              <c:pt idx="5">
                <c:v>28.484908011306281</c:v>
              </c:pt>
              <c:pt idx="6">
                <c:v>29.474819980120685</c:v>
              </c:pt>
              <c:pt idx="7">
                <c:v>30.467623697062518</c:v>
              </c:pt>
              <c:pt idx="8">
                <c:v>31.463670621458721</c:v>
              </c:pt>
              <c:pt idx="9">
                <c:v>32.463340283532261</c:v>
              </c:pt>
              <c:pt idx="10">
                <c:v>33.467042359491842</c:v>
              </c:pt>
              <c:pt idx="11">
                <c:v>34.475218928270039</c:v>
              </c:pt>
              <c:pt idx="12">
                <c:v>35.488346930168582</c:v>
              </c:pt>
              <c:pt idx="13">
                <c:v>36.506940850312191</c:v>
              </c:pt>
              <c:pt idx="14">
                <c:v>32.643696673944994</c:v>
              </c:pt>
            </c:numLit>
          </c:xVal>
          <c:yVal>
            <c:numLit>
              <c:formatCode>General</c:formatCode>
              <c:ptCount val="15"/>
              <c:pt idx="0">
                <c:v>1.9544968716094731E-2</c:v>
              </c:pt>
              <c:pt idx="1">
                <c:v>2.078642319572007E-2</c:v>
              </c:pt>
              <c:pt idx="2">
                <c:v>2.2099351809162063E-2</c:v>
              </c:pt>
              <c:pt idx="3">
                <c:v>2.3487353058385261E-2</c:v>
              </c:pt>
              <c:pt idx="4">
                <c:v>2.4954438152261969E-2</c:v>
              </c:pt>
              <c:pt idx="5">
                <c:v>2.6504840036747992E-2</c:v>
              </c:pt>
              <c:pt idx="6">
                <c:v>2.8143028389042056E-2</c:v>
              </c:pt>
              <c:pt idx="7">
                <c:v>2.9873725935853069E-2</c:v>
              </c:pt>
              <c:pt idx="8">
                <c:v>3.1701926236084019E-2</c:v>
              </c:pt>
              <c:pt idx="9">
                <c:v>3.3632913085147265E-2</c:v>
              </c:pt>
              <c:pt idx="10">
                <c:v>3.567228171735233E-2</c:v>
              </c:pt>
              <c:pt idx="11">
                <c:v>3.7825962004710931E-2</c:v>
              </c:pt>
              <c:pt idx="12">
                <c:v>4.0100243875520566E-2</c:v>
              </c:pt>
              <c:pt idx="13">
                <c:v>4.2501805204693884E-2</c:v>
              </c:pt>
              <c:pt idx="14">
                <c:v>3.4000000000000002E-2</c:v>
              </c:pt>
            </c:numLit>
          </c:yVal>
          <c:smooth val="1"/>
          <c:extLst>
            <c:ext xmlns:c16="http://schemas.microsoft.com/office/drawing/2014/chart" uri="{C3380CC4-5D6E-409C-BE32-E72D297353CC}">
              <c16:uniqueId val="{00000047-7B2B-494A-A068-C36D8922E342}"/>
            </c:ext>
          </c:extLst>
        </c:ser>
        <c:ser>
          <c:idx val="51"/>
          <c:order val="51"/>
          <c:tx>
            <c:v>RH=5_1</c:v>
          </c:tx>
          <c:spPr>
            <a:ln w="3175">
              <a:solidFill>
                <a:srgbClr val="0000FF"/>
              </a:solidFill>
              <a:prstDash val="solid"/>
            </a:ln>
          </c:spPr>
          <c:marker>
            <c:symbol val="none"/>
          </c:marker>
          <c:xVal>
            <c:numLit>
              <c:formatCode>General</c:formatCode>
              <c:ptCount val="44"/>
              <c:pt idx="0">
                <c:v>4.9776233903200948</c:v>
              </c:pt>
              <c:pt idx="1">
                <c:v>5.9765461124062504</c:v>
              </c:pt>
              <c:pt idx="2">
                <c:v>6.9754433265574693</c:v>
              </c:pt>
              <c:pt idx="3">
                <c:v>7.9743167161359203</c:v>
              </c:pt>
              <c:pt idx="4">
                <c:v>8.9731682332912257</c:v>
              </c:pt>
              <c:pt idx="5">
                <c:v>9.9720001185570162</c:v>
              </c:pt>
              <c:pt idx="6">
                <c:v>10.970814339524935</c:v>
              </c:pt>
              <c:pt idx="7">
                <c:v>11.969614309804435</c:v>
              </c:pt>
              <c:pt idx="8">
                <c:v>12.96840326099748</c:v>
              </c:pt>
              <c:pt idx="9">
                <c:v>13.967184800874087</c:v>
              </c:pt>
              <c:pt idx="10">
                <c:v>14.965962937671193</c:v>
              </c:pt>
              <c:pt idx="11">
                <c:v>15.96474210539113</c:v>
              </c:pt>
              <c:pt idx="12">
                <c:v>16.963527190121308</c:v>
              </c:pt>
              <c:pt idx="13">
                <c:v>17.962323557396687</c:v>
              </c:pt>
              <c:pt idx="14">
                <c:v>18.96113708062671</c:v>
              </c:pt>
              <c:pt idx="15">
                <c:v>19.959974170608504</c:v>
              </c:pt>
              <c:pt idx="16">
                <c:v>20.958841806148165</c:v>
              </c:pt>
              <c:pt idx="17">
                <c:v>21.957747565812291</c:v>
              </c:pt>
              <c:pt idx="18">
                <c:v>22.956699660831834</c:v>
              </c:pt>
              <c:pt idx="19">
                <c:v>23.955706969180849</c:v>
              </c:pt>
              <c:pt idx="20">
                <c:v>24.954779070852826</c:v>
              </c:pt>
              <c:pt idx="21">
                <c:v>25.953925365223707</c:v>
              </c:pt>
              <c:pt idx="22">
                <c:v>26.953157835456782</c:v>
              </c:pt>
              <c:pt idx="23">
                <c:v>27.952488397435463</c:v>
              </c:pt>
              <c:pt idx="24">
                <c:v>28.951929823629314</c:v>
              </c:pt>
              <c:pt idx="25">
                <c:v>29.951495784802255</c:v>
              </c:pt>
              <c:pt idx="26">
                <c:v>30.951200893068666</c:v>
              </c:pt>
              <c:pt idx="27">
                <c:v>31.951060746323797</c:v>
              </c:pt>
              <c:pt idx="28">
                <c:v>32.951091974075759</c:v>
              </c:pt>
              <c:pt idx="29">
                <c:v>33.9513122847072</c:v>
              </c:pt>
              <c:pt idx="30">
                <c:v>34.951740514195947</c:v>
              </c:pt>
              <c:pt idx="31">
                <c:v>35.952396676324661</c:v>
              </c:pt>
              <c:pt idx="32">
                <c:v>36.9533020144112</c:v>
              </c:pt>
              <c:pt idx="33">
                <c:v>37.954479054592419</c:v>
              </c:pt>
              <c:pt idx="34">
                <c:v>38.955951660695632</c:v>
              </c:pt>
              <c:pt idx="35">
                <c:v>39.957745090733781</c:v>
              </c:pt>
              <c:pt idx="36">
                <c:v>40.959885654307307</c:v>
              </c:pt>
              <c:pt idx="37">
                <c:v>41.962402024883296</c:v>
              </c:pt>
              <c:pt idx="38">
                <c:v>42.965324010989782</c:v>
              </c:pt>
              <c:pt idx="39">
                <c:v>43.968683059608644</c:v>
              </c:pt>
              <c:pt idx="40">
                <c:v>44.972512321482363</c:v>
              </c:pt>
              <c:pt idx="41">
                <c:v>45.976846718306781</c:v>
              </c:pt>
              <c:pt idx="42">
                <c:v>46.981723011861952</c:v>
              </c:pt>
              <c:pt idx="43">
                <c:v>47.182766666949178</c:v>
              </c:pt>
            </c:numLit>
          </c:xVal>
          <c:yVal>
            <c:numLit>
              <c:formatCode>General</c:formatCode>
              <c:ptCount val="44"/>
              <c:pt idx="0">
                <c:v>2.6894706496995591E-4</c:v>
              </c:pt>
              <c:pt idx="1">
                <c:v>2.883016974500513E-4</c:v>
              </c:pt>
              <c:pt idx="2">
                <c:v>3.0887738788679987E-4</c:v>
              </c:pt>
              <c:pt idx="3">
                <c:v>3.3073967700030329E-4</c:v>
              </c:pt>
              <c:pt idx="4">
                <c:v>3.539569539605077E-4</c:v>
              </c:pt>
              <c:pt idx="5">
                <c:v>3.7860054746830814E-4</c:v>
              </c:pt>
              <c:pt idx="6">
                <c:v>4.0475288720587759E-4</c:v>
              </c:pt>
              <c:pt idx="7">
                <c:v>4.324844982560534E-4</c:v>
              </c:pt>
              <c:pt idx="8">
                <c:v>4.6187619059190967E-4</c:v>
              </c:pt>
              <c:pt idx="9">
                <c:v>4.930121015631261E-4</c:v>
              </c:pt>
              <c:pt idx="10">
                <c:v>5.2597979574161853E-4</c:v>
              </c:pt>
              <c:pt idx="11">
                <c:v>5.6087036648519981E-4</c:v>
              </c:pt>
              <c:pt idx="12">
                <c:v>5.9777853923045476E-4</c:v>
              </c:pt>
              <c:pt idx="13">
                <c:v>6.3680277652780669E-4</c:v>
              </c:pt>
              <c:pt idx="14">
                <c:v>6.780453848340256E-4</c:v>
              </c:pt>
              <c:pt idx="15">
                <c:v>7.2161262307971201E-4</c:v>
              </c:pt>
              <c:pt idx="16">
                <c:v>7.6761481303197878E-4</c:v>
              </c:pt>
              <c:pt idx="17">
                <c:v>8.1616645147532241E-4</c:v>
              </c:pt>
              <c:pt idx="18">
                <c:v>8.6738632423690452E-4</c:v>
              </c:pt>
              <c:pt idx="19">
                <c:v>9.2139762208571683E-4</c:v>
              </c:pt>
              <c:pt idx="20">
                <c:v>9.783280585388284E-4</c:v>
              </c:pt>
              <c:pt idx="21">
                <c:v>1.0383307030678828E-3</c:v>
              </c:pt>
              <c:pt idx="22">
                <c:v>1.1015244864534207E-3</c:v>
              </c:pt>
              <c:pt idx="23">
                <c:v>1.1680516173001498E-3</c:v>
              </c:pt>
              <c:pt idx="24">
                <c:v>1.2380593299771872E-3</c:v>
              </c:pt>
              <c:pt idx="25">
                <c:v>1.3117000131433135E-3</c:v>
              </c:pt>
              <c:pt idx="26">
                <c:v>1.3891313404901472E-3</c:v>
              </c:pt>
              <c:pt idx="27">
                <c:v>1.4705164037711607E-3</c:v>
              </c:pt>
              <c:pt idx="28">
                <c:v>1.5560238481906713E-3</c:v>
              </c:pt>
              <c:pt idx="29">
                <c:v>1.6458280102336351E-3</c:v>
              </c:pt>
              <c:pt idx="30">
                <c:v>1.7401090580242489E-3</c:v>
              </c:pt>
              <c:pt idx="31">
                <c:v>1.8390531343085432E-3</c:v>
              </c:pt>
              <c:pt idx="32">
                <c:v>1.9428525021642465E-3</c:v>
              </c:pt>
              <c:pt idx="33">
                <c:v>2.0517056935495715E-3</c:v>
              </c:pt>
              <c:pt idx="34">
                <c:v>2.1658176608111267E-3</c:v>
              </c:pt>
              <c:pt idx="35">
                <c:v>2.2853999312806269E-3</c:v>
              </c:pt>
              <c:pt idx="36">
                <c:v>2.4106948486765866E-3</c:v>
              </c:pt>
              <c:pt idx="37">
                <c:v>2.5419061134005754E-3</c:v>
              </c:pt>
              <c:pt idx="38">
                <c:v>2.6792661247527954E-3</c:v>
              </c:pt>
              <c:pt idx="39">
                <c:v>2.8230145191489361E-3</c:v>
              </c:pt>
              <c:pt idx="40">
                <c:v>2.9733983428754376E-3</c:v>
              </c:pt>
              <c:pt idx="41">
                <c:v>3.1306722289495314E-3</c:v>
              </c:pt>
              <c:pt idx="42">
                <c:v>3.295098578294037E-3</c:v>
              </c:pt>
              <c:pt idx="43">
                <c:v>3.3288657928423463E-3</c:v>
              </c:pt>
            </c:numLit>
          </c:yVal>
          <c:smooth val="1"/>
          <c:extLst>
            <c:ext xmlns:c16="http://schemas.microsoft.com/office/drawing/2014/chart" uri="{C3380CC4-5D6E-409C-BE32-E72D297353CC}">
              <c16:uniqueId val="{00000048-7B2B-494A-A068-C36D8922E342}"/>
            </c:ext>
          </c:extLst>
        </c:ser>
        <c:ser>
          <c:idx val="52"/>
          <c:order val="52"/>
          <c:tx>
            <c:v>RH=5_Label</c:v>
          </c:tx>
          <c:spPr>
            <a:ln w="3175">
              <a:solidFill>
                <a:srgbClr val="0000FF"/>
              </a:solidFill>
              <a:prstDash val="solid"/>
            </a:ln>
          </c:spPr>
          <c:marker>
            <c:symbol val="none"/>
          </c:marker>
          <c:dLbls>
            <c:dLbl>
              <c:idx val="0"/>
              <c:tx>
                <c:rich>
                  <a:bodyPr rot="-78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9-7B2B-494A-A068-C36D8922E34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47.484376378579221</c:v>
              </c:pt>
            </c:numLit>
          </c:xVal>
          <c:yVal>
            <c:numLit>
              <c:formatCode>General</c:formatCode>
              <c:ptCount val="1"/>
              <c:pt idx="0">
                <c:v>3.3800780966238612E-3</c:v>
              </c:pt>
            </c:numLit>
          </c:yVal>
          <c:smooth val="0"/>
          <c:extLst>
            <c:ext xmlns:c16="http://schemas.microsoft.com/office/drawing/2014/chart" uri="{C3380CC4-5D6E-409C-BE32-E72D297353CC}">
              <c16:uniqueId val="{0000004A-7B2B-494A-A068-C36D8922E342}"/>
            </c:ext>
          </c:extLst>
        </c:ser>
        <c:ser>
          <c:idx val="53"/>
          <c:order val="53"/>
          <c:tx>
            <c:v>RH=5_2</c:v>
          </c:tx>
          <c:spPr>
            <a:ln w="3175">
              <a:solidFill>
                <a:srgbClr val="0000FF"/>
              </a:solidFill>
              <a:prstDash val="solid"/>
            </a:ln>
          </c:spPr>
          <c:marker>
            <c:symbol val="none"/>
          </c:marker>
          <c:xVal>
            <c:numLit>
              <c:formatCode>General</c:formatCode>
              <c:ptCount val="4"/>
              <c:pt idx="0">
                <c:v>47.78604013452582</c:v>
              </c:pt>
              <c:pt idx="1">
                <c:v>48.791990629120036</c:v>
              </c:pt>
              <c:pt idx="2">
                <c:v>49.798596355979541</c:v>
              </c:pt>
              <c:pt idx="3">
                <c:v>50.000000000000007</c:v>
              </c:pt>
            </c:numLit>
          </c:xVal>
          <c:yVal>
            <c:numLit>
              <c:formatCode>General</c:formatCode>
              <c:ptCount val="4"/>
              <c:pt idx="0">
                <c:v>3.4319708374959527E-3</c:v>
              </c:pt>
              <c:pt idx="1">
                <c:v>3.6099583804882654E-3</c:v>
              </c:pt>
              <c:pt idx="2">
                <c:v>3.7958760338435635E-3</c:v>
              </c:pt>
              <c:pt idx="3">
                <c:v>3.8340368674482672E-3</c:v>
              </c:pt>
            </c:numLit>
          </c:yVal>
          <c:smooth val="1"/>
          <c:extLst>
            <c:ext xmlns:c16="http://schemas.microsoft.com/office/drawing/2014/chart" uri="{C3380CC4-5D6E-409C-BE32-E72D297353CC}">
              <c16:uniqueId val="{0000004B-7B2B-494A-A068-C36D8922E342}"/>
            </c:ext>
          </c:extLst>
        </c:ser>
        <c:ser>
          <c:idx val="54"/>
          <c:order val="54"/>
          <c:tx>
            <c:v>RH=15_1</c:v>
          </c:tx>
          <c:spPr>
            <a:ln w="3175">
              <a:solidFill>
                <a:srgbClr val="0000FF"/>
              </a:solidFill>
              <a:prstDash val="solid"/>
            </a:ln>
          </c:spPr>
          <c:marker>
            <c:symbol val="none"/>
          </c:marker>
          <c:xVal>
            <c:numLit>
              <c:formatCode>General</c:formatCode>
              <c:ptCount val="43"/>
              <c:pt idx="0">
                <c:v>4.9328120662058037</c:v>
              </c:pt>
              <c:pt idx="1">
                <c:v>5.9295730482714228</c:v>
              </c:pt>
              <c:pt idx="2">
                <c:v>6.9262567373612773</c:v>
              </c:pt>
              <c:pt idx="3">
                <c:v>7.9228681182020555</c:v>
              </c:pt>
              <c:pt idx="4">
                <c:v>8.9194129788004801</c:v>
              </c:pt>
              <c:pt idx="5">
                <c:v>9.9158979695017493</c:v>
              </c:pt>
              <c:pt idx="6">
                <c:v>10.912328914825977</c:v>
              </c:pt>
              <c:pt idx="7">
                <c:v>11.908715983459764</c:v>
              </c:pt>
              <c:pt idx="8">
                <c:v>12.905068793043446</c:v>
              </c:pt>
              <c:pt idx="9">
                <c:v>13.901398089122475</c:v>
              </c:pt>
              <c:pt idx="10">
                <c:v>14.897715818985999</c:v>
              </c:pt>
              <c:pt idx="11">
                <c:v>15.894035208705857</c:v>
              </c:pt>
              <c:pt idx="12">
                <c:v>16.890370843469007</c:v>
              </c:pt>
              <c:pt idx="13">
                <c:v>17.886738751299848</c:v>
              </c:pt>
              <c:pt idx="14">
                <c:v>18.883156490272302</c:v>
              </c:pt>
              <c:pt idx="15">
                <c:v>19.879643239315833</c:v>
              </c:pt>
              <c:pt idx="16">
                <c:v>20.876219892723721</c:v>
              </c:pt>
              <c:pt idx="17">
                <c:v>21.872909158476965</c:v>
              </c:pt>
              <c:pt idx="18">
                <c:v>22.86973566050245</c:v>
              </c:pt>
              <c:pt idx="19">
                <c:v>23.866726044989953</c:v>
              </c:pt>
              <c:pt idx="20">
                <c:v>24.863909090898993</c:v>
              </c:pt>
              <c:pt idx="21">
                <c:v>25.861313048886803</c:v>
              </c:pt>
              <c:pt idx="22">
                <c:v>26.858973993203644</c:v>
              </c:pt>
              <c:pt idx="23">
                <c:v>27.856927825559083</c:v>
              </c:pt>
              <c:pt idx="24">
                <c:v>28.855213070331221</c:v>
              </c:pt>
              <c:pt idx="25">
                <c:v>29.853871008543511</c:v>
              </c:pt>
              <c:pt idx="26">
                <c:v>30.852945817009974</c:v>
              </c:pt>
              <c:pt idx="27">
                <c:v>31.852484712846547</c:v>
              </c:pt>
              <c:pt idx="28">
                <c:v>32.852538103559269</c:v>
              </c:pt>
              <c:pt idx="29">
                <c:v>33.853159742934409</c:v>
              </c:pt>
              <c:pt idx="30">
                <c:v>34.854406892971049</c:v>
              </c:pt>
              <c:pt idx="31">
                <c:v>35.856340492113461</c:v>
              </c:pt>
              <c:pt idx="32">
                <c:v>36.859025330058785</c:v>
              </c:pt>
              <c:pt idx="33">
                <c:v>37.86253022943545</c:v>
              </c:pt>
              <c:pt idx="34">
                <c:v>38.866928234668933</c:v>
              </c:pt>
              <c:pt idx="35">
                <c:v>39.872296808374962</c:v>
              </c:pt>
              <c:pt idx="36">
                <c:v>40.878716814523401</c:v>
              </c:pt>
              <c:pt idx="37">
                <c:v>41.886276545260401</c:v>
              </c:pt>
              <c:pt idx="38">
                <c:v>42.895068014466354</c:v>
              </c:pt>
              <c:pt idx="39">
                <c:v>43.90518852682635</c:v>
              </c:pt>
              <c:pt idx="40">
                <c:v>44.916740918221194</c:v>
              </c:pt>
              <c:pt idx="41">
                <c:v>45.929833806311073</c:v>
              </c:pt>
              <c:pt idx="42">
                <c:v>46.447141040472602</c:v>
              </c:pt>
            </c:numLit>
          </c:xVal>
          <c:yVal>
            <c:numLit>
              <c:formatCode>General</c:formatCode>
              <c:ptCount val="43"/>
              <c:pt idx="0">
                <c:v>8.0753956268771263E-4</c:v>
              </c:pt>
              <c:pt idx="1">
                <c:v>8.6570764221589327E-4</c:v>
              </c:pt>
              <c:pt idx="2">
                <c:v>9.2755341603594442E-4</c:v>
              </c:pt>
              <c:pt idx="3">
                <c:v>9.9327538516040146E-4</c:v>
              </c:pt>
              <c:pt idx="4">
                <c:v>1.0630808199149999E-3</c:v>
              </c:pt>
              <c:pt idx="5">
                <c:v>1.137186057543544E-3</c:v>
              </c:pt>
              <c:pt idx="6">
                <c:v>1.2158410764414958E-3</c:v>
              </c:pt>
              <c:pt idx="7">
                <c:v>1.2992603372874558E-3</c:v>
              </c:pt>
              <c:pt idx="8">
                <c:v>1.3876895408063471E-3</c:v>
              </c:pt>
              <c:pt idx="9">
                <c:v>1.4813847422758377E-3</c:v>
              </c:pt>
              <c:pt idx="10">
                <c:v>1.5806126897094368E-3</c:v>
              </c:pt>
              <c:pt idx="11">
                <c:v>1.6856511708081745E-3</c:v>
              </c:pt>
              <c:pt idx="12">
                <c:v>1.7967893690155705E-3</c:v>
              </c:pt>
              <c:pt idx="13">
                <c:v>1.9143282290381843E-3</c:v>
              </c:pt>
              <c:pt idx="14">
                <c:v>2.0385808322245149E-3</c:v>
              </c:pt>
              <c:pt idx="15">
                <c:v>2.1698727822271171E-3</c:v>
              </c:pt>
              <c:pt idx="16">
                <c:v>2.3085426014077663E-3</c:v>
              </c:pt>
              <c:pt idx="17">
                <c:v>2.4549421384825049E-3</c:v>
              </c:pt>
              <c:pt idx="18">
                <c:v>2.6094369879436801E-3</c:v>
              </c:pt>
              <c:pt idx="19">
                <c:v>2.7724069218384747E-3</c:v>
              </c:pt>
              <c:pt idx="20">
                <c:v>2.9442463345293766E-3</c:v>
              </c:pt>
              <c:pt idx="21">
                <c:v>3.1254272585097861E-3</c:v>
              </c:pt>
              <c:pt idx="22">
                <c:v>3.3163198419152674E-3</c:v>
              </c:pt>
              <c:pt idx="23">
                <c:v>3.517365774378339E-3</c:v>
              </c:pt>
              <c:pt idx="24">
                <c:v>3.729023329410901E-3</c:v>
              </c:pt>
              <c:pt idx="25">
                <c:v>3.9517678872373575E-3</c:v>
              </c:pt>
              <c:pt idx="26">
                <c:v>4.1860924756074117E-3</c:v>
              </c:pt>
              <c:pt idx="27">
                <c:v>4.4325083296407235E-3</c:v>
              </c:pt>
              <c:pt idx="28">
                <c:v>4.6915454718334821E-3</c:v>
              </c:pt>
              <c:pt idx="29">
                <c:v>4.9637533134403835E-3</c:v>
              </c:pt>
              <c:pt idx="30">
                <c:v>5.2497012785349493E-3</c:v>
              </c:pt>
              <c:pt idx="31">
                <c:v>5.5499794521452683E-3</c:v>
              </c:pt>
              <c:pt idx="32">
                <c:v>5.8651992539645445E-3</c:v>
              </c:pt>
              <c:pt idx="33">
                <c:v>6.1959941392444491E-3</c:v>
              </c:pt>
              <c:pt idx="34">
                <c:v>6.5430203285947253E-3</c:v>
              </c:pt>
              <c:pt idx="35">
                <c:v>6.906957568537187E-3</c:v>
              </c:pt>
              <c:pt idx="36">
                <c:v>7.2885833088089363E-3</c:v>
              </c:pt>
              <c:pt idx="37">
                <c:v>7.6885615233894828E-3</c:v>
              </c:pt>
              <c:pt idx="38">
                <c:v>8.1076480373922614E-3</c:v>
              </c:pt>
              <c:pt idx="39">
                <c:v>8.5466256283771892E-3</c:v>
              </c:pt>
              <c:pt idx="40">
                <c:v>9.0063049752121399E-3</c:v>
              </c:pt>
              <c:pt idx="41">
                <c:v>9.487525652025099E-3</c:v>
              </c:pt>
              <c:pt idx="42">
                <c:v>9.7415215954277639E-3</c:v>
              </c:pt>
            </c:numLit>
          </c:yVal>
          <c:smooth val="1"/>
          <c:extLst>
            <c:ext xmlns:c16="http://schemas.microsoft.com/office/drawing/2014/chart" uri="{C3380CC4-5D6E-409C-BE32-E72D297353CC}">
              <c16:uniqueId val="{0000004C-7B2B-494A-A068-C36D8922E342}"/>
            </c:ext>
          </c:extLst>
        </c:ser>
        <c:ser>
          <c:idx val="55"/>
          <c:order val="55"/>
          <c:tx>
            <c:v>RH=15_Label</c:v>
          </c:tx>
          <c:spPr>
            <a:ln w="3175">
              <a:solidFill>
                <a:srgbClr val="0000FF"/>
              </a:solidFill>
              <a:prstDash val="solid"/>
            </a:ln>
          </c:spPr>
          <c:marker>
            <c:symbol val="none"/>
          </c:marker>
          <c:dLbls>
            <c:dLbl>
              <c:idx val="0"/>
              <c:tx>
                <c:rich>
                  <a:bodyPr rot="-204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15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D-7B2B-494A-A068-C36D8922E34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46.751646831740644</c:v>
              </c:pt>
            </c:numLit>
          </c:xVal>
          <c:yVal>
            <c:numLit>
              <c:formatCode>General</c:formatCode>
              <c:ptCount val="1"/>
              <c:pt idx="0">
                <c:v>9.8937012958702358E-3</c:v>
              </c:pt>
            </c:numLit>
          </c:yVal>
          <c:smooth val="0"/>
          <c:extLst>
            <c:ext xmlns:c16="http://schemas.microsoft.com/office/drawing/2014/chart" uri="{C3380CC4-5D6E-409C-BE32-E72D297353CC}">
              <c16:uniqueId val="{0000004E-7B2B-494A-A068-C36D8922E342}"/>
            </c:ext>
          </c:extLst>
        </c:ser>
        <c:ser>
          <c:idx val="56"/>
          <c:order val="56"/>
          <c:tx>
            <c:v>RH=15_2</c:v>
          </c:tx>
          <c:spPr>
            <a:ln w="3175">
              <a:solidFill>
                <a:srgbClr val="0000FF"/>
              </a:solidFill>
              <a:prstDash val="solid"/>
            </a:ln>
          </c:spPr>
          <c:marker>
            <c:symbol val="none"/>
          </c:marker>
          <c:xVal>
            <c:numLit>
              <c:formatCode>General</c:formatCode>
              <c:ptCount val="4"/>
              <c:pt idx="0">
                <c:v>47.056310316800555</c:v>
              </c:pt>
              <c:pt idx="1">
                <c:v>48.073037537462</c:v>
              </c:pt>
              <c:pt idx="2">
                <c:v>49.091682918519822</c:v>
              </c:pt>
              <c:pt idx="3">
                <c:v>50</c:v>
              </c:pt>
            </c:numLit>
          </c:xVal>
          <c:yVal>
            <c:numLit>
              <c:formatCode>General</c:formatCode>
              <c:ptCount val="4"/>
              <c:pt idx="0">
                <c:v>1.0047963183881549E-2</c:v>
              </c:pt>
              <c:pt idx="1">
                <c:v>1.0577526686358711E-2</c:v>
              </c:pt>
              <c:pt idx="2">
                <c:v>1.1131438908453318E-2</c:v>
              </c:pt>
              <c:pt idx="3">
                <c:v>1.1645684295829718E-2</c:v>
              </c:pt>
            </c:numLit>
          </c:yVal>
          <c:smooth val="1"/>
          <c:extLst>
            <c:ext xmlns:c16="http://schemas.microsoft.com/office/drawing/2014/chart" uri="{C3380CC4-5D6E-409C-BE32-E72D297353CC}">
              <c16:uniqueId val="{0000004F-7B2B-494A-A068-C36D8922E342}"/>
            </c:ext>
          </c:extLst>
        </c:ser>
        <c:ser>
          <c:idx val="57"/>
          <c:order val="57"/>
          <c:tx>
            <c:v>RH=25_1</c:v>
          </c:tx>
          <c:spPr>
            <a:ln w="3175">
              <a:solidFill>
                <a:srgbClr val="0000FF"/>
              </a:solidFill>
              <a:prstDash val="solid"/>
            </a:ln>
          </c:spPr>
          <c:marker>
            <c:symbol val="none"/>
          </c:marker>
          <c:xVal>
            <c:numLit>
              <c:formatCode>General</c:formatCode>
              <c:ptCount val="37"/>
              <c:pt idx="0">
                <c:v>4.8879231012968791</c:v>
              </c:pt>
              <c:pt idx="1">
                <c:v>5.8825127300794398</c:v>
              </c:pt>
              <c:pt idx="2">
                <c:v>6.8769722487850746</c:v>
              </c:pt>
              <c:pt idx="3">
                <c:v>7.8713098552420631</c:v>
              </c:pt>
              <c:pt idx="4">
                <c:v>8.8655350807734692</c:v>
              </c:pt>
              <c:pt idx="5">
                <c:v>9.8596588890554671</c:v>
              </c:pt>
              <c:pt idx="6">
                <c:v>10.853690855483984</c:v>
              </c:pt>
              <c:pt idx="7">
                <c:v>11.847647805735933</c:v>
              </c:pt>
              <c:pt idx="8">
                <c:v>12.841545638426375</c:v>
              </c:pt>
              <c:pt idx="9">
                <c:v>13.835402130731799</c:v>
              </c:pt>
              <c:pt idx="10">
                <c:v>14.829237063000017</c:v>
              </c:pt>
              <c:pt idx="11">
                <c:v>15.823072349030694</c:v>
              </c:pt>
              <c:pt idx="12">
                <c:v>16.816932172229965</c:v>
              </c:pt>
              <c:pt idx="13">
                <c:v>17.810843127853662</c:v>
              </c:pt>
              <c:pt idx="14">
                <c:v>18.804834371565729</c:v>
              </c:pt>
              <c:pt idx="15">
                <c:v>19.798937774551831</c:v>
              </c:pt>
              <c:pt idx="16">
                <c:v>20.793188085442747</c:v>
              </c:pt>
              <c:pt idx="17">
                <c:v>21.787623099318349</c:v>
              </c:pt>
              <c:pt idx="18">
                <c:v>22.782283834080481</c:v>
              </c:pt>
              <c:pt idx="19">
                <c:v>23.777214714502644</c:v>
              </c:pt>
              <c:pt idx="20">
                <c:v>24.772463764285462</c:v>
              </c:pt>
              <c:pt idx="21">
                <c:v>25.768078148805394</c:v>
              </c:pt>
              <c:pt idx="22">
                <c:v>26.764118193744252</c:v>
              </c:pt>
              <c:pt idx="23">
                <c:v>27.760643986089452</c:v>
              </c:pt>
              <c:pt idx="24">
                <c:v>28.757720072682208</c:v>
              </c:pt>
              <c:pt idx="25">
                <c:v>29.755415698625718</c:v>
              </c:pt>
              <c:pt idx="26">
                <c:v>30.753805056280719</c:v>
              </c:pt>
              <c:pt idx="27">
                <c:v>31.752967545395908</c:v>
              </c:pt>
              <c:pt idx="28">
                <c:v>32.752988044964312</c:v>
              </c:pt>
              <c:pt idx="29">
                <c:v>33.753957197444102</c:v>
              </c:pt>
              <c:pt idx="30">
                <c:v>34.755971706033954</c:v>
              </c:pt>
              <c:pt idx="31">
                <c:v>35.75913464574959</c:v>
              </c:pt>
              <c:pt idx="32">
                <c:v>36.763555789109603</c:v>
              </c:pt>
              <c:pt idx="33">
                <c:v>37.76935194730585</c:v>
              </c:pt>
              <c:pt idx="34">
                <c:v>38.776647327806749</c:v>
              </c:pt>
              <c:pt idx="35">
                <c:v>39.785573909421991</c:v>
              </c:pt>
              <c:pt idx="36">
                <c:v>40.502977025632909</c:v>
              </c:pt>
            </c:numLit>
          </c:xVal>
          <c:yVal>
            <c:numLit>
              <c:formatCode>General</c:formatCode>
              <c:ptCount val="37"/>
              <c:pt idx="0">
                <c:v>1.3470652341139875E-3</c:v>
              </c:pt>
              <c:pt idx="1">
                <c:v>1.444186138075305E-3</c:v>
              </c:pt>
              <c:pt idx="2">
                <c:v>1.5474608367368606E-3</c:v>
              </c:pt>
              <c:pt idx="3">
                <c:v>1.6572233183113699E-3</c:v>
              </c:pt>
              <c:pt idx="4">
                <c:v>1.7738225641475147E-3</c:v>
              </c:pt>
              <c:pt idx="5">
                <c:v>1.8976230861585969E-3</c:v>
              </c:pt>
              <c:pt idx="6">
                <c:v>2.0290460350580602E-3</c:v>
              </c:pt>
              <c:pt idx="7">
                <c:v>2.1684536987783059E-3</c:v>
              </c:pt>
              <c:pt idx="8">
                <c:v>2.3162610831599165E-3</c:v>
              </c:pt>
              <c:pt idx="9">
                <c:v>2.4729010824941617E-3</c:v>
              </c:pt>
              <c:pt idx="10">
                <c:v>2.6388251094006578E-3</c:v>
              </c:pt>
              <c:pt idx="11">
                <c:v>2.8145037456534252E-3</c:v>
              </c:pt>
              <c:pt idx="12">
                <c:v>3.0004274150644203E-3</c:v>
              </c:pt>
              <c:pt idx="13">
                <c:v>3.1971070796238963E-3</c:v>
              </c:pt>
              <c:pt idx="14">
                <c:v>3.4050749601955599E-3</c:v>
              </c:pt>
              <c:pt idx="15">
                <c:v>3.6248852831695564E-3</c:v>
              </c:pt>
              <c:pt idx="16">
                <c:v>3.8571150545902433E-3</c:v>
              </c:pt>
              <c:pt idx="17">
                <c:v>4.1023648633974888E-3</c:v>
              </c:pt>
              <c:pt idx="18">
                <c:v>4.361259715552286E-3</c:v>
              </c:pt>
              <c:pt idx="19">
                <c:v>4.6344499009583016E-3</c:v>
              </c:pt>
              <c:pt idx="20">
                <c:v>4.9226118952435081E-3</c:v>
              </c:pt>
              <c:pt idx="21">
                <c:v>5.2265542630326326E-3</c:v>
              </c:pt>
              <c:pt idx="22">
                <c:v>5.5469167155980728E-3</c:v>
              </c:pt>
              <c:pt idx="23">
                <c:v>5.8844611435486405E-3</c:v>
              </c:pt>
              <c:pt idx="24">
                <c:v>6.2399796948719773E-3</c:v>
              </c:pt>
              <c:pt idx="25">
                <c:v>6.6142958920034235E-3</c:v>
              </c:pt>
              <c:pt idx="26">
                <c:v>7.0082658002715171E-3</c:v>
              </c:pt>
              <c:pt idx="27">
                <c:v>7.4227792512461021E-3</c:v>
              </c:pt>
              <c:pt idx="28">
                <c:v>7.8587611247914815E-3</c:v>
              </c:pt>
              <c:pt idx="29">
                <c:v>8.3171726939259092E-3</c:v>
              </c:pt>
              <c:pt idx="30">
                <c:v>8.7990130369118413E-3</c:v>
              </c:pt>
              <c:pt idx="31">
                <c:v>9.3053205213483765E-3</c:v>
              </c:pt>
              <c:pt idx="32">
                <c:v>9.8371743654150946E-3</c:v>
              </c:pt>
              <c:pt idx="33">
                <c:v>1.0395696281824395E-2</c:v>
              </c:pt>
              <c:pt idx="34">
                <c:v>1.0982052210479678E-2</c:v>
              </c:pt>
              <c:pt idx="35">
                <c:v>1.1597454146316129E-2</c:v>
              </c:pt>
              <c:pt idx="36">
                <c:v>1.2052797678929153E-2</c:v>
              </c:pt>
            </c:numLit>
          </c:yVal>
          <c:smooth val="1"/>
          <c:extLst>
            <c:ext xmlns:c16="http://schemas.microsoft.com/office/drawing/2014/chart" uri="{C3380CC4-5D6E-409C-BE32-E72D297353CC}">
              <c16:uniqueId val="{00000050-7B2B-494A-A068-C36D8922E342}"/>
            </c:ext>
          </c:extLst>
        </c:ser>
        <c:ser>
          <c:idx val="58"/>
          <c:order val="58"/>
          <c:tx>
            <c:v>RH=25_Label</c:v>
          </c:tx>
          <c:spPr>
            <a:ln w="3175">
              <a:solidFill>
                <a:srgbClr val="0000FF"/>
              </a:solidFill>
              <a:prstDash val="solid"/>
            </a:ln>
          </c:spPr>
          <c:marker>
            <c:symbol val="none"/>
          </c:marker>
          <c:dLbls>
            <c:dLbl>
              <c:idx val="0"/>
              <c:tx>
                <c:rich>
                  <a:bodyPr rot="-246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25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1-7B2B-494A-A068-C36D8922E34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40.806386169423767</c:v>
              </c:pt>
            </c:numLit>
          </c:xVal>
          <c:yVal>
            <c:numLit>
              <c:formatCode>General</c:formatCode>
              <c:ptCount val="1"/>
              <c:pt idx="0">
                <c:v>1.2249902134970242E-2</c:v>
              </c:pt>
            </c:numLit>
          </c:yVal>
          <c:smooth val="0"/>
          <c:extLst>
            <c:ext xmlns:c16="http://schemas.microsoft.com/office/drawing/2014/chart" uri="{C3380CC4-5D6E-409C-BE32-E72D297353CC}">
              <c16:uniqueId val="{00000052-7B2B-494A-A068-C36D8922E342}"/>
            </c:ext>
          </c:extLst>
        </c:ser>
        <c:ser>
          <c:idx val="59"/>
          <c:order val="59"/>
          <c:tx>
            <c:v>RH=25_2</c:v>
          </c:tx>
          <c:spPr>
            <a:ln w="3175">
              <a:solidFill>
                <a:srgbClr val="0000FF"/>
              </a:solidFill>
              <a:prstDash val="solid"/>
            </a:ln>
          </c:spPr>
          <c:marker>
            <c:symbol val="none"/>
          </c:marker>
          <c:xVal>
            <c:numLit>
              <c:formatCode>General</c:formatCode>
              <c:ptCount val="10"/>
              <c:pt idx="0">
                <c:v>41.109968218308687</c:v>
              </c:pt>
              <c:pt idx="1">
                <c:v>42.123211303357891</c:v>
              </c:pt>
              <c:pt idx="2">
                <c:v>43.138583326693805</c:v>
              </c:pt>
              <c:pt idx="3">
                <c:v>44.156254599087745</c:v>
              </c:pt>
              <c:pt idx="4">
                <c:v>45.176405544700636</c:v>
              </c:pt>
              <c:pt idx="5">
                <c:v>46.199227216995773</c:v>
              </c:pt>
              <c:pt idx="6">
                <c:v>47.224921842907413</c:v>
              </c:pt>
              <c:pt idx="7">
                <c:v>48.25370339732104</c:v>
              </c:pt>
              <c:pt idx="8">
                <c:v>49.28579821010468</c:v>
              </c:pt>
              <c:pt idx="9">
                <c:v>50.000000000000007</c:v>
              </c:pt>
            </c:numLit>
          </c:xVal>
          <c:yVal>
            <c:numLit>
              <c:formatCode>General</c:formatCode>
              <c:ptCount val="10"/>
              <c:pt idx="0">
                <c:v>1.2449854138452305E-2</c:v>
              </c:pt>
              <c:pt idx="1">
                <c:v>1.3137395921386881E-2</c:v>
              </c:pt>
              <c:pt idx="2">
                <c:v>1.3858364542330524E-2</c:v>
              </c:pt>
              <c:pt idx="3">
                <c:v>1.4614195184697873E-2</c:v>
              </c:pt>
              <c:pt idx="4">
                <c:v>1.5406380772538593E-2</c:v>
              </c:pt>
              <c:pt idx="5">
                <c:v>1.6236474590181415E-2</c:v>
              </c:pt>
              <c:pt idx="6">
                <c:v>1.710609306374512E-2</c:v>
              </c:pt>
              <c:pt idx="7">
                <c:v>1.801691871700566E-2</c:v>
              </c:pt>
              <c:pt idx="8">
                <c:v>1.8970703315174638E-2</c:v>
              </c:pt>
              <c:pt idx="9">
                <c:v>1.9654812629101279E-2</c:v>
              </c:pt>
            </c:numLit>
          </c:yVal>
          <c:smooth val="1"/>
          <c:extLst>
            <c:ext xmlns:c16="http://schemas.microsoft.com/office/drawing/2014/chart" uri="{C3380CC4-5D6E-409C-BE32-E72D297353CC}">
              <c16:uniqueId val="{00000053-7B2B-494A-A068-C36D8922E342}"/>
            </c:ext>
          </c:extLst>
        </c:ser>
        <c:ser>
          <c:idx val="60"/>
          <c:order val="60"/>
          <c:tx>
            <c:v>RH=35_1</c:v>
          </c:tx>
          <c:spPr>
            <a:ln w="3175">
              <a:solidFill>
                <a:srgbClr val="0000FF"/>
              </a:solidFill>
              <a:prstDash val="solid"/>
            </a:ln>
          </c:spPr>
          <c:marker>
            <c:symbol val="none"/>
          </c:marker>
          <c:xVal>
            <c:numLit>
              <c:formatCode>General</c:formatCode>
              <c:ptCount val="33"/>
              <c:pt idx="0">
                <c:v>4.8429562936358943</c:v>
              </c:pt>
              <c:pt idx="1">
                <c:v>5.8353649144882471</c:v>
              </c:pt>
              <c:pt idx="2">
                <c:v>6.8275895682541066</c:v>
              </c:pt>
              <c:pt idx="3">
                <c:v>7.8196415762478599</c:v>
              </c:pt>
              <c:pt idx="4">
                <c:v>8.8115341190108474</c:v>
              </c:pt>
              <c:pt idx="5">
                <c:v>9.8032823752824214</c:v>
              </c:pt>
              <c:pt idx="6">
                <c:v>10.794899563201826</c:v>
              </c:pt>
              <c:pt idx="7">
                <c:v>11.786409065042472</c:v>
              </c:pt>
              <c:pt idx="8">
                <c:v>12.77783295268264</c:v>
              </c:pt>
              <c:pt idx="9">
                <c:v>13.769195925791198</c:v>
              </c:pt>
              <c:pt idx="10">
                <c:v>14.760525488409519</c:v>
              </c:pt>
              <c:pt idx="11">
                <c:v>15.751852133944434</c:v>
              </c:pt>
              <c:pt idx="12">
                <c:v>16.74320953892617</c:v>
              </c:pt>
              <c:pt idx="13">
                <c:v>17.734634765908794</c:v>
              </c:pt>
              <c:pt idx="14">
                <c:v>18.726168475916662</c:v>
              </c:pt>
              <c:pt idx="15">
                <c:v>19.717855150869013</c:v>
              </c:pt>
              <c:pt idx="16">
                <c:v>20.709743326446262</c:v>
              </c:pt>
              <c:pt idx="17">
                <c:v>21.701885835896331</c:v>
              </c:pt>
              <c:pt idx="18">
                <c:v>22.694340065317235</c:v>
              </c:pt>
              <c:pt idx="19">
                <c:v>23.687168220994245</c:v>
              </c:pt>
              <c:pt idx="20">
                <c:v>24.680437609415605</c:v>
              </c:pt>
              <c:pt idx="21">
                <c:v>25.674214365853523</c:v>
              </c:pt>
              <c:pt idx="22">
                <c:v>26.668583220188367</c:v>
              </c:pt>
              <c:pt idx="23">
                <c:v>27.6636286365605</c:v>
              </c:pt>
              <c:pt idx="24">
                <c:v>28.659441447875434</c:v>
              </c:pt>
              <c:pt idx="25">
                <c:v>29.656119211242075</c:v>
              </c:pt>
              <c:pt idx="26">
                <c:v>30.653766581138218</c:v>
              </c:pt>
              <c:pt idx="27">
                <c:v>31.652495701406082</c:v>
              </c:pt>
              <c:pt idx="28">
                <c:v>32.652426617277726</c:v>
              </c:pt>
              <c:pt idx="29">
                <c:v>33.6536877087363</c:v>
              </c:pt>
              <c:pt idx="30">
                <c:v>34.656416146635898</c:v>
              </c:pt>
              <c:pt idx="31">
                <c:v>35.660758373130619</c:v>
              </c:pt>
              <c:pt idx="32">
                <c:v>36.384971337507565</c:v>
              </c:pt>
            </c:numLit>
          </c:xVal>
          <c:yVal>
            <c:numLit>
              <c:formatCode>General</c:formatCode>
              <c:ptCount val="33"/>
              <c:pt idx="0">
                <c:v>1.8875265065984568E-3</c:v>
              </c:pt>
              <c:pt idx="1">
                <c:v>2.0237401762564001E-3</c:v>
              </c:pt>
              <c:pt idx="2">
                <c:v>2.1686033300371225E-3</c:v>
              </c:pt>
              <c:pt idx="3">
                <c:v>2.3225879966033455E-3</c:v>
              </c:pt>
              <c:pt idx="4">
                <c:v>2.4861877298070602E-3</c:v>
              </c:pt>
              <c:pt idx="5">
                <c:v>2.6599184202403814E-3</c:v>
              </c:pt>
              <c:pt idx="6">
                <c:v>2.8443760603662129E-3</c:v>
              </c:pt>
              <c:pt idx="7">
                <c:v>3.0400747109121822E-3</c:v>
              </c:pt>
              <c:pt idx="8">
                <c:v>3.2476031618899315E-3</c:v>
              </c:pt>
              <c:pt idx="9">
                <c:v>3.467576144773824E-3</c:v>
              </c:pt>
              <c:pt idx="10">
                <c:v>3.7006353096777946E-3</c:v>
              </c:pt>
              <c:pt idx="11">
                <c:v>3.9474502411748786E-3</c:v>
              </c:pt>
              <c:pt idx="12">
                <c:v>4.2087195151559722E-3</c:v>
              </c:pt>
              <c:pt idx="13">
                <c:v>4.4851717993238342E-3</c:v>
              </c:pt>
              <c:pt idx="14">
                <c:v>4.7775670001359146E-3</c:v>
              </c:pt>
              <c:pt idx="15">
                <c:v>5.0866974592432227E-3</c:v>
              </c:pt>
              <c:pt idx="16">
                <c:v>5.4133892027263455E-3</c:v>
              </c:pt>
              <c:pt idx="17">
                <c:v>5.7585032467030641E-3</c:v>
              </c:pt>
              <c:pt idx="18">
                <c:v>6.1229369631792784E-3</c:v>
              </c:pt>
              <c:pt idx="19">
                <c:v>6.5076255103347367E-3</c:v>
              </c:pt>
              <c:pt idx="20">
                <c:v>6.9135433317828654E-3</c:v>
              </c:pt>
              <c:pt idx="21">
                <c:v>7.3418536727454121E-3</c:v>
              </c:pt>
              <c:pt idx="22">
                <c:v>7.7934848174498117E-3</c:v>
              </c:pt>
              <c:pt idx="23">
                <c:v>8.2695403621734203E-3</c:v>
              </c:pt>
              <c:pt idx="24">
                <c:v>8.771170082880541E-3</c:v>
              </c:pt>
              <c:pt idx="25">
                <c:v>9.299571868023453E-3</c:v>
              </c:pt>
              <c:pt idx="26">
                <c:v>9.8559937570728701E-3</c:v>
              </c:pt>
              <c:pt idx="27">
                <c:v>1.0441736092756343E-2</c:v>
              </c:pt>
              <c:pt idx="28">
                <c:v>1.1058153795654896E-2</c:v>
              </c:pt>
              <c:pt idx="29">
                <c:v>1.1706658770540258E-2</c:v>
              </c:pt>
              <c:pt idx="30">
                <c:v>1.2388722454634234E-2</c:v>
              </c:pt>
              <c:pt idx="31">
                <c:v>1.310587851884021E-2</c:v>
              </c:pt>
              <c:pt idx="32">
                <c:v>1.3644855003375554E-2</c:v>
              </c:pt>
            </c:numLit>
          </c:yVal>
          <c:smooth val="1"/>
          <c:extLst>
            <c:ext xmlns:c16="http://schemas.microsoft.com/office/drawing/2014/chart" uri="{C3380CC4-5D6E-409C-BE32-E72D297353CC}">
              <c16:uniqueId val="{00000054-7B2B-494A-A068-C36D8922E342}"/>
            </c:ext>
          </c:extLst>
        </c:ser>
        <c:ser>
          <c:idx val="61"/>
          <c:order val="61"/>
          <c:tx>
            <c:v>RH=35_Label</c:v>
          </c:tx>
          <c:spPr>
            <a:ln w="3175">
              <a:solidFill>
                <a:srgbClr val="0000FF"/>
              </a:solidFill>
              <a:prstDash val="solid"/>
            </a:ln>
          </c:spPr>
          <c:marker>
            <c:symbol val="none"/>
          </c:marker>
          <c:dLbls>
            <c:dLbl>
              <c:idx val="0"/>
              <c:tx>
                <c:rich>
                  <a:bodyPr rot="-276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35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5-7B2B-494A-A068-C36D8922E34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36.687012032716936</c:v>
              </c:pt>
            </c:numLit>
          </c:xVal>
          <c:yVal>
            <c:numLit>
              <c:formatCode>General</c:formatCode>
              <c:ptCount val="1"/>
              <c:pt idx="0">
                <c:v>1.3875188258477089E-2</c:v>
              </c:pt>
            </c:numLit>
          </c:yVal>
          <c:smooth val="0"/>
          <c:extLst>
            <c:ext xmlns:c16="http://schemas.microsoft.com/office/drawing/2014/chart" uri="{C3380CC4-5D6E-409C-BE32-E72D297353CC}">
              <c16:uniqueId val="{00000056-7B2B-494A-A068-C36D8922E342}"/>
            </c:ext>
          </c:extLst>
        </c:ser>
        <c:ser>
          <c:idx val="62"/>
          <c:order val="62"/>
          <c:tx>
            <c:v>RH=35_2</c:v>
          </c:tx>
          <c:spPr>
            <a:ln w="3175">
              <a:solidFill>
                <a:srgbClr val="0000FF"/>
              </a:solidFill>
              <a:prstDash val="solid"/>
            </a:ln>
          </c:spPr>
          <c:marker>
            <c:symbol val="none"/>
          </c:marker>
          <c:xVal>
            <c:numLit>
              <c:formatCode>General</c:formatCode>
              <c:ptCount val="14"/>
              <c:pt idx="0">
                <c:v>36.989227251847005</c:v>
              </c:pt>
              <c:pt idx="1">
                <c:v>37.997932651779394</c:v>
              </c:pt>
              <c:pt idx="2">
                <c:v>39.00881116417105</c:v>
              </c:pt>
              <c:pt idx="3">
                <c:v>40.02205449777933</c:v>
              </c:pt>
              <c:pt idx="4">
                <c:v>41.037866760035634</c:v>
              </c:pt>
              <c:pt idx="5">
                <c:v>42.056468183587832</c:v>
              </c:pt>
              <c:pt idx="6">
                <c:v>43.078090565743416</c:v>
              </c:pt>
              <c:pt idx="7">
                <c:v>44.102980194192732</c:v>
              </c:pt>
              <c:pt idx="8">
                <c:v>45.131398661199782</c:v>
              </c:pt>
              <c:pt idx="9">
                <c:v>46.163623729572627</c:v>
              </c:pt>
              <c:pt idx="10">
                <c:v>47.199950254715397</c:v>
              </c:pt>
              <c:pt idx="11">
                <c:v>48.240691167489317</c:v>
              </c:pt>
              <c:pt idx="12">
                <c:v>49.286178523080601</c:v>
              </c:pt>
              <c:pt idx="13">
                <c:v>50</c:v>
              </c:pt>
            </c:numLit>
          </c:xVal>
          <c:yVal>
            <c:numLit>
              <c:formatCode>General</c:formatCode>
              <c:ptCount val="14"/>
              <c:pt idx="0">
                <c:v>1.4108976317031181E-2</c:v>
              </c:pt>
              <c:pt idx="1">
                <c:v>1.491381979626661E-2</c:v>
              </c:pt>
              <c:pt idx="2">
                <c:v>1.5759331523293861E-2</c:v>
              </c:pt>
              <c:pt idx="3">
                <c:v>1.6647403760885849E-2</c:v>
              </c:pt>
              <c:pt idx="4">
                <c:v>1.7580028207482008E-2</c:v>
              </c:pt>
              <c:pt idx="5">
                <c:v>1.8559098294035549E-2</c:v>
              </c:pt>
              <c:pt idx="6">
                <c:v>1.9586704885560857E-2</c:v>
              </c:pt>
              <c:pt idx="7">
                <c:v>2.0665031485887941E-2</c:v>
              </c:pt>
              <c:pt idx="8">
                <c:v>2.1796359116006504E-2</c:v>
              </c:pt>
              <c:pt idx="9">
                <c:v>2.298307153604754E-2</c:v>
              </c:pt>
              <c:pt idx="10">
                <c:v>2.4227660840216245E-2</c:v>
              </c:pt>
              <c:pt idx="11">
                <c:v>2.5532733456782093E-2</c:v>
              </c:pt>
              <c:pt idx="12">
                <c:v>2.6901016588325579E-2</c:v>
              </c:pt>
              <c:pt idx="13">
                <c:v>2.7869006304865641E-2</c:v>
              </c:pt>
            </c:numLit>
          </c:yVal>
          <c:smooth val="1"/>
          <c:extLst>
            <c:ext xmlns:c16="http://schemas.microsoft.com/office/drawing/2014/chart" uri="{C3380CC4-5D6E-409C-BE32-E72D297353CC}">
              <c16:uniqueId val="{00000057-7B2B-494A-A068-C36D8922E342}"/>
            </c:ext>
          </c:extLst>
        </c:ser>
        <c:ser>
          <c:idx val="63"/>
          <c:order val="63"/>
          <c:tx>
            <c:v>RH=45_1</c:v>
          </c:tx>
          <c:spPr>
            <a:ln w="3175">
              <a:solidFill>
                <a:srgbClr val="0000FF"/>
              </a:solidFill>
              <a:prstDash val="solid"/>
            </a:ln>
          </c:spPr>
          <c:marker>
            <c:symbol val="none"/>
          </c:marker>
          <c:xVal>
            <c:numLit>
              <c:formatCode>General</c:formatCode>
              <c:ptCount val="30"/>
              <c:pt idx="0">
                <c:v>4.7979114405643841</c:v>
              </c:pt>
              <c:pt idx="1">
                <c:v>5.7881293572500709</c:v>
              </c:pt>
              <c:pt idx="2">
                <c:v>6.7781084020266285</c:v>
              </c:pt>
              <c:pt idx="3">
                <c:v>7.7678629287117902</c:v>
              </c:pt>
              <c:pt idx="4">
                <c:v>8.7574096713914997</c:v>
              </c:pt>
              <c:pt idx="5">
                <c:v>9.7467679237906673</c:v>
              </c:pt>
              <c:pt idx="6">
                <c:v>10.735954436551337</c:v>
              </c:pt>
              <c:pt idx="7">
                <c:v>11.724999045808413</c:v>
              </c:pt>
              <c:pt idx="8">
                <c:v>12.7139298863019</c:v>
              </c:pt>
              <c:pt idx="9">
                <c:v>13.702778468008708</c:v>
              </c:pt>
              <c:pt idx="10">
                <c:v>14.691579905864549</c:v>
              </c:pt>
              <c:pt idx="11">
                <c:v>15.680373160907957</c:v>
              </c:pt>
              <c:pt idx="12">
                <c:v>16.669201293391961</c:v>
              </c:pt>
              <c:pt idx="13">
                <c:v>17.658111728450482</c:v>
              </c:pt>
              <c:pt idx="14">
                <c:v>18.647156534952014</c:v>
              </c:pt>
              <c:pt idx="15">
                <c:v>19.636392718223561</c:v>
              </c:pt>
              <c:pt idx="16">
                <c:v>20.625882527383471</c:v>
              </c:pt>
              <c:pt idx="17">
                <c:v>21.615693778082875</c:v>
              </c:pt>
              <c:pt idx="18">
                <c:v>22.60590019152318</c:v>
              </c:pt>
              <c:pt idx="19">
                <c:v>23.596581750691325</c:v>
              </c:pt>
              <c:pt idx="20">
                <c:v>24.587825074836598</c:v>
              </c:pt>
              <c:pt idx="21">
                <c:v>25.579715315640659</c:v>
              </c:pt>
              <c:pt idx="22">
                <c:v>26.572361751927581</c:v>
              </c:pt>
              <c:pt idx="23">
                <c:v>27.565873408785404</c:v>
              </c:pt>
              <c:pt idx="24">
                <c:v>28.560367661273503</c:v>
              </c:pt>
              <c:pt idx="25">
                <c:v>29.555970719929455</c:v>
              </c:pt>
              <c:pt idx="26">
                <c:v>30.552818142991558</c:v>
              </c:pt>
              <c:pt idx="27">
                <c:v>31.551055377229062</c:v>
              </c:pt>
              <c:pt idx="28">
                <c:v>32.550838329451459</c:v>
              </c:pt>
              <c:pt idx="29">
                <c:v>33.241676623013277</c:v>
              </c:pt>
            </c:numLit>
          </c:xVal>
          <c:yVal>
            <c:numLit>
              <c:formatCode>General</c:formatCode>
              <c:ptCount val="30"/>
              <c:pt idx="0">
                <c:v>2.4289258159167224E-3</c:v>
              </c:pt>
              <c:pt idx="1">
                <c:v>2.6043727591205873E-3</c:v>
              </c:pt>
              <c:pt idx="2">
                <c:v>2.7909845906628123E-3</c:v>
              </c:pt>
              <c:pt idx="3">
                <c:v>2.9893739594974377E-3</c:v>
              </c:pt>
              <c:pt idx="4">
                <c:v>3.2001818853940622E-3</c:v>
              </c:pt>
              <c:pt idx="5">
                <c:v>3.4240788799272735E-3</c:v>
              </c:pt>
              <c:pt idx="6">
                <c:v>3.6618394930983864E-3</c:v>
              </c:pt>
              <c:pt idx="7">
                <c:v>3.9141335585276644E-3</c:v>
              </c:pt>
              <c:pt idx="8">
                <c:v>4.181728195005634E-3</c:v>
              </c:pt>
              <c:pt idx="9">
                <c:v>4.4654250475394362E-3</c:v>
              </c:pt>
              <c:pt idx="10">
                <c:v>4.7660616697429072E-3</c:v>
              </c:pt>
              <c:pt idx="11">
                <c:v>5.0845129684787566E-3</c:v>
              </c:pt>
              <c:pt idx="12">
                <c:v>5.4216927150161328E-3</c:v>
              </c:pt>
              <c:pt idx="13">
                <c:v>5.7785551273322622E-3</c:v>
              </c:pt>
              <c:pt idx="14">
                <c:v>6.1560965285861443E-3</c:v>
              </c:pt>
              <c:pt idx="15">
                <c:v>6.5553570872239637E-3</c:v>
              </c:pt>
              <c:pt idx="16">
                <c:v>6.9774226446464435E-3</c:v>
              </c:pt>
              <c:pt idx="17">
                <c:v>7.4234266368784479E-3</c:v>
              </c:pt>
              <c:pt idx="18">
                <c:v>7.8945521172378037E-3</c:v>
              </c:pt>
              <c:pt idx="19">
                <c:v>8.3920338876039037E-3</c:v>
              </c:pt>
              <c:pt idx="20">
                <c:v>8.9171607465458672E-3</c:v>
              </c:pt>
              <c:pt idx="21">
                <c:v>9.4714693652664696E-3</c:v>
              </c:pt>
              <c:pt idx="22">
                <c:v>1.0056196296420142E-2</c:v>
              </c:pt>
              <c:pt idx="23">
                <c:v>1.0672809158403808E-2</c:v>
              </c:pt>
              <c:pt idx="24">
                <c:v>1.1322840060390603E-2</c:v>
              </c:pt>
              <c:pt idx="25">
                <c:v>1.2007888595456073E-2</c:v>
              </c:pt>
              <c:pt idx="26">
                <c:v>1.272962501840671E-2</c:v>
              </c:pt>
              <c:pt idx="27">
                <c:v>1.3489793623284507E-2</c:v>
              </c:pt>
              <c:pt idx="28">
                <c:v>1.4290216336870146E-2</c:v>
              </c:pt>
              <c:pt idx="29">
                <c:v>1.4866969840016564E-2</c:v>
              </c:pt>
            </c:numLit>
          </c:yVal>
          <c:smooth val="1"/>
          <c:extLst>
            <c:ext xmlns:c16="http://schemas.microsoft.com/office/drawing/2014/chart" uri="{C3380CC4-5D6E-409C-BE32-E72D297353CC}">
              <c16:uniqueId val="{00000058-7B2B-494A-A068-C36D8922E342}"/>
            </c:ext>
          </c:extLst>
        </c:ser>
        <c:ser>
          <c:idx val="64"/>
          <c:order val="64"/>
          <c:tx>
            <c:v>RH=45_Label</c:v>
          </c:tx>
          <c:spPr>
            <a:ln w="3175">
              <a:solidFill>
                <a:srgbClr val="0000FF"/>
              </a:solidFill>
              <a:prstDash val="solid"/>
            </a:ln>
          </c:spPr>
          <c:marker>
            <c:symbol val="none"/>
          </c:marker>
          <c:dLbls>
            <c:dLbl>
              <c:idx val="0"/>
              <c:tx>
                <c:rich>
                  <a:bodyPr rot="-294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45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9-7B2B-494A-A068-C36D8922E34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33.542309960090257</c:v>
              </c:pt>
            </c:numLit>
          </c:xVal>
          <c:yVal>
            <c:numLit>
              <c:formatCode>General</c:formatCode>
              <c:ptCount val="1"/>
              <c:pt idx="0">
                <c:v>1.5124155606683983E-2</c:v>
              </c:pt>
            </c:numLit>
          </c:yVal>
          <c:smooth val="0"/>
          <c:extLst>
            <c:ext xmlns:c16="http://schemas.microsoft.com/office/drawing/2014/chart" uri="{C3380CC4-5D6E-409C-BE32-E72D297353CC}">
              <c16:uniqueId val="{0000005A-7B2B-494A-A068-C36D8922E342}"/>
            </c:ext>
          </c:extLst>
        </c:ser>
        <c:ser>
          <c:idx val="65"/>
          <c:order val="65"/>
          <c:tx>
            <c:v>RH=45_2</c:v>
          </c:tx>
          <c:spPr>
            <a:ln w="3175">
              <a:solidFill>
                <a:srgbClr val="0000FF"/>
              </a:solidFill>
              <a:prstDash val="solid"/>
            </a:ln>
          </c:spPr>
          <c:marker>
            <c:symbol val="none"/>
          </c:marker>
          <c:xVal>
            <c:numLit>
              <c:formatCode>General</c:formatCode>
              <c:ptCount val="17"/>
              <c:pt idx="0">
                <c:v>33.843113269370306</c:v>
              </c:pt>
              <c:pt idx="1">
                <c:v>34.847083943135722</c:v>
              </c:pt>
              <c:pt idx="2">
                <c:v>35.853194864619347</c:v>
              </c:pt>
              <c:pt idx="3">
                <c:v>36.861654133883768</c:v>
              </c:pt>
              <c:pt idx="4">
                <c:v>37.872683946588978</c:v>
              </c:pt>
              <c:pt idx="5">
                <c:v>38.886521420379061</c:v>
              </c:pt>
              <c:pt idx="6">
                <c:v>39.903418320194405</c:v>
              </c:pt>
              <c:pt idx="7">
                <c:v>40.923642892256069</c:v>
              </c:pt>
              <c:pt idx="8">
                <c:v>41.947485589808181</c:v>
              </c:pt>
              <c:pt idx="9">
                <c:v>42.975252742791277</c:v>
              </c:pt>
              <c:pt idx="10">
                <c:v>44.007270646239782</c:v>
              </c:pt>
              <c:pt idx="11">
                <c:v>45.043886785233312</c:v>
              </c:pt>
              <c:pt idx="12">
                <c:v>46.085471148292477</c:v>
              </c:pt>
              <c:pt idx="13">
                <c:v>47.132417637407976</c:v>
              </c:pt>
              <c:pt idx="14">
                <c:v>48.185145583777889</c:v>
              </c:pt>
              <c:pt idx="15">
                <c:v>49.244101379321037</c:v>
              </c:pt>
              <c:pt idx="16">
                <c:v>50.000000000000007</c:v>
              </c:pt>
            </c:numLit>
          </c:xVal>
          <c:yVal>
            <c:numLit>
              <c:formatCode>General</c:formatCode>
              <c:ptCount val="17"/>
              <c:pt idx="0">
                <c:v>1.5385312109042031E-2</c:v>
              </c:pt>
              <c:pt idx="1">
                <c:v>1.6285225952846927E-2</c:v>
              </c:pt>
              <c:pt idx="2">
                <c:v>1.7231985372616151E-2</c:v>
              </c:pt>
              <c:pt idx="3">
                <c:v>1.8227792074351917E-2</c:v>
              </c:pt>
              <c:pt idx="4">
                <c:v>1.9274948795326451E-2</c:v>
              </c:pt>
              <c:pt idx="5">
                <c:v>2.0375864737942648E-2</c:v>
              </c:pt>
              <c:pt idx="6">
                <c:v>2.1533125692636469E-2</c:v>
              </c:pt>
              <c:pt idx="7">
                <c:v>2.274948152478275E-2</c:v>
              </c:pt>
              <c:pt idx="8">
                <c:v>2.4027550915091813E-2</c:v>
              </c:pt>
              <c:pt idx="9">
                <c:v>2.5370233863113451E-2</c:v>
              </c:pt>
              <c:pt idx="10">
                <c:v>2.6780570766508603E-2</c:v>
              </c:pt>
              <c:pt idx="11">
                <c:v>2.8261750799635506E-2</c:v>
              </c:pt>
              <c:pt idx="12">
                <c:v>2.9817120948578829E-2</c:v>
              </c:pt>
              <c:pt idx="13">
                <c:v>3.1450195763913363E-2</c:v>
              </c:pt>
              <c:pt idx="14">
                <c:v>3.3164667898963343E-2</c:v>
              </c:pt>
              <c:pt idx="15">
                <c:v>3.4964419508579071E-2</c:v>
              </c:pt>
              <c:pt idx="16">
                <c:v>3.6296243180437608E-2</c:v>
              </c:pt>
            </c:numLit>
          </c:yVal>
          <c:smooth val="1"/>
          <c:extLst>
            <c:ext xmlns:c16="http://schemas.microsoft.com/office/drawing/2014/chart" uri="{C3380CC4-5D6E-409C-BE32-E72D297353CC}">
              <c16:uniqueId val="{0000005B-7B2B-494A-A068-C36D8922E342}"/>
            </c:ext>
          </c:extLst>
        </c:ser>
        <c:ser>
          <c:idx val="66"/>
          <c:order val="66"/>
          <c:tx>
            <c:v>RH=55_1</c:v>
          </c:tx>
          <c:spPr>
            <a:ln w="3175">
              <a:solidFill>
                <a:srgbClr val="0000FF"/>
              </a:solidFill>
              <a:prstDash val="solid"/>
            </a:ln>
          </c:spPr>
          <c:marker>
            <c:symbol val="none"/>
          </c:marker>
          <c:xVal>
            <c:numLit>
              <c:formatCode>General</c:formatCode>
              <c:ptCount val="28"/>
              <c:pt idx="0">
                <c:v>4.7527883387197933</c:v>
              </c:pt>
              <c:pt idx="1">
                <c:v>5.7408058132072091</c:v>
              </c:pt>
              <c:pt idx="2">
                <c:v>6.7285284551880915</c:v>
              </c:pt>
              <c:pt idx="3">
                <c:v>7.7159735586186047</c:v>
              </c:pt>
              <c:pt idx="4">
                <c:v>8.7031613138615409</c:v>
              </c:pt>
              <c:pt idx="5">
                <c:v>9.690115027717022</c:v>
              </c:pt>
              <c:pt idx="6">
                <c:v>10.676854870952818</c:v>
              </c:pt>
              <c:pt idx="7">
                <c:v>11.663417028454429</c:v>
              </c:pt>
              <c:pt idx="8">
                <c:v>12.649835584689367</c:v>
              </c:pt>
              <c:pt idx="9">
                <c:v>13.636148744660289</c:v>
              </c:pt>
              <c:pt idx="10">
                <c:v>14.622399117900304</c:v>
              </c:pt>
              <c:pt idx="11">
                <c:v>15.608634017172154</c:v>
              </c:pt>
              <c:pt idx="12">
                <c:v>16.59490577265089</c:v>
              </c:pt>
              <c:pt idx="13">
                <c:v>17.581272062434444</c:v>
              </c:pt>
              <c:pt idx="14">
                <c:v>18.567796260297889</c:v>
              </c:pt>
              <c:pt idx="15">
                <c:v>19.554547801686571</c:v>
              </c:pt>
              <c:pt idx="16">
                <c:v>20.541602569030708</c:v>
              </c:pt>
              <c:pt idx="17">
                <c:v>21.529043297560914</c:v>
              </c:pt>
              <c:pt idx="18">
                <c:v>22.516960002911134</c:v>
              </c:pt>
              <c:pt idx="19">
                <c:v>23.50545043191384</c:v>
              </c:pt>
              <c:pt idx="20">
                <c:v>24.494620538123129</c:v>
              </c:pt>
              <c:pt idx="21">
                <c:v>25.484574527064105</c:v>
              </c:pt>
              <c:pt idx="22">
                <c:v>26.475446362765325</c:v>
              </c:pt>
              <c:pt idx="23">
                <c:v>27.467369806450417</c:v>
              </c:pt>
              <c:pt idx="24">
                <c:v>28.460489023324861</c:v>
              </c:pt>
              <c:pt idx="25">
                <c:v>29.454959211633383</c:v>
              </c:pt>
              <c:pt idx="26">
                <c:v>30.450947269402214</c:v>
              </c:pt>
              <c:pt idx="27">
                <c:v>30.690229911761239</c:v>
              </c:pt>
            </c:numLit>
          </c:xVal>
          <c:yVal>
            <c:numLit>
              <c:formatCode>General</c:formatCode>
              <c:ptCount val="28"/>
              <c:pt idx="0">
                <c:v>2.9712656063069056E-3</c:v>
              </c:pt>
              <c:pt idx="1">
                <c:v>3.1860869002144176E-3</c:v>
              </c:pt>
              <c:pt idx="2">
                <c:v>3.414608328091779E-3</c:v>
              </c:pt>
              <c:pt idx="3">
                <c:v>3.6575857658689651E-3</c:v>
              </c:pt>
              <c:pt idx="4">
                <c:v>3.9158106249054629E-3</c:v>
              </c:pt>
              <c:pt idx="5">
                <c:v>4.19011131877251E-3</c:v>
              </c:pt>
              <c:pt idx="6">
                <c:v>4.4814447176932176E-3</c:v>
              </c:pt>
              <c:pt idx="7">
                <c:v>4.7906404835150358E-3</c:v>
              </c:pt>
              <c:pt idx="8">
                <c:v>5.1186486748401082E-3</c:v>
              </c:pt>
              <c:pt idx="9">
                <c:v>5.4664630058504768E-3</c:v>
              </c:pt>
              <c:pt idx="10">
                <c:v>5.8351226941980557E-3</c:v>
              </c:pt>
              <c:pt idx="11">
                <c:v>6.2257144010881621E-3</c:v>
              </c:pt>
              <c:pt idx="12">
                <c:v>6.6393742703356956E-3</c:v>
              </c:pt>
              <c:pt idx="13">
                <c:v>7.0772900737726746E-3</c:v>
              </c:pt>
              <c:pt idx="14">
                <c:v>7.5407034710427414E-3</c:v>
              </c:pt>
              <c:pt idx="15">
                <c:v>8.0309123925323949E-3</c:v>
              </c:pt>
              <c:pt idx="16">
                <c:v>8.5492735549704338E-3</c:v>
              </c:pt>
              <c:pt idx="17">
                <c:v>9.0972051200791226E-3</c:v>
              </c:pt>
              <c:pt idx="18">
                <c:v>9.6761895075946035E-3</c:v>
              </c:pt>
              <c:pt idx="19">
                <c:v>1.0287776374993248E-2</c:v>
              </c:pt>
              <c:pt idx="20">
                <c:v>1.0933585777379171E-2</c:v>
              </c:pt>
              <c:pt idx="21">
                <c:v>1.1615547172345699E-2</c:v>
              </c:pt>
              <c:pt idx="22">
                <c:v>1.2335225784433806E-2</c:v>
              </c:pt>
              <c:pt idx="23">
                <c:v>1.3094476410334279E-2</c:v>
              </c:pt>
              <c:pt idx="24">
                <c:v>1.3895239184208591E-2</c:v>
              </c:pt>
              <c:pt idx="25">
                <c:v>1.4739543900452028E-2</c:v>
              </c:pt>
              <c:pt idx="26">
                <c:v>1.5629514628788175E-2</c:v>
              </c:pt>
              <c:pt idx="27">
                <c:v>1.5850147556233648E-2</c:v>
              </c:pt>
            </c:numLit>
          </c:yVal>
          <c:smooth val="1"/>
          <c:extLst>
            <c:ext xmlns:c16="http://schemas.microsoft.com/office/drawing/2014/chart" uri="{C3380CC4-5D6E-409C-BE32-E72D297353CC}">
              <c16:uniqueId val="{0000005C-7B2B-494A-A068-C36D8922E342}"/>
            </c:ext>
          </c:extLst>
        </c:ser>
        <c:ser>
          <c:idx val="67"/>
          <c:order val="67"/>
          <c:tx>
            <c:v>RH=55_Label</c:v>
          </c:tx>
          <c:spPr>
            <a:ln w="3175">
              <a:solidFill>
                <a:srgbClr val="0000FF"/>
              </a:solidFill>
              <a:prstDash val="solid"/>
            </a:ln>
          </c:spPr>
          <c:marker>
            <c:symbol val="none"/>
          </c:marker>
          <c:dLbls>
            <c:dLbl>
              <c:idx val="0"/>
              <c:tx>
                <c:rich>
                  <a:bodyPr rot="-312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55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D-7B2B-494A-A068-C36D8922E34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30.989474550516114</c:v>
              </c:pt>
            </c:numLit>
          </c:xVal>
          <c:yVal>
            <c:numLit>
              <c:formatCode>General</c:formatCode>
              <c:ptCount val="1"/>
              <c:pt idx="0">
                <c:v>1.6129865276295948E-2</c:v>
              </c:pt>
            </c:numLit>
          </c:yVal>
          <c:smooth val="0"/>
          <c:extLst>
            <c:ext xmlns:c16="http://schemas.microsoft.com/office/drawing/2014/chart" uri="{C3380CC4-5D6E-409C-BE32-E72D297353CC}">
              <c16:uniqueId val="{0000005E-7B2B-494A-A068-C36D8922E342}"/>
            </c:ext>
          </c:extLst>
        </c:ser>
        <c:ser>
          <c:idx val="68"/>
          <c:order val="68"/>
          <c:tx>
            <c:v>RH=55_2</c:v>
          </c:tx>
          <c:spPr>
            <a:ln w="3175">
              <a:solidFill>
                <a:srgbClr val="0000FF"/>
              </a:solidFill>
              <a:prstDash val="solid"/>
            </a:ln>
          </c:spPr>
          <c:marker>
            <c:symbol val="none"/>
          </c:marker>
          <c:xVal>
            <c:numLit>
              <c:formatCode>General</c:formatCode>
              <c:ptCount val="18"/>
              <c:pt idx="0">
                <c:v>31.288881044490907</c:v>
              </c:pt>
              <c:pt idx="1">
                <c:v>32.28814007408657</c:v>
              </c:pt>
              <c:pt idx="2">
                <c:v>33.289461162964656</c:v>
              </c:pt>
              <c:pt idx="3">
                <c:v>34.293063110456032</c:v>
              </c:pt>
              <c:pt idx="4">
                <c:v>35.299180279992967</c:v>
              </c:pt>
              <c:pt idx="5">
                <c:v>36.308063555400999</c:v>
              </c:pt>
              <c:pt idx="6">
                <c:v>37.319981362124537</c:v>
              </c:pt>
              <c:pt idx="7">
                <c:v>38.335220759151703</c:v>
              </c:pt>
              <c:pt idx="8">
                <c:v>39.354088608020184</c:v>
              </c:pt>
              <c:pt idx="9">
                <c:v>40.376908784565998</c:v>
              </c:pt>
              <c:pt idx="10">
                <c:v>41.404035377551232</c:v>
              </c:pt>
              <c:pt idx="11">
                <c:v>42.435843506013669</c:v>
              </c:pt>
              <c:pt idx="12">
                <c:v>43.472732904478228</c:v>
              </c:pt>
              <c:pt idx="13">
                <c:v>44.515130408086179</c:v>
              </c:pt>
              <c:pt idx="14">
                <c:v>45.563491765100324</c:v>
              </c:pt>
              <c:pt idx="15">
                <c:v>46.618303596101995</c:v>
              </c:pt>
              <c:pt idx="16">
                <c:v>47.680085514829216</c:v>
              </c:pt>
              <c:pt idx="17">
                <c:v>44.483774059522453</c:v>
              </c:pt>
            </c:numLit>
          </c:xVal>
          <c:yVal>
            <c:numLit>
              <c:formatCode>General</c:formatCode>
              <c:ptCount val="18"/>
              <c:pt idx="0">
                <c:v>1.6414004228901657E-2</c:v>
              </c:pt>
              <c:pt idx="1">
                <c:v>1.7393885676520521E-2</c:v>
              </c:pt>
              <c:pt idx="2">
                <c:v>1.8426024368464747E-2</c:v>
              </c:pt>
              <c:pt idx="3">
                <c:v>1.9512955389155106E-2</c:v>
              </c:pt>
              <c:pt idx="4">
                <c:v>2.0657335456802466E-2</c:v>
              </c:pt>
              <c:pt idx="5">
                <c:v>2.18619498344035E-2</c:v>
              </c:pt>
              <c:pt idx="6">
                <c:v>2.3129719762606075E-2</c:v>
              </c:pt>
              <c:pt idx="7">
                <c:v>2.4463710462355535E-2</c:v>
              </c:pt>
              <c:pt idx="8">
                <c:v>2.586713976016505E-2</c:v>
              </c:pt>
              <c:pt idx="9">
                <c:v>2.7343626022832548E-2</c:v>
              </c:pt>
              <c:pt idx="10">
                <c:v>2.8896558756553385E-2</c:v>
              </c:pt>
              <c:pt idx="11">
                <c:v>3.0529632437545379E-2</c:v>
              </c:pt>
              <c:pt idx="12">
                <c:v>3.2246779263973561E-2</c:v>
              </c:pt>
              <c:pt idx="13">
                <c:v>3.4052139020724105E-2</c:v>
              </c:pt>
              <c:pt idx="14">
                <c:v>3.5950072930764715E-2</c:v>
              </c:pt>
              <c:pt idx="15">
                <c:v>3.7945178699027013E-2</c:v>
              </c:pt>
              <c:pt idx="16">
                <c:v>4.0042306870224254E-2</c:v>
              </c:pt>
              <c:pt idx="17">
                <c:v>3.4000000000000002E-2</c:v>
              </c:pt>
            </c:numLit>
          </c:yVal>
          <c:smooth val="1"/>
          <c:extLst>
            <c:ext xmlns:c16="http://schemas.microsoft.com/office/drawing/2014/chart" uri="{C3380CC4-5D6E-409C-BE32-E72D297353CC}">
              <c16:uniqueId val="{0000005F-7B2B-494A-A068-C36D8922E342}"/>
            </c:ext>
          </c:extLst>
        </c:ser>
        <c:ser>
          <c:idx val="69"/>
          <c:order val="69"/>
          <c:tx>
            <c:v>RH=65_1</c:v>
          </c:tx>
          <c:spPr>
            <a:ln w="3175">
              <a:solidFill>
                <a:srgbClr val="0000FF"/>
              </a:solidFill>
              <a:prstDash val="solid"/>
            </a:ln>
          </c:spPr>
          <c:marker>
            <c:symbol val="none"/>
          </c:marker>
          <c:xVal>
            <c:numLit>
              <c:formatCode>General</c:formatCode>
              <c:ptCount val="26"/>
              <c:pt idx="0">
                <c:v>4.7075867840324177</c:v>
              </c:pt>
              <c:pt idx="1">
                <c:v>5.693394036287784</c:v>
              </c:pt>
              <c:pt idx="2">
                <c:v>6.6788494316452747</c:v>
              </c:pt>
              <c:pt idx="3">
                <c:v>7.6639731104373956</c:v>
              </c:pt>
              <c:pt idx="4">
                <c:v>8.6487886204232431</c:v>
              </c:pt>
              <c:pt idx="5">
                <c:v>9.633323177711917</c:v>
              </c:pt>
              <c:pt idx="6">
                <c:v>10.61760025865436</c:v>
              </c:pt>
              <c:pt idx="7">
                <c:v>11.601662289364722</c:v>
              </c:pt>
              <c:pt idx="8">
                <c:v>12.585549188127688</c:v>
              </c:pt>
              <c:pt idx="9">
                <c:v>13.569305736538357</c:v>
              </c:pt>
              <c:pt idx="10">
                <c:v>14.5529819188678</c:v>
              </c:pt>
              <c:pt idx="11">
                <c:v>15.536633279684853</c:v>
              </c:pt>
              <c:pt idx="12">
                <c:v>16.520321300791181</c:v>
              </c:pt>
              <c:pt idx="13">
                <c:v>17.504113798620708</c:v>
              </c:pt>
              <c:pt idx="14">
                <c:v>18.488085343358691</c:v>
              </c:pt>
              <c:pt idx="15">
                <c:v>19.472317701151294</c:v>
              </c:pt>
              <c:pt idx="16">
                <c:v>20.456900300904735</c:v>
              </c:pt>
              <c:pt idx="17">
                <c:v>21.441930727315192</c:v>
              </c:pt>
              <c:pt idx="18">
                <c:v>22.427515241928276</c:v>
              </c:pt>
              <c:pt idx="19">
                <c:v>23.413769334201806</c:v>
              </c:pt>
              <c:pt idx="20">
                <c:v>24.400818304739552</c:v>
              </c:pt>
              <c:pt idx="21">
                <c:v>25.388785440831832</c:v>
              </c:pt>
              <c:pt idx="22">
                <c:v>26.37782951900634</c:v>
              </c:pt>
              <c:pt idx="23">
                <c:v>27.36810920265324</c:v>
              </c:pt>
              <c:pt idx="24">
                <c:v>28.35979568640477</c:v>
              </c:pt>
              <c:pt idx="25">
                <c:v>28.558317792615352</c:v>
              </c:pt>
            </c:numLit>
          </c:xVal>
          <c:yVal>
            <c:numLit>
              <c:formatCode>General</c:formatCode>
              <c:ptCount val="26"/>
              <c:pt idx="0">
                <c:v>3.5145483305064288E-3</c:v>
              </c:pt>
              <c:pt idx="1">
                <c:v>3.7688856243217176E-3</c:v>
              </c:pt>
              <c:pt idx="2">
                <c:v>4.0394782666273339E-3</c:v>
              </c:pt>
              <c:pt idx="3">
                <c:v>4.3272279941113561E-3</c:v>
              </c:pt>
              <c:pt idx="4">
                <c:v>4.6330795679808117E-3</c:v>
              </c:pt>
              <c:pt idx="5">
                <c:v>4.9580226239490759E-3</c:v>
              </c:pt>
              <c:pt idx="6">
                <c:v>5.3032001625822091E-3</c:v>
              </c:pt>
              <c:pt idx="7">
                <c:v>5.669605785216322E-3</c:v>
              </c:pt>
              <c:pt idx="8">
                <c:v>6.0583771686071762E-3</c:v>
              </c:pt>
              <c:pt idx="9">
                <c:v>6.4707053321746109E-3</c:v>
              </c:pt>
              <c:pt idx="10">
                <c:v>6.907837014116615E-3</c:v>
              </c:pt>
              <c:pt idx="11">
                <c:v>7.3710771764237074E-3</c:v>
              </c:pt>
              <c:pt idx="12">
                <c:v>7.861791648811841E-3</c:v>
              </c:pt>
              <c:pt idx="13">
                <c:v>8.3814099225061629E-3</c:v>
              </c:pt>
              <c:pt idx="14">
                <c:v>8.9314281058126502E-3</c:v>
              </c:pt>
              <c:pt idx="15">
                <c:v>9.513412054512508E-3</c:v>
              </c:pt>
              <c:pt idx="16">
                <c:v>1.0129000691320653E-2</c:v>
              </c:pt>
              <c:pt idx="17">
                <c:v>1.0779909529971536E-2</c:v>
              </c:pt>
              <c:pt idx="18">
                <c:v>1.1467934420950916E-2</c:v>
              </c:pt>
              <c:pt idx="19">
                <c:v>1.2194955537489258E-2</c:v>
              </c:pt>
              <c:pt idx="20">
                <c:v>1.2962941622193738E-2</c:v>
              </c:pt>
              <c:pt idx="21">
                <c:v>1.3774234913153584E-2</c:v>
              </c:pt>
              <c:pt idx="22">
                <c:v>1.4630750441318861E-2</c:v>
              </c:pt>
              <c:pt idx="23">
                <c:v>1.5534754206521045E-2</c:v>
              </c:pt>
              <c:pt idx="24">
                <c:v>1.6488621082355326E-2</c:v>
              </c:pt>
              <c:pt idx="25">
                <c:v>1.6685595032799646E-2</c:v>
              </c:pt>
            </c:numLit>
          </c:yVal>
          <c:smooth val="1"/>
          <c:extLst>
            <c:ext xmlns:c16="http://schemas.microsoft.com/office/drawing/2014/chart" uri="{C3380CC4-5D6E-409C-BE32-E72D297353CC}">
              <c16:uniqueId val="{00000060-7B2B-494A-A068-C36D8922E342}"/>
            </c:ext>
          </c:extLst>
        </c:ser>
        <c:ser>
          <c:idx val="70"/>
          <c:order val="70"/>
          <c:tx>
            <c:v>RH=65_Label</c:v>
          </c:tx>
          <c:spPr>
            <a:ln w="3175">
              <a:solidFill>
                <a:srgbClr val="0000FF"/>
              </a:solidFill>
              <a:prstDash val="solid"/>
            </a:ln>
          </c:spPr>
          <c:marker>
            <c:symbol val="none"/>
          </c:marker>
          <c:dLbls>
            <c:dLbl>
              <c:idx val="0"/>
              <c:tx>
                <c:rich>
                  <a:bodyPr rot="-324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65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1-7B2B-494A-A068-C36D8922E34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28.826426268543489</c:v>
              </c:pt>
            </c:numLit>
          </c:xVal>
          <c:yVal>
            <c:numLit>
              <c:formatCode>General</c:formatCode>
              <c:ptCount val="1"/>
              <c:pt idx="0">
                <c:v>1.69548673550181E-2</c:v>
              </c:pt>
            </c:numLit>
          </c:yVal>
          <c:smooth val="0"/>
          <c:extLst>
            <c:ext xmlns:c16="http://schemas.microsoft.com/office/drawing/2014/chart" uri="{C3380CC4-5D6E-409C-BE32-E72D297353CC}">
              <c16:uniqueId val="{00000062-7B2B-494A-A068-C36D8922E342}"/>
            </c:ext>
          </c:extLst>
        </c:ser>
        <c:ser>
          <c:idx val="71"/>
          <c:order val="71"/>
          <c:tx>
            <c:v>RH=65_2</c:v>
          </c:tx>
          <c:spPr>
            <a:ln w="3175">
              <a:solidFill>
                <a:srgbClr val="0000FF"/>
              </a:solidFill>
              <a:prstDash val="solid"/>
            </a:ln>
          </c:spPr>
          <c:marker>
            <c:symbol val="none"/>
          </c:marker>
          <c:xVal>
            <c:numLit>
              <c:formatCode>General</c:formatCode>
              <c:ptCount val="17"/>
              <c:pt idx="0">
                <c:v>29.154281293235872</c:v>
              </c:pt>
              <c:pt idx="1">
                <c:v>30.148974471149877</c:v>
              </c:pt>
              <c:pt idx="2">
                <c:v>31.14562735244127</c:v>
              </c:pt>
              <c:pt idx="3">
                <c:v>32.144466372583011</c:v>
              </c:pt>
              <c:pt idx="4">
                <c:v>33.145734775067154</c:v>
              </c:pt>
              <c:pt idx="5">
                <c:v>34.149693684929971</c:v>
              </c:pt>
              <c:pt idx="6">
                <c:v>35.156623258311356</c:v>
              </c:pt>
              <c:pt idx="7">
                <c:v>36.166823915077146</c:v>
              </c:pt>
              <c:pt idx="8">
                <c:v>37.180617662312947</c:v>
              </c:pt>
              <c:pt idx="9">
                <c:v>38.198349517373778</c:v>
              </c:pt>
              <c:pt idx="10">
                <c:v>39.220389040157556</c:v>
              </c:pt>
              <c:pt idx="11">
                <c:v>40.247127353684583</c:v>
              </c:pt>
              <c:pt idx="12">
                <c:v>41.278992238745232</c:v>
              </c:pt>
              <c:pt idx="13">
                <c:v>42.316438727336042</c:v>
              </c:pt>
              <c:pt idx="14">
                <c:v>43.359952662944558</c:v>
              </c:pt>
              <c:pt idx="15">
                <c:v>44.410054181301376</c:v>
              </c:pt>
              <c:pt idx="16">
                <c:v>41.082522687554388</c:v>
              </c:pt>
            </c:numLit>
          </c:xVal>
          <c:yVal>
            <c:numLit>
              <c:formatCode>General</c:formatCode>
              <c:ptCount val="17"/>
              <c:pt idx="0">
                <c:v>1.7289285079439821E-2</c:v>
              </c:pt>
              <c:pt idx="1">
                <c:v>1.8339260809342089E-2</c:v>
              </c:pt>
              <c:pt idx="2">
                <c:v>1.9446380817797437E-2</c:v>
              </c:pt>
              <c:pt idx="3">
                <c:v>2.0613491784867648E-2</c:v>
              </c:pt>
              <c:pt idx="4">
                <c:v>2.1843582114776178E-2</c:v>
              </c:pt>
              <c:pt idx="5">
                <c:v>2.3139790356552118E-2</c:v>
              </c:pt>
              <c:pt idx="6">
                <c:v>2.450541428664121E-2</c:v>
              </c:pt>
              <c:pt idx="7">
                <c:v>2.5943920716535944E-2</c:v>
              </c:pt>
              <c:pt idx="8">
                <c:v>2.7458956095239195E-2</c:v>
              </c:pt>
              <c:pt idx="9">
                <c:v>2.9054357983965853E-2</c:v>
              </c:pt>
              <c:pt idx="10">
                <c:v>3.0734167489009444E-2</c:v>
              </c:pt>
              <c:pt idx="11">
                <c:v>3.2502915041684302E-2</c:v>
              </c:pt>
              <c:pt idx="12">
                <c:v>3.4364923145966897E-2</c:v>
              </c:pt>
              <c:pt idx="13">
                <c:v>3.6324868600653211E-2</c:v>
              </c:pt>
              <c:pt idx="14">
                <c:v>3.838775763768433E-2</c:v>
              </c:pt>
              <c:pt idx="15">
                <c:v>4.05588806462788E-2</c:v>
              </c:pt>
              <c:pt idx="16">
                <c:v>3.4000000000000002E-2</c:v>
              </c:pt>
            </c:numLit>
          </c:yVal>
          <c:smooth val="1"/>
          <c:extLst>
            <c:ext xmlns:c16="http://schemas.microsoft.com/office/drawing/2014/chart" uri="{C3380CC4-5D6E-409C-BE32-E72D297353CC}">
              <c16:uniqueId val="{00000063-7B2B-494A-A068-C36D8922E342}"/>
            </c:ext>
          </c:extLst>
        </c:ser>
        <c:ser>
          <c:idx val="72"/>
          <c:order val="72"/>
          <c:tx>
            <c:v>RH=75_1</c:v>
          </c:tx>
          <c:spPr>
            <a:ln w="3175">
              <a:solidFill>
                <a:srgbClr val="0000FF"/>
              </a:solidFill>
              <a:prstDash val="solid"/>
            </a:ln>
          </c:spPr>
          <c:marker>
            <c:symbol val="none"/>
          </c:marker>
          <c:xVal>
            <c:numLit>
              <c:formatCode>General</c:formatCode>
              <c:ptCount val="24"/>
              <c:pt idx="0">
                <c:v>4.6623065717223273</c:v>
              </c:pt>
              <c:pt idx="1">
                <c:v>5.6458937795014803</c:v>
              </c:pt>
              <c:pt idx="2">
                <c:v>6.629071034120396</c:v>
              </c:pt>
              <c:pt idx="3">
                <c:v>7.6118612271134749</c:v>
              </c:pt>
              <c:pt idx="4">
                <c:v>8.5942911631238914</c:v>
              </c:pt>
              <c:pt idx="5">
                <c:v>9.5763918619241188</c:v>
              </c:pt>
              <c:pt idx="6">
                <c:v>10.558189988711014</c:v>
              </c:pt>
              <c:pt idx="7">
                <c:v>11.539734100858675</c:v>
              </c:pt>
              <c:pt idx="8">
                <c:v>12.521069831738515</c:v>
              </c:pt>
              <c:pt idx="9">
                <c:v>13.5022484178998</c:v>
              </c:pt>
              <c:pt idx="10">
                <c:v>14.48332709486384</c:v>
              </c:pt>
              <c:pt idx="11">
                <c:v>15.464369514996749</c:v>
              </c:pt>
              <c:pt idx="12">
                <c:v>16.4454461888397</c:v>
              </c:pt>
              <c:pt idx="13">
                <c:v>17.426634951405386</c:v>
              </c:pt>
              <c:pt idx="14">
                <c:v>18.40802145509323</c:v>
              </c:pt>
              <c:pt idx="15">
                <c:v>19.389699691036181</c:v>
              </c:pt>
              <c:pt idx="16">
                <c:v>20.371772540870129</c:v>
              </c:pt>
              <c:pt idx="17">
                <c:v>21.354352361114962</c:v>
              </c:pt>
              <c:pt idx="18">
                <c:v>22.33756160257677</c:v>
              </c:pt>
              <c:pt idx="19">
                <c:v>23.321533467426086</c:v>
              </c:pt>
              <c:pt idx="20">
                <c:v>24.306412606880112</c:v>
              </c:pt>
              <c:pt idx="21">
                <c:v>25.29234140795505</c:v>
              </c:pt>
              <c:pt idx="22">
                <c:v>26.279503577504428</c:v>
              </c:pt>
              <c:pt idx="23">
                <c:v>26.714292480798427</c:v>
              </c:pt>
            </c:numLit>
          </c:xVal>
          <c:yVal>
            <c:numLit>
              <c:formatCode>General</c:formatCode>
              <c:ptCount val="24"/>
              <c:pt idx="0">
                <c:v>4.0587764497889908E-3</c:v>
              </c:pt>
              <c:pt idx="1">
                <c:v>4.3527719675160188E-3</c:v>
              </c:pt>
              <c:pt idx="2">
                <c:v>4.6655981454723928E-3</c:v>
              </c:pt>
              <c:pt idx="3">
                <c:v>4.998305242240709E-3</c:v>
              </c:pt>
              <c:pt idx="4">
                <c:v>5.3519943600493667E-3</c:v>
              </c:pt>
              <c:pt idx="5">
                <c:v>5.727819716456117E-3</c:v>
              </c:pt>
              <c:pt idx="6">
                <c:v>6.1271143004786397E-3</c:v>
              </c:pt>
              <c:pt idx="7">
                <c:v>6.5510398208286965E-3</c:v>
              </c:pt>
              <c:pt idx="8">
                <c:v>7.0009263189632839E-3</c:v>
              </c:pt>
              <c:pt idx="9">
                <c:v>7.4781674371684767E-3</c:v>
              </c:pt>
              <c:pt idx="10">
                <c:v>7.9842233881256032E-3</c:v>
              </c:pt>
              <c:pt idx="11">
                <c:v>8.5206240973003389E-3</c:v>
              </c:pt>
              <c:pt idx="12">
                <c:v>9.0889725322134893E-3</c:v>
              </c:pt>
              <c:pt idx="13">
                <c:v>9.6909482339747766E-3</c:v>
              </c:pt>
              <c:pt idx="14">
                <c:v>1.032831106791901E-2</c:v>
              </c:pt>
              <c:pt idx="15">
                <c:v>1.1002905211784977E-2</c:v>
              </c:pt>
              <c:pt idx="16">
                <c:v>1.1716663401643478E-2</c:v>
              </c:pt>
              <c:pt idx="17">
                <c:v>1.2471611457725566E-2</c:v>
              </c:pt>
              <c:pt idx="18">
                <c:v>1.3269873114451802E-2</c:v>
              </c:pt>
              <c:pt idx="19">
                <c:v>1.411367518133497E-2</c:v>
              </c:pt>
              <c:pt idx="20">
                <c:v>1.5005353064056037E-2</c:v>
              </c:pt>
              <c:pt idx="21">
                <c:v>1.5947682428253101E-2</c:v>
              </c:pt>
              <c:pt idx="22">
                <c:v>1.6942950000713969E-2</c:v>
              </c:pt>
              <c:pt idx="23">
                <c:v>1.7398330004498919E-2</c:v>
              </c:pt>
            </c:numLit>
          </c:yVal>
          <c:smooth val="1"/>
          <c:extLst>
            <c:ext xmlns:c16="http://schemas.microsoft.com/office/drawing/2014/chart" uri="{C3380CC4-5D6E-409C-BE32-E72D297353CC}">
              <c16:uniqueId val="{00000064-7B2B-494A-A068-C36D8922E342}"/>
            </c:ext>
          </c:extLst>
        </c:ser>
        <c:ser>
          <c:idx val="73"/>
          <c:order val="73"/>
          <c:tx>
            <c:v>RH=75_Label</c:v>
          </c:tx>
          <c:spPr>
            <a:ln w="3175">
              <a:solidFill>
                <a:srgbClr val="0000FF"/>
              </a:solidFill>
              <a:prstDash val="solid"/>
            </a:ln>
          </c:spPr>
          <c:marker>
            <c:symbol val="none"/>
          </c:marker>
          <c:dLbls>
            <c:dLbl>
              <c:idx val="0"/>
              <c:tx>
                <c:rich>
                  <a:bodyPr rot="-330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75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5-7B2B-494A-A068-C36D8922E34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26.971348751559898</c:v>
              </c:pt>
            </c:numLit>
          </c:xVal>
          <c:yVal>
            <c:numLit>
              <c:formatCode>General</c:formatCode>
              <c:ptCount val="1"/>
              <c:pt idx="0">
                <c:v>1.7672577171771574E-2</c:v>
              </c:pt>
            </c:numLit>
          </c:yVal>
          <c:smooth val="0"/>
          <c:extLst>
            <c:ext xmlns:c16="http://schemas.microsoft.com/office/drawing/2014/chart" uri="{C3380CC4-5D6E-409C-BE32-E72D297353CC}">
              <c16:uniqueId val="{00000066-7B2B-494A-A068-C36D8922E342}"/>
            </c:ext>
          </c:extLst>
        </c:ser>
        <c:ser>
          <c:idx val="74"/>
          <c:order val="74"/>
          <c:tx>
            <c:v>RH=75_2</c:v>
          </c:tx>
          <c:spPr>
            <a:ln w="3175">
              <a:solidFill>
                <a:srgbClr val="0000FF"/>
              </a:solidFill>
              <a:prstDash val="solid"/>
            </a:ln>
          </c:spPr>
          <c:marker>
            <c:symbol val="none"/>
          </c:marker>
          <c:xVal>
            <c:numLit>
              <c:formatCode>General</c:formatCode>
              <c:ptCount val="16"/>
              <c:pt idx="0">
                <c:v>27.307658238247463</c:v>
              </c:pt>
              <c:pt idx="1">
                <c:v>28.297922010597887</c:v>
              </c:pt>
              <c:pt idx="2">
                <c:v>29.290024378160101</c:v>
              </c:pt>
              <c:pt idx="3">
                <c:v>30.284196891370367</c:v>
              </c:pt>
              <c:pt idx="4">
                <c:v>31.280688957760731</c:v>
              </c:pt>
              <c:pt idx="5">
                <c:v>32.279769020620691</c:v>
              </c:pt>
              <c:pt idx="6">
                <c:v>33.281725824114545</c:v>
              </c:pt>
              <c:pt idx="7">
                <c:v>34.286869773121346</c:v>
              </c:pt>
              <c:pt idx="8">
                <c:v>35.295534397012268</c:v>
              </c:pt>
              <c:pt idx="9">
                <c:v>36.3080779276481</c:v>
              </c:pt>
              <c:pt idx="10">
                <c:v>37.324885003084674</c:v>
              </c:pt>
              <c:pt idx="11">
                <c:v>38.346368509836374</c:v>
              </c:pt>
              <c:pt idx="12">
                <c:v>39.372971297089094</c:v>
              </c:pt>
              <c:pt idx="13">
                <c:v>40.40516277076739</c:v>
              </c:pt>
              <c:pt idx="14">
                <c:v>41.443460412028806</c:v>
              </c:pt>
              <c:pt idx="15">
                <c:v>38.22352920257061</c:v>
              </c:pt>
            </c:numLit>
          </c:xVal>
          <c:yVal>
            <c:numLit>
              <c:formatCode>General</c:formatCode>
              <c:ptCount val="16"/>
              <c:pt idx="0">
                <c:v>1.8037091200106173E-2</c:v>
              </c:pt>
              <c:pt idx="1">
                <c:v>1.9148876952991056E-2</c:v>
              </c:pt>
              <c:pt idx="2">
                <c:v>2.0322243292255012E-2</c:v>
              </c:pt>
              <c:pt idx="3">
                <c:v>2.1560328685217813E-2</c:v>
              </c:pt>
              <c:pt idx="4">
                <c:v>2.2866432828409361E-2</c:v>
              </c:pt>
              <c:pt idx="5">
                <c:v>2.4244026591841397E-2</c:v>
              </c:pt>
              <c:pt idx="6">
                <c:v>2.5696762771875013E-2</c:v>
              </c:pt>
              <c:pt idx="7">
                <c:v>2.7228487732157729E-2</c:v>
              </c:pt>
              <c:pt idx="8">
                <c:v>2.8843254020922502E-2</c:v>
              </c:pt>
              <c:pt idx="9">
                <c:v>3.0545334062874491E-2</c:v>
              </c:pt>
              <c:pt idx="10">
                <c:v>3.2339235035100056E-2</c:v>
              </c:pt>
              <c:pt idx="11">
                <c:v>3.4229715049084494E-2</c:v>
              </c:pt>
              <c:pt idx="12">
                <c:v>3.6221816034480936E-2</c:v>
              </c:pt>
              <c:pt idx="13">
                <c:v>3.8321227715054529E-2</c:v>
              </c:pt>
              <c:pt idx="14">
                <c:v>4.0533232391732191E-2</c:v>
              </c:pt>
              <c:pt idx="15">
                <c:v>3.4000000000000002E-2</c:v>
              </c:pt>
            </c:numLit>
          </c:yVal>
          <c:smooth val="1"/>
          <c:extLst>
            <c:ext xmlns:c16="http://schemas.microsoft.com/office/drawing/2014/chart" uri="{C3380CC4-5D6E-409C-BE32-E72D297353CC}">
              <c16:uniqueId val="{00000067-7B2B-494A-A068-C36D8922E342}"/>
            </c:ext>
          </c:extLst>
        </c:ser>
        <c:ser>
          <c:idx val="75"/>
          <c:order val="75"/>
          <c:tx>
            <c:v>RH=85_1</c:v>
          </c:tx>
          <c:spPr>
            <a:ln w="3175">
              <a:solidFill>
                <a:srgbClr val="0000FF"/>
              </a:solidFill>
              <a:prstDash val="solid"/>
            </a:ln>
          </c:spPr>
          <c:marker>
            <c:symbol val="none"/>
          </c:marker>
          <c:xVal>
            <c:numLit>
              <c:formatCode>General</c:formatCode>
              <c:ptCount val="22"/>
              <c:pt idx="0">
                <c:v>4.6169474962962767</c:v>
              </c:pt>
              <c:pt idx="1">
                <c:v>5.5983047949352542</c:v>
              </c:pt>
              <c:pt idx="2">
                <c:v>6.5791929641451805</c:v>
              </c:pt>
              <c:pt idx="3">
                <c:v>7.5596375500601978</c:v>
              </c:pt>
              <c:pt idx="4">
                <c:v>8.5396685120445444</c:v>
              </c:pt>
              <c:pt idx="5">
                <c:v>9.5193205659853692</c:v>
              </c:pt>
              <c:pt idx="6">
                <c:v>10.498623446963785</c:v>
              </c:pt>
              <c:pt idx="7">
                <c:v>11.477631731162283</c:v>
              </c:pt>
              <c:pt idx="8">
                <c:v>12.456396645443721</c:v>
              </c:pt>
              <c:pt idx="9">
                <c:v>13.434975756413518</c:v>
              </c:pt>
              <c:pt idx="10">
                <c:v>14.413433423660246</c:v>
              </c:pt>
              <c:pt idx="11">
                <c:v>15.391841279166217</c:v>
              </c:pt>
              <c:pt idx="12">
                <c:v>16.37027873463445</c:v>
              </c:pt>
              <c:pt idx="13">
                <c:v>17.348833518650352</c:v>
              </c:pt>
              <c:pt idx="14">
                <c:v>18.327602245787897</c:v>
              </c:pt>
              <c:pt idx="15">
                <c:v>19.306691019983756</c:v>
              </c:pt>
              <c:pt idx="16">
                <c:v>20.286216074740807</c:v>
              </c:pt>
              <c:pt idx="17">
                <c:v>21.266304452988376</c:v>
              </c:pt>
              <c:pt idx="18">
                <c:v>22.247094729722747</c:v>
              </c:pt>
              <c:pt idx="19">
                <c:v>23.228737780882987</c:v>
              </c:pt>
              <c:pt idx="20">
                <c:v>24.211397602286706</c:v>
              </c:pt>
              <c:pt idx="21">
                <c:v>25.096792770011287</c:v>
              </c:pt>
            </c:numLit>
          </c:xVal>
          <c:yVal>
            <c:numLit>
              <c:formatCode>General</c:formatCode>
              <c:ptCount val="22"/>
              <c:pt idx="0">
                <c:v>4.6039524340017379E-3</c:v>
              </c:pt>
              <c:pt idx="1">
                <c:v>4.9377489772132778E-3</c:v>
              </c:pt>
              <c:pt idx="2">
                <c:v>5.2929717188040567E-3</c:v>
              </c:pt>
              <c:pt idx="3">
                <c:v>5.6708221280010393E-3</c:v>
              </c:pt>
              <c:pt idx="4">
                <c:v>6.0725606724782053E-3</c:v>
              </c:pt>
              <c:pt idx="5">
                <c:v>6.4995095513268536E-3</c:v>
              </c:pt>
              <c:pt idx="6">
                <c:v>6.9531956486687616E-3</c:v>
              </c:pt>
              <c:pt idx="7">
                <c:v>7.4349530058112978E-3</c:v>
              </c:pt>
              <c:pt idx="8">
                <c:v>7.9463088445744789E-3</c:v>
              </c:pt>
              <c:pt idx="9">
                <c:v>8.4888648304659586E-3</c:v>
              </c:pt>
              <c:pt idx="10">
                <c:v>9.06430070349914E-3</c:v>
              </c:pt>
              <c:pt idx="11">
                <c:v>9.6743781334406344E-3</c:v>
              </c:pt>
              <c:pt idx="12">
                <c:v>1.0320944818470866E-2</c:v>
              </c:pt>
              <c:pt idx="13">
                <c:v>1.1005938848080411E-2</c:v>
              </c:pt>
              <c:pt idx="14">
                <c:v>1.1731393353058893E-2</c:v>
              </c:pt>
              <c:pt idx="15">
                <c:v>1.2499441467676403E-2</c:v>
              </c:pt>
              <c:pt idx="16">
                <c:v>1.3312321631641564E-2</c:v>
              </c:pt>
              <c:pt idx="17">
                <c:v>1.4172383262167699E-2</c:v>
              </c:pt>
              <c:pt idx="18">
                <c:v>1.5082092829528373E-2</c:v>
              </c:pt>
              <c:pt idx="19">
                <c:v>1.6044040372864291E-2</c:v>
              </c:pt>
              <c:pt idx="20">
                <c:v>1.7060946496765018E-2</c:v>
              </c:pt>
              <c:pt idx="21">
                <c:v>1.8025843781926617E-2</c:v>
              </c:pt>
            </c:numLit>
          </c:yVal>
          <c:smooth val="1"/>
          <c:extLst>
            <c:ext xmlns:c16="http://schemas.microsoft.com/office/drawing/2014/chart" uri="{C3380CC4-5D6E-409C-BE32-E72D297353CC}">
              <c16:uniqueId val="{00000068-7B2B-494A-A068-C36D8922E342}"/>
            </c:ext>
          </c:extLst>
        </c:ser>
        <c:ser>
          <c:idx val="76"/>
          <c:order val="76"/>
          <c:tx>
            <c:v>RH=85_Label</c:v>
          </c:tx>
          <c:spPr>
            <a:ln w="3175">
              <a:solidFill>
                <a:srgbClr val="0000FF"/>
              </a:solidFill>
              <a:prstDash val="solid"/>
            </a:ln>
          </c:spPr>
          <c:marker>
            <c:symbol val="none"/>
          </c:marker>
          <c:dLbls>
            <c:dLbl>
              <c:idx val="0"/>
              <c:tx>
                <c:rich>
                  <a:bodyPr rot="-342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85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9-7B2B-494A-A068-C36D8922E34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25.352773263547515</c:v>
              </c:pt>
            </c:numLit>
          </c:xVal>
          <c:yVal>
            <c:numLit>
              <c:formatCode>General</c:formatCode>
              <c:ptCount val="1"/>
              <c:pt idx="0">
                <c:v>1.8313625263206273E-2</c:v>
              </c:pt>
            </c:numLit>
          </c:yVal>
          <c:smooth val="0"/>
          <c:extLst>
            <c:ext xmlns:c16="http://schemas.microsoft.com/office/drawing/2014/chart" uri="{C3380CC4-5D6E-409C-BE32-E72D297353CC}">
              <c16:uniqueId val="{0000006A-7B2B-494A-A068-C36D8922E342}"/>
            </c:ext>
          </c:extLst>
        </c:ser>
        <c:ser>
          <c:idx val="77"/>
          <c:order val="77"/>
          <c:tx>
            <c:v>RH=85_2</c:v>
          </c:tx>
          <c:spPr>
            <a:ln w="3175">
              <a:solidFill>
                <a:srgbClr val="0000FF"/>
              </a:solidFill>
              <a:prstDash val="solid"/>
            </a:ln>
          </c:spPr>
          <c:marker>
            <c:symbol val="none"/>
          </c:marker>
          <c:xVal>
            <c:numLit>
              <c:formatCode>General</c:formatCode>
              <c:ptCount val="15"/>
              <c:pt idx="0">
                <c:v>25.6876621875757</c:v>
              </c:pt>
              <c:pt idx="1">
                <c:v>26.673658098131735</c:v>
              </c:pt>
              <c:pt idx="2">
                <c:v>27.661360715570094</c:v>
              </c:pt>
              <c:pt idx="3">
                <c:v>28.651004900924384</c:v>
              </c:pt>
              <c:pt idx="4">
                <c:v>29.642844270739275</c:v>
              </c:pt>
              <c:pt idx="5">
                <c:v>30.637152470911296</c:v>
              </c:pt>
              <c:pt idx="6">
                <c:v>31.634224546804546</c:v>
              </c:pt>
              <c:pt idx="7">
                <c:v>32.634378419120495</c:v>
              </c:pt>
              <c:pt idx="8">
                <c:v>33.637956476119065</c:v>
              </c:pt>
              <c:pt idx="9">
                <c:v>34.645327294052166</c:v>
              </c:pt>
              <c:pt idx="10">
                <c:v>35.656887499102659</c:v>
              </c:pt>
              <c:pt idx="11">
                <c:v>36.673063785745285</c:v>
              </c:pt>
              <c:pt idx="12">
                <c:v>37.694315108291399</c:v>
              </c:pt>
              <c:pt idx="13">
                <c:v>38.721135064479967</c:v>
              </c:pt>
              <c:pt idx="14">
                <c:v>35.768432905416319</c:v>
              </c:pt>
            </c:numLit>
          </c:xVal>
          <c:yVal>
            <c:numLit>
              <c:formatCode>General</c:formatCode>
              <c:ptCount val="15"/>
              <c:pt idx="0">
                <c:v>1.8696221443579193E-2</c:v>
              </c:pt>
              <c:pt idx="1">
                <c:v>1.9863798166773625E-2</c:v>
              </c:pt>
              <c:pt idx="2">
                <c:v>2.1097052266478809E-2</c:v>
              </c:pt>
              <c:pt idx="3">
                <c:v>2.239939862759165E-2</c:v>
              </c:pt>
              <c:pt idx="4">
                <c:v>2.377443241346253E-2</c:v>
              </c:pt>
              <c:pt idx="5">
                <c:v>2.5225940548190579E-2</c:v>
              </c:pt>
              <c:pt idx="6">
                <c:v>2.6757914160203695E-2</c:v>
              </c:pt>
              <c:pt idx="7">
                <c:v>2.8374562084222253E-2</c:v>
              </c:pt>
              <c:pt idx="8">
                <c:v>3.008032552980296E-2</c:v>
              </c:pt>
              <c:pt idx="9">
                <c:v>3.1879894037208895E-2</c:v>
              </c:pt>
              <c:pt idx="10">
                <c:v>3.3778222855544576E-2</c:v>
              </c:pt>
              <c:pt idx="11">
                <c:v>3.5780551894204121E-2</c:v>
              </c:pt>
              <c:pt idx="12">
                <c:v>3.7892426416963755E-2</c:v>
              </c:pt>
              <c:pt idx="13">
                <c:v>4.0119719668876355E-2</c:v>
              </c:pt>
              <c:pt idx="14">
                <c:v>3.4000000000000002E-2</c:v>
              </c:pt>
            </c:numLit>
          </c:yVal>
          <c:smooth val="1"/>
          <c:extLst>
            <c:ext xmlns:c16="http://schemas.microsoft.com/office/drawing/2014/chart" uri="{C3380CC4-5D6E-409C-BE32-E72D297353CC}">
              <c16:uniqueId val="{0000006B-7B2B-494A-A068-C36D8922E342}"/>
            </c:ext>
          </c:extLst>
        </c:ser>
        <c:ser>
          <c:idx val="78"/>
          <c:order val="78"/>
          <c:tx>
            <c:v>RH=95_1</c:v>
          </c:tx>
          <c:spPr>
            <a:ln w="3175">
              <a:solidFill>
                <a:srgbClr val="0000FF"/>
              </a:solidFill>
              <a:prstDash val="solid"/>
            </a:ln>
          </c:spPr>
          <c:marker>
            <c:symbol val="none"/>
          </c:marker>
          <c:xVal>
            <c:numLit>
              <c:formatCode>General</c:formatCode>
              <c:ptCount val="21"/>
              <c:pt idx="0">
                <c:v>4.5715093515445933</c:v>
              </c:pt>
              <c:pt idx="1">
                <c:v>5.5506268337490203</c:v>
              </c:pt>
              <c:pt idx="2">
                <c:v>6.5292149220548952</c:v>
              </c:pt>
              <c:pt idx="3">
                <c:v>7.5073017191507443</c:v>
              </c:pt>
              <c:pt idx="4">
                <c:v>8.4849202352887367</c:v>
              </c:pt>
              <c:pt idx="5">
                <c:v>9.4621087729948794</c:v>
              </c:pt>
              <c:pt idx="6">
                <c:v>10.438900016018483</c:v>
              </c:pt>
              <c:pt idx="7">
                <c:v>11.415354444379318</c:v>
              </c:pt>
              <c:pt idx="8">
                <c:v>12.391528753926261</c:v>
              </c:pt>
              <c:pt idx="9">
                <c:v>13.36748671310745</c:v>
              </c:pt>
              <c:pt idx="10">
                <c:v>14.343299674632375</c:v>
              </c:pt>
              <c:pt idx="11">
                <c:v>15.319047117663203</c:v>
              </c:pt>
              <c:pt idx="12">
                <c:v>16.294817222695624</c:v>
              </c:pt>
              <c:pt idx="13">
                <c:v>17.270707481510758</c:v>
              </c:pt>
              <c:pt idx="14">
                <c:v>18.246825344826785</c:v>
              </c:pt>
              <c:pt idx="15">
                <c:v>19.223288910555173</c:v>
              </c:pt>
              <c:pt idx="16">
                <c:v>20.20022765587548</c:v>
              </c:pt>
              <c:pt idx="17">
                <c:v>21.177783216688368</c:v>
              </c:pt>
              <c:pt idx="18">
                <c:v>22.156110218393444</c:v>
              </c:pt>
              <c:pt idx="19">
                <c:v>23.135377162372347</c:v>
              </c:pt>
              <c:pt idx="20">
                <c:v>23.65483180251206</c:v>
              </c:pt>
            </c:numLit>
          </c:xVal>
          <c:yVal>
            <c:numLit>
              <c:formatCode>General</c:formatCode>
              <c:ptCount val="21"/>
              <c:pt idx="0">
                <c:v>5.1500787616026219E-3</c:v>
              </c:pt>
              <c:pt idx="1">
                <c:v>5.5238197122248938E-3</c:v>
              </c:pt>
              <c:pt idx="2">
                <c:v>5.9216027558486456E-3</c:v>
              </c:pt>
              <c:pt idx="3">
                <c:v>6.3447832889701929E-3</c:v>
              </c:pt>
              <c:pt idx="4">
                <c:v>6.7947842027213596E-3</c:v>
              </c:pt>
              <c:pt idx="5">
                <c:v>7.2730991178380543E-3</c:v>
              </c:pt>
              <c:pt idx="6">
                <c:v>7.781452769305296E-3</c:v>
              </c:pt>
              <c:pt idx="7">
                <c:v>8.3213558142954808E-3</c:v>
              </c:pt>
              <c:pt idx="8">
                <c:v>8.8945375406884828E-3</c:v>
              </c:pt>
              <c:pt idx="9">
                <c:v>9.5028131214741039E-3</c:v>
              </c:pt>
              <c:pt idx="10">
                <c:v>1.0148087977263168E-2</c:v>
              </c:pt>
              <c:pt idx="11">
                <c:v>1.0832362423004708E-2</c:v>
              </c:pt>
              <c:pt idx="12">
                <c:v>1.1557736623789566E-2</c:v>
              </c:pt>
              <c:pt idx="13">
                <c:v>1.2326415887099727E-2</c:v>
              </c:pt>
              <c:pt idx="14">
                <c:v>1.3140716321613845E-2</c:v>
              </c:pt>
              <c:pt idx="15">
                <c:v>1.4003070895725766E-2</c:v>
              </c:pt>
              <c:pt idx="16">
                <c:v>1.4916035932318635E-2</c:v>
              </c:pt>
              <c:pt idx="17">
                <c:v>1.5882298080097952E-2</c:v>
              </c:pt>
              <c:pt idx="18">
                <c:v>1.6904681805977675E-2</c:v>
              </c:pt>
              <c:pt idx="19">
                <c:v>1.7986157457680306E-2</c:v>
              </c:pt>
              <c:pt idx="20">
                <c:v>1.8584360404457909E-2</c:v>
              </c:pt>
            </c:numLit>
          </c:yVal>
          <c:smooth val="1"/>
          <c:extLst>
            <c:ext xmlns:c16="http://schemas.microsoft.com/office/drawing/2014/chart" uri="{C3380CC4-5D6E-409C-BE32-E72D297353CC}">
              <c16:uniqueId val="{0000006C-7B2B-494A-A068-C36D8922E342}"/>
            </c:ext>
          </c:extLst>
        </c:ser>
        <c:ser>
          <c:idx val="79"/>
          <c:order val="79"/>
          <c:tx>
            <c:v>RH=95_Label</c:v>
          </c:tx>
          <c:spPr>
            <a:ln w="3175">
              <a:solidFill>
                <a:srgbClr val="0000FF"/>
              </a:solidFill>
              <a:prstDash val="solid"/>
            </a:ln>
          </c:spPr>
          <c:marker>
            <c:symbol val="none"/>
          </c:marker>
          <c:dLbls>
            <c:dLbl>
              <c:idx val="0"/>
              <c:tx>
                <c:rich>
                  <a:bodyPr rot="-348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95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D-7B2B-494A-A068-C36D8922E34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23.899975266563242</c:v>
              </c:pt>
            </c:numLit>
          </c:xVal>
          <c:yVal>
            <c:numLit>
              <c:formatCode>General</c:formatCode>
              <c:ptCount val="1"/>
              <c:pt idx="0">
                <c:v>1.887273459870089E-2</c:v>
              </c:pt>
            </c:numLit>
          </c:yVal>
          <c:smooth val="0"/>
          <c:extLst>
            <c:ext xmlns:c16="http://schemas.microsoft.com/office/drawing/2014/chart" uri="{C3380CC4-5D6E-409C-BE32-E72D297353CC}">
              <c16:uniqueId val="{0000006E-7B2B-494A-A068-C36D8922E342}"/>
            </c:ext>
          </c:extLst>
        </c:ser>
        <c:ser>
          <c:idx val="80"/>
          <c:order val="80"/>
          <c:tx>
            <c:v>RH=95_2</c:v>
          </c:tx>
          <c:spPr>
            <a:ln w="3175">
              <a:solidFill>
                <a:srgbClr val="0000FF"/>
              </a:solidFill>
              <a:prstDash val="solid"/>
            </a:ln>
          </c:spPr>
          <c:marker>
            <c:symbol val="none"/>
          </c:marker>
          <c:xVal>
            <c:numLit>
              <c:formatCode>General</c:formatCode>
              <c:ptCount val="15"/>
              <c:pt idx="0">
                <c:v>24.243308436413216</c:v>
              </c:pt>
              <c:pt idx="1">
                <c:v>25.225189821207071</c:v>
              </c:pt>
              <c:pt idx="2">
                <c:v>26.208638356334774</c:v>
              </c:pt>
              <c:pt idx="3">
                <c:v>27.193890751050116</c:v>
              </c:pt>
              <c:pt idx="4">
                <c:v>28.181203240062626</c:v>
              </c:pt>
              <c:pt idx="5">
                <c:v>29.170852943546347</c:v>
              </c:pt>
              <c:pt idx="6">
                <c:v>30.163139332641901</c:v>
              </c:pt>
              <c:pt idx="7">
                <c:v>31.158385811108786</c:v>
              </c:pt>
              <c:pt idx="8">
                <c:v>32.156941425074045</c:v>
              </c:pt>
              <c:pt idx="9">
                <c:v>33.159182714285301</c:v>
              </c:pt>
              <c:pt idx="10">
                <c:v>34.165515719936757</c:v>
              </c:pt>
              <c:pt idx="11">
                <c:v>35.176378166027028</c:v>
              </c:pt>
              <c:pt idx="12">
                <c:v>36.192241833362694</c:v>
              </c:pt>
              <c:pt idx="13">
                <c:v>37.213615147782654</c:v>
              </c:pt>
              <c:pt idx="14">
                <c:v>33.621562011400414</c:v>
              </c:pt>
            </c:numLit>
          </c:xVal>
          <c:yVal>
            <c:numLit>
              <c:formatCode>General</c:formatCode>
              <c:ptCount val="15"/>
              <c:pt idx="0">
                <c:v>1.9283320859184057E-2</c:v>
              </c:pt>
              <c:pt idx="1">
                <c:v>2.0501710426676936E-2</c:v>
              </c:pt>
              <c:pt idx="2">
                <c:v>2.1789587089421334E-2</c:v>
              </c:pt>
              <c:pt idx="3">
                <c:v>2.3150628701456469E-2</c:v>
              </c:pt>
              <c:pt idx="4">
                <c:v>2.4588712008722775E-2</c:v>
              </c:pt>
              <c:pt idx="5">
                <c:v>2.6107925677992385E-2</c:v>
              </c:pt>
              <c:pt idx="6">
                <c:v>2.7712584444850481E-2</c:v>
              </c:pt>
              <c:pt idx="7">
                <c:v>2.9407244496529976E-2</c:v>
              </c:pt>
              <c:pt idx="8">
                <c:v>3.1196720218989966E-2</c:v>
              </c:pt>
              <c:pt idx="9">
                <c:v>3.3086102453028524E-2</c:v>
              </c:pt>
              <c:pt idx="10">
                <c:v>3.5080778421720527E-2</c:v>
              </c:pt>
              <c:pt idx="11">
                <c:v>3.7186453511361871E-2</c:v>
              </c:pt>
              <c:pt idx="12">
                <c:v>3.9409175110790888E-2</c:v>
              </c:pt>
              <c:pt idx="13">
                <c:v>4.1755358739872586E-2</c:v>
              </c:pt>
              <c:pt idx="14">
                <c:v>3.4000000000000002E-2</c:v>
              </c:pt>
            </c:numLit>
          </c:yVal>
          <c:smooth val="1"/>
          <c:extLst>
            <c:ext xmlns:c16="http://schemas.microsoft.com/office/drawing/2014/chart" uri="{C3380CC4-5D6E-409C-BE32-E72D297353CC}">
              <c16:uniqueId val="{0000006F-7B2B-494A-A068-C36D8922E342}"/>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5EB1-41FA-A6CE-2509FEC6FFA2}"/>
            </c:ext>
          </c:extLst>
        </c:ser>
        <c:ser>
          <c:idx val="1"/>
          <c:order val="1"/>
          <c:tx>
            <c:v>t=-10</c:v>
          </c:tx>
          <c:spPr>
            <a:ln w="3175">
              <a:solidFill>
                <a:srgbClr val="3366FF"/>
              </a:solidFill>
              <a:prstDash val="solid"/>
            </a:ln>
          </c:spPr>
          <c:marker>
            <c:symbol val="none"/>
          </c:marker>
          <c:dLbls>
            <c:dLbl>
              <c:idx val="0"/>
              <c:layout>
                <c:manualLayout>
                  <c:x val="-1.8663194444444444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c:v>
              </c:pt>
              <c:pt idx="1">
                <c:v>-10.178169782224485</c:v>
              </c:pt>
            </c:numLit>
          </c:xVal>
          <c:yVal>
            <c:numLit>
              <c:formatCode>General</c:formatCode>
              <c:ptCount val="2"/>
              <c:pt idx="0">
                <c:v>0</c:v>
              </c:pt>
              <c:pt idx="1">
                <c:v>1.6060824455002901E-3</c:v>
              </c:pt>
            </c:numLit>
          </c:yVal>
          <c:smooth val="0"/>
          <c:extLst>
            <c:ext xmlns:c16="http://schemas.microsoft.com/office/drawing/2014/chart" uri="{C3380CC4-5D6E-409C-BE32-E72D297353CC}">
              <c16:uniqueId val="{00000002-5EB1-41FA-A6CE-2509FEC6FFA2}"/>
            </c:ext>
          </c:extLst>
        </c:ser>
        <c:ser>
          <c:idx val="2"/>
          <c:order val="2"/>
          <c:tx>
            <c:v>t=-9</c:v>
          </c:tx>
          <c:spPr>
            <a:ln w="3175">
              <a:solidFill>
                <a:srgbClr val="3366FF"/>
              </a:solidFill>
              <a:prstDash val="solid"/>
            </a:ln>
          </c:spPr>
          <c:marker>
            <c:symbol val="none"/>
          </c:marker>
          <c:xVal>
            <c:numLit>
              <c:formatCode>General</c:formatCode>
              <c:ptCount val="2"/>
              <c:pt idx="0">
                <c:v>-9</c:v>
              </c:pt>
              <c:pt idx="1">
                <c:v>-9.1914446576012097</c:v>
              </c:pt>
            </c:numLit>
          </c:xVal>
          <c:yVal>
            <c:numLit>
              <c:formatCode>General</c:formatCode>
              <c:ptCount val="2"/>
              <c:pt idx="0">
                <c:v>0</c:v>
              </c:pt>
              <c:pt idx="1">
                <c:v>1.754996587815E-3</c:v>
              </c:pt>
            </c:numLit>
          </c:yVal>
          <c:smooth val="0"/>
          <c:extLst>
            <c:ext xmlns:c16="http://schemas.microsoft.com/office/drawing/2014/chart" uri="{C3380CC4-5D6E-409C-BE32-E72D297353CC}">
              <c16:uniqueId val="{00000003-5EB1-41FA-A6CE-2509FEC6FFA2}"/>
            </c:ext>
          </c:extLst>
        </c:ser>
        <c:ser>
          <c:idx val="3"/>
          <c:order val="3"/>
          <c:tx>
            <c:v>t=-8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4-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c:v>
              </c:pt>
              <c:pt idx="1">
                <c:v>-8.2055155451094635</c:v>
              </c:pt>
            </c:numLit>
          </c:xVal>
          <c:yVal>
            <c:numLit>
              <c:formatCode>General</c:formatCode>
              <c:ptCount val="2"/>
              <c:pt idx="0">
                <c:v>0</c:v>
              </c:pt>
              <c:pt idx="1">
                <c:v>1.9164686538757701E-3</c:v>
              </c:pt>
            </c:numLit>
          </c:yVal>
          <c:smooth val="0"/>
          <c:extLst>
            <c:ext xmlns:c16="http://schemas.microsoft.com/office/drawing/2014/chart" uri="{C3380CC4-5D6E-409C-BE32-E72D297353CC}">
              <c16:uniqueId val="{00000005-5EB1-41FA-A6CE-2509FEC6FFA2}"/>
            </c:ext>
          </c:extLst>
        </c:ser>
        <c:ser>
          <c:idx val="4"/>
          <c:order val="4"/>
          <c:tx>
            <c:v>t=-7</c:v>
          </c:tx>
          <c:spPr>
            <a:ln w="3175">
              <a:solidFill>
                <a:srgbClr val="3366FF"/>
              </a:solidFill>
              <a:prstDash val="solid"/>
            </a:ln>
          </c:spPr>
          <c:marker>
            <c:symbol val="none"/>
          </c:marker>
          <c:xVal>
            <c:numLit>
              <c:formatCode>General</c:formatCode>
              <c:ptCount val="2"/>
              <c:pt idx="0">
                <c:v>-7</c:v>
              </c:pt>
              <c:pt idx="1">
                <c:v>-7.22041332968442</c:v>
              </c:pt>
            </c:numLit>
          </c:xVal>
          <c:yVal>
            <c:numLit>
              <c:formatCode>General</c:formatCode>
              <c:ptCount val="2"/>
              <c:pt idx="0">
                <c:v>0</c:v>
              </c:pt>
              <c:pt idx="1">
                <c:v>2.0914526472602E-3</c:v>
              </c:pt>
            </c:numLit>
          </c:yVal>
          <c:smooth val="0"/>
          <c:extLst>
            <c:ext xmlns:c16="http://schemas.microsoft.com/office/drawing/2014/chart" uri="{C3380CC4-5D6E-409C-BE32-E72D297353CC}">
              <c16:uniqueId val="{00000006-5EB1-41FA-A6CE-2509FEC6FFA2}"/>
            </c:ext>
          </c:extLst>
        </c:ser>
        <c:ser>
          <c:idx val="5"/>
          <c:order val="5"/>
          <c:tx>
            <c:v>t=-6</c:v>
          </c:tx>
          <c:spPr>
            <a:ln w="3175">
              <a:solidFill>
                <a:srgbClr val="3366FF"/>
              </a:solidFill>
              <a:prstDash val="solid"/>
            </a:ln>
          </c:spPr>
          <c:marker>
            <c:symbol val="none"/>
          </c:marker>
          <c:dLbls>
            <c:dLbl>
              <c:idx val="0"/>
              <c:layout>
                <c:manualLayout>
                  <c:x val="-1.5625000000000017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7-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c:v>
              </c:pt>
              <c:pt idx="1">
                <c:v>-6.2361685593886991</c:v>
              </c:pt>
            </c:numLit>
          </c:xVal>
          <c:yVal>
            <c:numLit>
              <c:formatCode>General</c:formatCode>
              <c:ptCount val="2"/>
              <c:pt idx="0">
                <c:v>0</c:v>
              </c:pt>
              <c:pt idx="1">
                <c:v>2.28096746106981E-3</c:v>
              </c:pt>
            </c:numLit>
          </c:yVal>
          <c:smooth val="0"/>
          <c:extLst>
            <c:ext xmlns:c16="http://schemas.microsoft.com/office/drawing/2014/chart" uri="{C3380CC4-5D6E-409C-BE32-E72D297353CC}">
              <c16:uniqueId val="{00000008-5EB1-41FA-A6CE-2509FEC6FFA2}"/>
            </c:ext>
          </c:extLst>
        </c:ser>
        <c:ser>
          <c:idx val="6"/>
          <c:order val="6"/>
          <c:tx>
            <c:v>t=-5</c:v>
          </c:tx>
          <c:spPr>
            <a:ln w="3175">
              <a:solidFill>
                <a:srgbClr val="3366FF"/>
              </a:solidFill>
              <a:prstDash val="solid"/>
            </a:ln>
          </c:spPr>
          <c:marker>
            <c:symbol val="none"/>
          </c:marker>
          <c:xVal>
            <c:numLit>
              <c:formatCode>General</c:formatCode>
              <c:ptCount val="2"/>
              <c:pt idx="0">
                <c:v>-5</c:v>
              </c:pt>
              <c:pt idx="1">
                <c:v>-5.2528112525852375</c:v>
              </c:pt>
            </c:numLit>
          </c:xVal>
          <c:yVal>
            <c:numLit>
              <c:formatCode>General</c:formatCode>
              <c:ptCount val="2"/>
              <c:pt idx="0">
                <c:v>0</c:v>
              </c:pt>
              <c:pt idx="1">
                <c:v>2.4861008807502299E-3</c:v>
              </c:pt>
            </c:numLit>
          </c:yVal>
          <c:smooth val="0"/>
          <c:extLst>
            <c:ext xmlns:c16="http://schemas.microsoft.com/office/drawing/2014/chart" uri="{C3380CC4-5D6E-409C-BE32-E72D297353CC}">
              <c16:uniqueId val="{00000009-5EB1-41FA-A6CE-2509FEC6FFA2}"/>
            </c:ext>
          </c:extLst>
        </c:ser>
        <c:ser>
          <c:idx val="7"/>
          <c:order val="7"/>
          <c:tx>
            <c:v>t=-4</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c:v>
              </c:pt>
              <c:pt idx="1">
                <c:v>-4.2703706848883494</c:v>
              </c:pt>
            </c:numLit>
          </c:xVal>
          <c:yVal>
            <c:numLit>
              <c:formatCode>General</c:formatCode>
              <c:ptCount val="2"/>
              <c:pt idx="0">
                <c:v>0</c:v>
              </c:pt>
              <c:pt idx="1">
                <c:v>2.7080138291286299E-3</c:v>
              </c:pt>
            </c:numLit>
          </c:yVal>
          <c:smooth val="0"/>
          <c:extLst>
            <c:ext xmlns:c16="http://schemas.microsoft.com/office/drawing/2014/chart" uri="{C3380CC4-5D6E-409C-BE32-E72D297353CC}">
              <c16:uniqueId val="{0000000B-5EB1-41FA-A6CE-2509FEC6FFA2}"/>
            </c:ext>
          </c:extLst>
        </c:ser>
        <c:ser>
          <c:idx val="8"/>
          <c:order val="8"/>
          <c:tx>
            <c:v>t=-3</c:v>
          </c:tx>
          <c:spPr>
            <a:ln w="3175">
              <a:solidFill>
                <a:srgbClr val="3366FF"/>
              </a:solidFill>
              <a:prstDash val="solid"/>
            </a:ln>
          </c:spPr>
          <c:marker>
            <c:symbol val="none"/>
          </c:marker>
          <c:xVal>
            <c:numLit>
              <c:formatCode>General</c:formatCode>
              <c:ptCount val="2"/>
              <c:pt idx="0">
                <c:v>-3</c:v>
              </c:pt>
              <c:pt idx="1">
                <c:v>-3.2888751544738284</c:v>
              </c:pt>
            </c:numLit>
          </c:xVal>
          <c:yVal>
            <c:numLit>
              <c:formatCode>General</c:formatCode>
              <c:ptCount val="2"/>
              <c:pt idx="0">
                <c:v>0</c:v>
              </c:pt>
              <c:pt idx="1">
                <c:v>2.9479448711774302E-3</c:v>
              </c:pt>
            </c:numLit>
          </c:yVal>
          <c:smooth val="0"/>
          <c:extLst>
            <c:ext xmlns:c16="http://schemas.microsoft.com/office/drawing/2014/chart" uri="{C3380CC4-5D6E-409C-BE32-E72D297353CC}">
              <c16:uniqueId val="{0000000C-5EB1-41FA-A6CE-2509FEC6FFA2}"/>
            </c:ext>
          </c:extLst>
        </c:ser>
        <c:ser>
          <c:idx val="9"/>
          <c:order val="9"/>
          <c:tx>
            <c:v>t=-2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c:v>
              </c:pt>
              <c:pt idx="1">
                <c:v>-2.3083517242375033</c:v>
              </c:pt>
            </c:numLit>
          </c:xVal>
          <c:yVal>
            <c:numLit>
              <c:formatCode>General</c:formatCode>
              <c:ptCount val="2"/>
              <c:pt idx="0">
                <c:v>0</c:v>
              </c:pt>
              <c:pt idx="1">
                <c:v>3.2072149977556701E-3</c:v>
              </c:pt>
            </c:numLit>
          </c:yVal>
          <c:smooth val="0"/>
          <c:extLst>
            <c:ext xmlns:c16="http://schemas.microsoft.com/office/drawing/2014/chart" uri="{C3380CC4-5D6E-409C-BE32-E72D297353CC}">
              <c16:uniqueId val="{0000000E-5EB1-41FA-A6CE-2509FEC6FFA2}"/>
            </c:ext>
          </c:extLst>
        </c:ser>
        <c:ser>
          <c:idx val="10"/>
          <c:order val="10"/>
          <c:tx>
            <c:v>t=-1</c:v>
          </c:tx>
          <c:spPr>
            <a:ln w="3175">
              <a:solidFill>
                <a:srgbClr val="3366FF"/>
              </a:solidFill>
              <a:prstDash val="solid"/>
            </a:ln>
          </c:spPr>
          <c:marker>
            <c:symbol val="none"/>
          </c:marker>
          <c:xVal>
            <c:numLit>
              <c:formatCode>General</c:formatCode>
              <c:ptCount val="2"/>
              <c:pt idx="0">
                <c:v>-1</c:v>
              </c:pt>
              <c:pt idx="1">
                <c:v>-1.3288259391909205</c:v>
              </c:pt>
            </c:numLit>
          </c:xVal>
          <c:yVal>
            <c:numLit>
              <c:formatCode>General</c:formatCode>
              <c:ptCount val="2"/>
              <c:pt idx="0">
                <c:v>0</c:v>
              </c:pt>
              <c:pt idx="1">
                <c:v>3.4872327095305301E-3</c:v>
              </c:pt>
            </c:numLit>
          </c:yVal>
          <c:smooth val="0"/>
          <c:extLst>
            <c:ext xmlns:c16="http://schemas.microsoft.com/office/drawing/2014/chart" uri="{C3380CC4-5D6E-409C-BE32-E72D297353CC}">
              <c16:uniqueId val="{0000000F-5EB1-41FA-A6CE-2509FEC6FFA2}"/>
            </c:ext>
          </c:extLst>
        </c:ser>
        <c:ser>
          <c:idx val="11"/>
          <c:order val="11"/>
          <c:tx>
            <c:v>t=0</c:v>
          </c:tx>
          <c:spPr>
            <a:ln w="3175">
              <a:solidFill>
                <a:srgbClr val="3366FF"/>
              </a:solidFill>
              <a:prstDash val="solid"/>
            </a:ln>
          </c:spPr>
          <c:marker>
            <c:symbol val="none"/>
          </c:marker>
          <c:dLbls>
            <c:dLbl>
              <c:idx val="0"/>
              <c:layout>
                <c:manualLayout>
                  <c:x val="-1.2586805555555556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0-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c:v>
              </c:pt>
              <c:pt idx="1">
                <c:v>-0.35032151737137107</c:v>
              </c:pt>
            </c:numLit>
          </c:xVal>
          <c:yVal>
            <c:numLit>
              <c:formatCode>General</c:formatCode>
              <c:ptCount val="2"/>
              <c:pt idx="0">
                <c:v>0</c:v>
              </c:pt>
              <c:pt idx="1">
                <c:v>3.7894994244688099E-3</c:v>
              </c:pt>
            </c:numLit>
          </c:yVal>
          <c:smooth val="0"/>
          <c:extLst>
            <c:ext xmlns:c16="http://schemas.microsoft.com/office/drawing/2014/chart" uri="{C3380CC4-5D6E-409C-BE32-E72D297353CC}">
              <c16:uniqueId val="{00000011-5EB1-41FA-A6CE-2509FEC6FFA2}"/>
            </c:ext>
          </c:extLst>
        </c:ser>
        <c:ser>
          <c:idx val="12"/>
          <c:order val="12"/>
          <c:tx>
            <c:v>t=1</c:v>
          </c:tx>
          <c:spPr>
            <a:ln w="3175">
              <a:solidFill>
                <a:srgbClr val="3366FF"/>
              </a:solidFill>
              <a:prstDash val="solid"/>
            </a:ln>
          </c:spPr>
          <c:marker>
            <c:symbol val="none"/>
          </c:marker>
          <c:xVal>
            <c:numLit>
              <c:formatCode>General</c:formatCode>
              <c:ptCount val="2"/>
              <c:pt idx="0">
                <c:v>1</c:v>
              </c:pt>
              <c:pt idx="1">
                <c:v>0.63072878902048046</c:v>
              </c:pt>
            </c:numLit>
          </c:xVal>
          <c:yVal>
            <c:numLit>
              <c:formatCode>General</c:formatCode>
              <c:ptCount val="2"/>
              <c:pt idx="0">
                <c:v>0</c:v>
              </c:pt>
              <c:pt idx="1">
                <c:v>4.0760021751744197E-3</c:v>
              </c:pt>
            </c:numLit>
          </c:yVal>
          <c:smooth val="0"/>
          <c:extLst>
            <c:ext xmlns:c16="http://schemas.microsoft.com/office/drawing/2014/chart" uri="{C3380CC4-5D6E-409C-BE32-E72D297353CC}">
              <c16:uniqueId val="{00000012-5EB1-41FA-A6CE-2509FEC6FFA2}"/>
            </c:ext>
          </c:extLst>
        </c:ser>
        <c:ser>
          <c:idx val="13"/>
          <c:order val="13"/>
          <c:tx>
            <c:v>t=2</c:v>
          </c:tx>
          <c:spPr>
            <a:ln w="3175">
              <a:solidFill>
                <a:srgbClr val="3366FF"/>
              </a:solidFill>
              <a:prstDash val="solid"/>
            </a:ln>
          </c:spPr>
          <c:marker>
            <c:symbol val="none"/>
          </c:marker>
          <c:dLbls>
            <c:dLbl>
              <c:idx val="0"/>
              <c:layout>
                <c:manualLayout>
                  <c:x val="-1.2586805555555556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c:v>
              </c:pt>
              <c:pt idx="1">
                <c:v>1.6111719572746133</c:v>
              </c:pt>
            </c:numLit>
          </c:xVal>
          <c:yVal>
            <c:numLit>
              <c:formatCode>General</c:formatCode>
              <c:ptCount val="2"/>
              <c:pt idx="0">
                <c:v>0</c:v>
              </c:pt>
              <c:pt idx="1">
                <c:v>4.3812837251538898E-3</c:v>
              </c:pt>
            </c:numLit>
          </c:yVal>
          <c:smooth val="0"/>
          <c:extLst>
            <c:ext xmlns:c16="http://schemas.microsoft.com/office/drawing/2014/chart" uri="{C3380CC4-5D6E-409C-BE32-E72D297353CC}">
              <c16:uniqueId val="{00000014-5EB1-41FA-A6CE-2509FEC6FFA2}"/>
            </c:ext>
          </c:extLst>
        </c:ser>
        <c:ser>
          <c:idx val="14"/>
          <c:order val="14"/>
          <c:tx>
            <c:v>t=3</c:v>
          </c:tx>
          <c:spPr>
            <a:ln w="3175">
              <a:solidFill>
                <a:srgbClr val="3366FF"/>
              </a:solidFill>
              <a:prstDash val="solid"/>
            </a:ln>
          </c:spPr>
          <c:marker>
            <c:symbol val="none"/>
          </c:marker>
          <c:xVal>
            <c:numLit>
              <c:formatCode>General</c:formatCode>
              <c:ptCount val="2"/>
              <c:pt idx="0">
                <c:v>3</c:v>
              </c:pt>
              <c:pt idx="1">
                <c:v>2.5909827527240186</c:v>
              </c:pt>
            </c:numLit>
          </c:xVal>
          <c:yVal>
            <c:numLit>
              <c:formatCode>General</c:formatCode>
              <c:ptCount val="2"/>
              <c:pt idx="0">
                <c:v>0</c:v>
              </c:pt>
              <c:pt idx="1">
                <c:v>4.7068331132422503E-3</c:v>
              </c:pt>
            </c:numLit>
          </c:yVal>
          <c:smooth val="0"/>
          <c:extLst>
            <c:ext xmlns:c16="http://schemas.microsoft.com/office/drawing/2014/chart" uri="{C3380CC4-5D6E-409C-BE32-E72D297353CC}">
              <c16:uniqueId val="{00000015-5EB1-41FA-A6CE-2509FEC6FFA2}"/>
            </c:ext>
          </c:extLst>
        </c:ser>
        <c:ser>
          <c:idx val="15"/>
          <c:order val="15"/>
          <c:tx>
            <c:v>t=4</c:v>
          </c:tx>
          <c:spPr>
            <a:ln w="3175">
              <a:solidFill>
                <a:srgbClr val="3366FF"/>
              </a:solidFill>
              <a:prstDash val="solid"/>
            </a:ln>
          </c:spPr>
          <c:marker>
            <c:symbol val="none"/>
          </c:marker>
          <c:dLbls>
            <c:dLbl>
              <c:idx val="0"/>
              <c:layout>
                <c:manualLayout>
                  <c:x val="-1.2586805555555556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6-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c:v>
              </c:pt>
              <c:pt idx="1">
                <c:v>3.5701735744985212</c:v>
              </c:pt>
            </c:numLit>
          </c:xVal>
          <c:yVal>
            <c:numLit>
              <c:formatCode>General</c:formatCode>
              <c:ptCount val="2"/>
              <c:pt idx="0">
                <c:v>0</c:v>
              </c:pt>
              <c:pt idx="1">
                <c:v>5.0538263680982602E-3</c:v>
              </c:pt>
            </c:numLit>
          </c:yVal>
          <c:smooth val="0"/>
          <c:extLst>
            <c:ext xmlns:c16="http://schemas.microsoft.com/office/drawing/2014/chart" uri="{C3380CC4-5D6E-409C-BE32-E72D297353CC}">
              <c16:uniqueId val="{00000017-5EB1-41FA-A6CE-2509FEC6FFA2}"/>
            </c:ext>
          </c:extLst>
        </c:ser>
        <c:ser>
          <c:idx val="16"/>
          <c:order val="16"/>
          <c:tx>
            <c:v>t=5</c:v>
          </c:tx>
          <c:spPr>
            <a:ln w="3175">
              <a:solidFill>
                <a:srgbClr val="3366FF"/>
              </a:solidFill>
              <a:prstDash val="solid"/>
            </a:ln>
          </c:spPr>
          <c:marker>
            <c:symbol val="none"/>
          </c:marker>
          <c:xVal>
            <c:numLit>
              <c:formatCode>General</c:formatCode>
              <c:ptCount val="2"/>
              <c:pt idx="0">
                <c:v>5</c:v>
              </c:pt>
              <c:pt idx="1">
                <c:v>4.5487605635344499</c:v>
              </c:pt>
            </c:numLit>
          </c:xVal>
          <c:yVal>
            <c:numLit>
              <c:formatCode>General</c:formatCode>
              <c:ptCount val="2"/>
              <c:pt idx="0">
                <c:v>0</c:v>
              </c:pt>
              <c:pt idx="1">
                <c:v>5.4234990810554801E-3</c:v>
              </c:pt>
            </c:numLit>
          </c:yVal>
          <c:smooth val="0"/>
          <c:extLst>
            <c:ext xmlns:c16="http://schemas.microsoft.com/office/drawing/2014/chart" uri="{C3380CC4-5D6E-409C-BE32-E72D297353CC}">
              <c16:uniqueId val="{00000018-5EB1-41FA-A6CE-2509FEC6FFA2}"/>
            </c:ext>
          </c:extLst>
        </c:ser>
        <c:ser>
          <c:idx val="17"/>
          <c:order val="17"/>
          <c:tx>
            <c:v>t=6</c:v>
          </c:tx>
          <c:spPr>
            <a:ln w="3175">
              <a:solidFill>
                <a:srgbClr val="3366FF"/>
              </a:solidFill>
              <a:prstDash val="solid"/>
            </a:ln>
          </c:spPr>
          <c:marker>
            <c:symbol val="none"/>
          </c:marker>
          <c:dLbls>
            <c:dLbl>
              <c:idx val="0"/>
              <c:layout>
                <c:manualLayout>
                  <c:x val="-1.2586805555555587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9-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c:v>
              </c:pt>
              <c:pt idx="1">
                <c:v>5.5267544089063207</c:v>
              </c:pt>
            </c:numLit>
          </c:xVal>
          <c:yVal>
            <c:numLit>
              <c:formatCode>General</c:formatCode>
              <c:ptCount val="2"/>
              <c:pt idx="0">
                <c:v>0</c:v>
              </c:pt>
              <c:pt idx="1">
                <c:v>5.8172661857312001E-3</c:v>
              </c:pt>
            </c:numLit>
          </c:yVal>
          <c:smooth val="0"/>
          <c:extLst>
            <c:ext xmlns:c16="http://schemas.microsoft.com/office/drawing/2014/chart" uri="{C3380CC4-5D6E-409C-BE32-E72D297353CC}">
              <c16:uniqueId val="{0000001A-5EB1-41FA-A6CE-2509FEC6FFA2}"/>
            </c:ext>
          </c:extLst>
        </c:ser>
        <c:ser>
          <c:idx val="18"/>
          <c:order val="18"/>
          <c:tx>
            <c:v>t=7</c:v>
          </c:tx>
          <c:spPr>
            <a:ln w="3175">
              <a:solidFill>
                <a:srgbClr val="3366FF"/>
              </a:solidFill>
              <a:prstDash val="solid"/>
            </a:ln>
          </c:spPr>
          <c:marker>
            <c:symbol val="none"/>
          </c:marker>
          <c:xVal>
            <c:numLit>
              <c:formatCode>General</c:formatCode>
              <c:ptCount val="2"/>
              <c:pt idx="0">
                <c:v>7</c:v>
              </c:pt>
              <c:pt idx="1">
                <c:v>6.5041883174927406</c:v>
              </c:pt>
            </c:numLit>
          </c:xVal>
          <c:yVal>
            <c:numLit>
              <c:formatCode>General</c:formatCode>
              <c:ptCount val="2"/>
              <c:pt idx="0">
                <c:v>0</c:v>
              </c:pt>
              <c:pt idx="1">
                <c:v>6.2363910052801001E-3</c:v>
              </c:pt>
            </c:numLit>
          </c:yVal>
          <c:smooth val="0"/>
          <c:extLst>
            <c:ext xmlns:c16="http://schemas.microsoft.com/office/drawing/2014/chart" uri="{C3380CC4-5D6E-409C-BE32-E72D297353CC}">
              <c16:uniqueId val="{0000001B-5EB1-41FA-A6CE-2509FEC6FFA2}"/>
            </c:ext>
          </c:extLst>
        </c:ser>
        <c:ser>
          <c:idx val="19"/>
          <c:order val="19"/>
          <c:tx>
            <c:v>t=8</c:v>
          </c:tx>
          <c:spPr>
            <a:ln w="3175">
              <a:solidFill>
                <a:srgbClr val="3366FF"/>
              </a:solidFill>
              <a:prstDash val="solid"/>
            </a:ln>
          </c:spPr>
          <c:marker>
            <c:symbol val="none"/>
          </c:marker>
          <c:dLbls>
            <c:dLbl>
              <c:idx val="0"/>
              <c:layout>
                <c:manualLayout>
                  <c:x val="-1.2586805555555556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C-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c:v>
              </c:pt>
              <c:pt idx="1">
                <c:v>7.481091633037142</c:v>
              </c:pt>
            </c:numLit>
          </c:xVal>
          <c:yVal>
            <c:numLit>
              <c:formatCode>General</c:formatCode>
              <c:ptCount val="2"/>
              <c:pt idx="0">
                <c:v>0</c:v>
              </c:pt>
              <c:pt idx="1">
                <c:v>6.68230692735069E-3</c:v>
              </c:pt>
            </c:numLit>
          </c:yVal>
          <c:smooth val="0"/>
          <c:extLst>
            <c:ext xmlns:c16="http://schemas.microsoft.com/office/drawing/2014/chart" uri="{C3380CC4-5D6E-409C-BE32-E72D297353CC}">
              <c16:uniqueId val="{0000001D-5EB1-41FA-A6CE-2509FEC6FFA2}"/>
            </c:ext>
          </c:extLst>
        </c:ser>
        <c:ser>
          <c:idx val="20"/>
          <c:order val="20"/>
          <c:tx>
            <c:v>t=9</c:v>
          </c:tx>
          <c:spPr>
            <a:ln w="3175">
              <a:solidFill>
                <a:srgbClr val="3366FF"/>
              </a:solidFill>
              <a:prstDash val="solid"/>
            </a:ln>
          </c:spPr>
          <c:marker>
            <c:symbol val="none"/>
          </c:marker>
          <c:xVal>
            <c:numLit>
              <c:formatCode>General</c:formatCode>
              <c:ptCount val="2"/>
              <c:pt idx="0">
                <c:v>9</c:v>
              </c:pt>
              <c:pt idx="1">
                <c:v>8.4574988517709855</c:v>
              </c:pt>
            </c:numLit>
          </c:xVal>
          <c:yVal>
            <c:numLit>
              <c:formatCode>General</c:formatCode>
              <c:ptCount val="2"/>
              <c:pt idx="0">
                <c:v>0</c:v>
              </c:pt>
              <c:pt idx="1">
                <c:v>7.1565192121477803E-3</c:v>
              </c:pt>
            </c:numLit>
          </c:yVal>
          <c:smooth val="0"/>
          <c:extLst>
            <c:ext xmlns:c16="http://schemas.microsoft.com/office/drawing/2014/chart" uri="{C3380CC4-5D6E-409C-BE32-E72D297353CC}">
              <c16:uniqueId val="{0000001E-5EB1-41FA-A6CE-2509FEC6FFA2}"/>
            </c:ext>
          </c:extLst>
        </c:ser>
        <c:ser>
          <c:idx val="21"/>
          <c:order val="21"/>
          <c:tx>
            <c:v>t=10</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F-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c:v>
              </c:pt>
              <c:pt idx="1">
                <c:v>9.4334500278774112</c:v>
              </c:pt>
            </c:numLit>
          </c:xVal>
          <c:yVal>
            <c:numLit>
              <c:formatCode>General</c:formatCode>
              <c:ptCount val="2"/>
              <c:pt idx="0">
                <c:v>0</c:v>
              </c:pt>
              <c:pt idx="1">
                <c:v>7.6606084940231802E-3</c:v>
              </c:pt>
            </c:numLit>
          </c:yVal>
          <c:smooth val="0"/>
          <c:extLst>
            <c:ext xmlns:c16="http://schemas.microsoft.com/office/drawing/2014/chart" uri="{C3380CC4-5D6E-409C-BE32-E72D297353CC}">
              <c16:uniqueId val="{00000020-5EB1-41FA-A6CE-2509FEC6FFA2}"/>
            </c:ext>
          </c:extLst>
        </c:ser>
        <c:ser>
          <c:idx val="22"/>
          <c:order val="22"/>
          <c:tx>
            <c:v>t=11</c:v>
          </c:tx>
          <c:spPr>
            <a:ln w="3175">
              <a:solidFill>
                <a:srgbClr val="3366FF"/>
              </a:solidFill>
              <a:prstDash val="solid"/>
            </a:ln>
          </c:spPr>
          <c:marker>
            <c:symbol val="none"/>
          </c:marker>
          <c:xVal>
            <c:numLit>
              <c:formatCode>General</c:formatCode>
              <c:ptCount val="2"/>
              <c:pt idx="0">
                <c:v>11</c:v>
              </c:pt>
              <c:pt idx="1">
                <c:v>10.408979273270996</c:v>
              </c:pt>
            </c:numLit>
          </c:xVal>
          <c:yVal>
            <c:numLit>
              <c:formatCode>General</c:formatCode>
              <c:ptCount val="2"/>
              <c:pt idx="0">
                <c:v>0</c:v>
              </c:pt>
              <c:pt idx="1">
                <c:v>8.1963999323046207E-3</c:v>
              </c:pt>
            </c:numLit>
          </c:yVal>
          <c:smooth val="0"/>
          <c:extLst>
            <c:ext xmlns:c16="http://schemas.microsoft.com/office/drawing/2014/chart" uri="{C3380CC4-5D6E-409C-BE32-E72D297353CC}">
              <c16:uniqueId val="{00000021-5EB1-41FA-A6CE-2509FEC6FFA2}"/>
            </c:ext>
          </c:extLst>
        </c:ser>
        <c:ser>
          <c:idx val="23"/>
          <c:order val="23"/>
          <c:tx>
            <c:v>t=12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2-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12</c:v>
              </c:pt>
              <c:pt idx="1">
                <c:v>11.384149975978485</c:v>
              </c:pt>
            </c:numLit>
          </c:xVal>
          <c:yVal>
            <c:numLit>
              <c:formatCode>General</c:formatCode>
              <c:ptCount val="2"/>
              <c:pt idx="0">
                <c:v>0</c:v>
              </c:pt>
              <c:pt idx="1">
                <c:v>8.7654941166616408E-3</c:v>
              </c:pt>
            </c:numLit>
          </c:yVal>
          <c:smooth val="0"/>
          <c:extLst>
            <c:ext xmlns:c16="http://schemas.microsoft.com/office/drawing/2014/chart" uri="{C3380CC4-5D6E-409C-BE32-E72D297353CC}">
              <c16:uniqueId val="{00000023-5EB1-41FA-A6CE-2509FEC6FFA2}"/>
            </c:ext>
          </c:extLst>
        </c:ser>
        <c:ser>
          <c:idx val="24"/>
          <c:order val="24"/>
          <c:tx>
            <c:v>t=13</c:v>
          </c:tx>
          <c:spPr>
            <a:ln w="3175">
              <a:solidFill>
                <a:srgbClr val="3366FF"/>
              </a:solidFill>
              <a:prstDash val="solid"/>
            </a:ln>
          </c:spPr>
          <c:marker>
            <c:symbol val="none"/>
          </c:marker>
          <c:xVal>
            <c:numLit>
              <c:formatCode>General</c:formatCode>
              <c:ptCount val="2"/>
              <c:pt idx="0">
                <c:v>13</c:v>
              </c:pt>
              <c:pt idx="1">
                <c:v>12.359021518730225</c:v>
              </c:pt>
            </c:numLit>
          </c:xVal>
          <c:yVal>
            <c:numLit>
              <c:formatCode>General</c:formatCode>
              <c:ptCount val="2"/>
              <c:pt idx="0">
                <c:v>0</c:v>
              </c:pt>
              <c:pt idx="1">
                <c:v>9.3697232222812107E-3</c:v>
              </c:pt>
            </c:numLit>
          </c:yVal>
          <c:smooth val="0"/>
          <c:extLst>
            <c:ext xmlns:c16="http://schemas.microsoft.com/office/drawing/2014/chart" uri="{C3380CC4-5D6E-409C-BE32-E72D297353CC}">
              <c16:uniqueId val="{00000024-5EB1-41FA-A6CE-2509FEC6FFA2}"/>
            </c:ext>
          </c:extLst>
        </c:ser>
        <c:ser>
          <c:idx val="25"/>
          <c:order val="25"/>
          <c:tx>
            <c:v>t=14</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5-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14</c:v>
              </c:pt>
              <c:pt idx="1">
                <c:v>13.333660721764184</c:v>
              </c:pt>
            </c:numLit>
          </c:xVal>
          <c:yVal>
            <c:numLit>
              <c:formatCode>General</c:formatCode>
              <c:ptCount val="2"/>
              <c:pt idx="0">
                <c:v>0</c:v>
              </c:pt>
              <c:pt idx="1">
                <c:v>1.00110112590387E-2</c:v>
              </c:pt>
            </c:numLit>
          </c:yVal>
          <c:smooth val="0"/>
          <c:extLst>
            <c:ext xmlns:c16="http://schemas.microsoft.com/office/drawing/2014/chart" uri="{C3380CC4-5D6E-409C-BE32-E72D297353CC}">
              <c16:uniqueId val="{00000026-5EB1-41FA-A6CE-2509FEC6FFA2}"/>
            </c:ext>
          </c:extLst>
        </c:ser>
        <c:ser>
          <c:idx val="26"/>
          <c:order val="26"/>
          <c:tx>
            <c:v>t=15</c:v>
          </c:tx>
          <c:spPr>
            <a:ln w="3175">
              <a:solidFill>
                <a:srgbClr val="3366FF"/>
              </a:solidFill>
              <a:prstDash val="solid"/>
            </a:ln>
          </c:spPr>
          <c:marker>
            <c:symbol val="none"/>
          </c:marker>
          <c:xVal>
            <c:numLit>
              <c:formatCode>General</c:formatCode>
              <c:ptCount val="2"/>
              <c:pt idx="0">
                <c:v>15</c:v>
              </c:pt>
              <c:pt idx="1">
                <c:v>14.308142384050464</c:v>
              </c:pt>
            </c:numLit>
          </c:xVal>
          <c:yVal>
            <c:numLit>
              <c:formatCode>General</c:formatCode>
              <c:ptCount val="2"/>
              <c:pt idx="0">
                <c:v>0</c:v>
              </c:pt>
              <c:pt idx="1">
                <c:v>1.06913788271157E-2</c:v>
              </c:pt>
            </c:numLit>
          </c:yVal>
          <c:smooth val="0"/>
          <c:extLst>
            <c:ext xmlns:c16="http://schemas.microsoft.com/office/drawing/2014/chart" uri="{C3380CC4-5D6E-409C-BE32-E72D297353CC}">
              <c16:uniqueId val="{00000027-5EB1-41FA-A6CE-2509FEC6FFA2}"/>
            </c:ext>
          </c:extLst>
        </c:ser>
        <c:ser>
          <c:idx val="27"/>
          <c:order val="27"/>
          <c:tx>
            <c:v>t=16</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8-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16</c:v>
              </c:pt>
              <c:pt idx="1">
                <c:v>15.282549857324684</c:v>
              </c:pt>
            </c:numLit>
          </c:xVal>
          <c:yVal>
            <c:numLit>
              <c:formatCode>General</c:formatCode>
              <c:ptCount val="2"/>
              <c:pt idx="0">
                <c:v>0</c:v>
              </c:pt>
              <c:pt idx="1">
                <c:v>1.14129481899331E-2</c:v>
              </c:pt>
            </c:numLit>
          </c:yVal>
          <c:smooth val="0"/>
          <c:extLst>
            <c:ext xmlns:c16="http://schemas.microsoft.com/office/drawing/2014/chart" uri="{C3380CC4-5D6E-409C-BE32-E72D297353CC}">
              <c16:uniqueId val="{00000029-5EB1-41FA-A6CE-2509FEC6FFA2}"/>
            </c:ext>
          </c:extLst>
        </c:ser>
        <c:ser>
          <c:idx val="28"/>
          <c:order val="28"/>
          <c:tx>
            <c:v>t=17</c:v>
          </c:tx>
          <c:spPr>
            <a:ln w="3175">
              <a:solidFill>
                <a:srgbClr val="3366FF"/>
              </a:solidFill>
              <a:prstDash val="solid"/>
            </a:ln>
          </c:spPr>
          <c:marker>
            <c:symbol val="none"/>
          </c:marker>
          <c:xVal>
            <c:numLit>
              <c:formatCode>General</c:formatCode>
              <c:ptCount val="2"/>
              <c:pt idx="0">
                <c:v>17</c:v>
              </c:pt>
              <c:pt idx="1">
                <c:v>16.256975655314989</c:v>
              </c:pt>
            </c:numLit>
          </c:xVal>
          <c:yVal>
            <c:numLit>
              <c:formatCode>General</c:formatCode>
              <c:ptCount val="2"/>
              <c:pt idx="0">
                <c:v>0</c:v>
              </c:pt>
              <c:pt idx="1">
                <c:v>1.2177948692621701E-2</c:v>
              </c:pt>
            </c:numLit>
          </c:yVal>
          <c:smooth val="0"/>
          <c:extLst>
            <c:ext xmlns:c16="http://schemas.microsoft.com/office/drawing/2014/chart" uri="{C3380CC4-5D6E-409C-BE32-E72D297353CC}">
              <c16:uniqueId val="{0000002A-5EB1-41FA-A6CE-2509FEC6FFA2}"/>
            </c:ext>
          </c:extLst>
        </c:ser>
        <c:ser>
          <c:idx val="29"/>
          <c:order val="29"/>
          <c:tx>
            <c:v>t=18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B-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c:v>
              </c:pt>
              <c:pt idx="1">
                <c:v>17.231522100796575</c:v>
              </c:pt>
            </c:numLit>
          </c:xVal>
          <c:yVal>
            <c:numLit>
              <c:formatCode>General</c:formatCode>
              <c:ptCount val="2"/>
              <c:pt idx="0">
                <c:v>0</c:v>
              </c:pt>
              <c:pt idx="1">
                <c:v>1.29887225571009E-2</c:v>
              </c:pt>
            </c:numLit>
          </c:yVal>
          <c:smooth val="0"/>
          <c:extLst>
            <c:ext xmlns:c16="http://schemas.microsoft.com/office/drawing/2014/chart" uri="{C3380CC4-5D6E-409C-BE32-E72D297353CC}">
              <c16:uniqueId val="{0000002C-5EB1-41FA-A6CE-2509FEC6FFA2}"/>
            </c:ext>
          </c:extLst>
        </c:ser>
        <c:ser>
          <c:idx val="30"/>
          <c:order val="30"/>
          <c:tx>
            <c:v>t=19</c:v>
          </c:tx>
          <c:spPr>
            <a:ln w="3175">
              <a:solidFill>
                <a:srgbClr val="3366FF"/>
              </a:solidFill>
              <a:prstDash val="solid"/>
            </a:ln>
          </c:spPr>
          <c:marker>
            <c:symbol val="none"/>
          </c:marker>
          <c:xVal>
            <c:numLit>
              <c:formatCode>General</c:formatCode>
              <c:ptCount val="2"/>
              <c:pt idx="0">
                <c:v>19</c:v>
              </c:pt>
              <c:pt idx="1">
                <c:v>18.206302013385109</c:v>
              </c:pt>
            </c:numLit>
          </c:xVal>
          <c:yVal>
            <c:numLit>
              <c:formatCode>General</c:formatCode>
              <c:ptCount val="2"/>
              <c:pt idx="0">
                <c:v>0</c:v>
              </c:pt>
              <c:pt idx="1">
                <c:v>1.38477310880087E-2</c:v>
              </c:pt>
            </c:numLit>
          </c:yVal>
          <c:smooth val="0"/>
          <c:extLst>
            <c:ext xmlns:c16="http://schemas.microsoft.com/office/drawing/2014/chart" uri="{C3380CC4-5D6E-409C-BE32-E72D297353CC}">
              <c16:uniqueId val="{0000002D-5EB1-41FA-A6CE-2509FEC6FFA2}"/>
            </c:ext>
          </c:extLst>
        </c:ser>
        <c:ser>
          <c:idx val="31"/>
          <c:order val="31"/>
          <c:tx>
            <c:v>t=20</c:v>
          </c:tx>
          <c:spPr>
            <a:ln w="3175">
              <a:solidFill>
                <a:srgbClr val="3366FF"/>
              </a:solidFill>
              <a:prstDash val="solid"/>
            </a:ln>
          </c:spPr>
          <c:marker>
            <c:symbol val="none"/>
          </c:marker>
          <c:dLbls>
            <c:dLbl>
              <c:idx val="0"/>
              <c:layout>
                <c:manualLayout>
                  <c:x val="-1.5625000000000062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E-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c:v>
              </c:pt>
              <c:pt idx="1">
                <c:v>19.181439441292415</c:v>
              </c:pt>
            </c:numLit>
          </c:xVal>
          <c:yVal>
            <c:numLit>
              <c:formatCode>General</c:formatCode>
              <c:ptCount val="2"/>
              <c:pt idx="0">
                <c:v>0</c:v>
              </c:pt>
              <c:pt idx="1">
                <c:v>1.4757561327237099E-2</c:v>
              </c:pt>
            </c:numLit>
          </c:yVal>
          <c:smooth val="0"/>
          <c:extLst>
            <c:ext xmlns:c16="http://schemas.microsoft.com/office/drawing/2014/chart" uri="{C3380CC4-5D6E-409C-BE32-E72D297353CC}">
              <c16:uniqueId val="{0000002F-5EB1-41FA-A6CE-2509FEC6FFA2}"/>
            </c:ext>
          </c:extLst>
        </c:ser>
        <c:ser>
          <c:idx val="32"/>
          <c:order val="32"/>
          <c:tx>
            <c:v>t=21</c:v>
          </c:tx>
          <c:spPr>
            <a:ln w="3175">
              <a:solidFill>
                <a:srgbClr val="3366FF"/>
              </a:solidFill>
              <a:prstDash val="solid"/>
            </a:ln>
          </c:spPr>
          <c:marker>
            <c:symbol val="none"/>
          </c:marker>
          <c:xVal>
            <c:numLit>
              <c:formatCode>General</c:formatCode>
              <c:ptCount val="2"/>
              <c:pt idx="0">
                <c:v>21</c:v>
              </c:pt>
              <c:pt idx="1">
                <c:v>20.157070440615996</c:v>
              </c:pt>
            </c:numLit>
          </c:xVal>
          <c:yVal>
            <c:numLit>
              <c:formatCode>General</c:formatCode>
              <c:ptCount val="2"/>
              <c:pt idx="0">
                <c:v>0</c:v>
              </c:pt>
              <c:pt idx="1">
                <c:v>1.5720933198744999E-2</c:v>
              </c:pt>
            </c:numLit>
          </c:yVal>
          <c:smooth val="0"/>
          <c:extLst>
            <c:ext xmlns:c16="http://schemas.microsoft.com/office/drawing/2014/chart" uri="{C3380CC4-5D6E-409C-BE32-E72D297353CC}">
              <c16:uniqueId val="{00000030-5EB1-41FA-A6CE-2509FEC6FFA2}"/>
            </c:ext>
          </c:extLst>
        </c:ser>
        <c:ser>
          <c:idx val="33"/>
          <c:order val="33"/>
          <c:tx>
            <c:v>t=22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1-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22</c:v>
              </c:pt>
              <c:pt idx="1">
                <c:v>21.133343906124988</c:v>
              </c:pt>
            </c:numLit>
          </c:xVal>
          <c:yVal>
            <c:numLit>
              <c:formatCode>General</c:formatCode>
              <c:ptCount val="2"/>
              <c:pt idx="0">
                <c:v>0</c:v>
              </c:pt>
              <c:pt idx="1">
                <c:v>1.6740707189674801E-2</c:v>
              </c:pt>
            </c:numLit>
          </c:yVal>
          <c:smooth val="0"/>
          <c:extLst>
            <c:ext xmlns:c16="http://schemas.microsoft.com/office/drawing/2014/chart" uri="{C3380CC4-5D6E-409C-BE32-E72D297353CC}">
              <c16:uniqueId val="{00000032-5EB1-41FA-A6CE-2509FEC6FFA2}"/>
            </c:ext>
          </c:extLst>
        </c:ser>
        <c:ser>
          <c:idx val="34"/>
          <c:order val="34"/>
          <c:tx>
            <c:v>t=23</c:v>
          </c:tx>
          <c:spPr>
            <a:ln w="3175">
              <a:solidFill>
                <a:srgbClr val="3366FF"/>
              </a:solidFill>
              <a:prstDash val="solid"/>
            </a:ln>
          </c:spPr>
          <c:marker>
            <c:symbol val="none"/>
          </c:marker>
          <c:xVal>
            <c:numLit>
              <c:formatCode>General</c:formatCode>
              <c:ptCount val="2"/>
              <c:pt idx="0">
                <c:v>23</c:v>
              </c:pt>
              <c:pt idx="1">
                <c:v>22.110422457943038</c:v>
              </c:pt>
            </c:numLit>
          </c:xVal>
          <c:yVal>
            <c:numLit>
              <c:formatCode>General</c:formatCode>
              <c:ptCount val="2"/>
              <c:pt idx="0">
                <c:v>0</c:v>
              </c:pt>
              <c:pt idx="1">
                <c:v>1.7819892618663902E-2</c:v>
              </c:pt>
            </c:numLit>
          </c:yVal>
          <c:smooth val="0"/>
          <c:extLst>
            <c:ext xmlns:c16="http://schemas.microsoft.com/office/drawing/2014/chart" uri="{C3380CC4-5D6E-409C-BE32-E72D297353CC}">
              <c16:uniqueId val="{00000033-5EB1-41FA-A6CE-2509FEC6FFA2}"/>
            </c:ext>
          </c:extLst>
        </c:ser>
        <c:ser>
          <c:idx val="35"/>
          <c:order val="35"/>
          <c:tx>
            <c:v>t=24</c:v>
          </c:tx>
          <c:spPr>
            <a:ln w="3175">
              <a:solidFill>
                <a:srgbClr val="3366FF"/>
              </a:solidFill>
              <a:prstDash val="solid"/>
            </a:ln>
          </c:spPr>
          <c:marker>
            <c:symbol val="none"/>
          </c:marker>
          <c:dLbls>
            <c:dLbl>
              <c:idx val="0"/>
              <c:layout>
                <c:manualLayout>
                  <c:x val="-1.5625000000000062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4-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c:v>
              </c:pt>
              <c:pt idx="1">
                <c:v>23.088483389020521</c:v>
              </c:pt>
            </c:numLit>
          </c:xVal>
          <c:yVal>
            <c:numLit>
              <c:formatCode>General</c:formatCode>
              <c:ptCount val="2"/>
              <c:pt idx="0">
                <c:v>0</c:v>
              </c:pt>
              <c:pt idx="1">
                <c:v>1.8961656547670701E-2</c:v>
              </c:pt>
            </c:numLit>
          </c:yVal>
          <c:smooth val="0"/>
          <c:extLst>
            <c:ext xmlns:c16="http://schemas.microsoft.com/office/drawing/2014/chart" uri="{C3380CC4-5D6E-409C-BE32-E72D297353CC}">
              <c16:uniqueId val="{00000035-5EB1-41FA-A6CE-2509FEC6FFA2}"/>
            </c:ext>
          </c:extLst>
        </c:ser>
        <c:ser>
          <c:idx val="36"/>
          <c:order val="36"/>
          <c:tx>
            <c:v>t=25</c:v>
          </c:tx>
          <c:spPr>
            <a:ln w="3175">
              <a:solidFill>
                <a:srgbClr val="3366FF"/>
              </a:solidFill>
              <a:prstDash val="solid"/>
            </a:ln>
          </c:spPr>
          <c:marker>
            <c:symbol val="none"/>
          </c:marker>
          <c:xVal>
            <c:numLit>
              <c:formatCode>General</c:formatCode>
              <c:ptCount val="2"/>
              <c:pt idx="0">
                <c:v>25</c:v>
              </c:pt>
              <c:pt idx="1">
                <c:v>24.067719678840422</c:v>
              </c:pt>
            </c:numLit>
          </c:xVal>
          <c:yVal>
            <c:numLit>
              <c:formatCode>General</c:formatCode>
              <c:ptCount val="2"/>
              <c:pt idx="0">
                <c:v>0</c:v>
              </c:pt>
              <c:pt idx="1">
                <c:v>2.0169333399710401E-2</c:v>
              </c:pt>
            </c:numLit>
          </c:yVal>
          <c:smooth val="0"/>
          <c:extLst>
            <c:ext xmlns:c16="http://schemas.microsoft.com/office/drawing/2014/chart" uri="{C3380CC4-5D6E-409C-BE32-E72D297353CC}">
              <c16:uniqueId val="{00000036-5EB1-41FA-A6CE-2509FEC6FFA2}"/>
            </c:ext>
          </c:extLst>
        </c:ser>
        <c:ser>
          <c:idx val="37"/>
          <c:order val="37"/>
          <c:tx>
            <c:v>t=26</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7-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c:v>
              </c:pt>
              <c:pt idx="1">
                <c:v>25.048321472690549</c:v>
              </c:pt>
            </c:numLit>
          </c:xVal>
          <c:yVal>
            <c:numLit>
              <c:formatCode>General</c:formatCode>
              <c:ptCount val="2"/>
              <c:pt idx="0">
                <c:v>0</c:v>
              </c:pt>
              <c:pt idx="1">
                <c:v>2.14468772059432E-2</c:v>
              </c:pt>
            </c:numLit>
          </c:yVal>
          <c:smooth val="0"/>
          <c:extLst>
            <c:ext xmlns:c16="http://schemas.microsoft.com/office/drawing/2014/chart" uri="{C3380CC4-5D6E-409C-BE32-E72D297353CC}">
              <c16:uniqueId val="{00000038-5EB1-41FA-A6CE-2509FEC6FFA2}"/>
            </c:ext>
          </c:extLst>
        </c:ser>
        <c:ser>
          <c:idx val="38"/>
          <c:order val="38"/>
          <c:tx>
            <c:v>t=27</c:v>
          </c:tx>
          <c:spPr>
            <a:ln w="3175">
              <a:solidFill>
                <a:srgbClr val="3366FF"/>
              </a:solidFill>
              <a:prstDash val="solid"/>
            </a:ln>
          </c:spPr>
          <c:marker>
            <c:symbol val="none"/>
          </c:marker>
          <c:xVal>
            <c:numLit>
              <c:formatCode>General</c:formatCode>
              <c:ptCount val="2"/>
              <c:pt idx="0">
                <c:v>27</c:v>
              </c:pt>
              <c:pt idx="1">
                <c:v>26.030535251824297</c:v>
              </c:pt>
            </c:numLit>
          </c:xVal>
          <c:yVal>
            <c:numLit>
              <c:formatCode>General</c:formatCode>
              <c:ptCount val="2"/>
              <c:pt idx="0">
                <c:v>0</c:v>
              </c:pt>
              <c:pt idx="1">
                <c:v>2.2797604877624101E-2</c:v>
              </c:pt>
            </c:numLit>
          </c:yVal>
          <c:smooth val="0"/>
          <c:extLst>
            <c:ext xmlns:c16="http://schemas.microsoft.com/office/drawing/2014/chart" uri="{C3380CC4-5D6E-409C-BE32-E72D297353CC}">
              <c16:uniqueId val="{00000039-5EB1-41FA-A6CE-2509FEC6FFA2}"/>
            </c:ext>
          </c:extLst>
        </c:ser>
        <c:ser>
          <c:idx val="39"/>
          <c:order val="39"/>
          <c:tx>
            <c:v>t=28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A-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c:v>
              </c:pt>
              <c:pt idx="1">
                <c:v>27.014607998719534</c:v>
              </c:pt>
            </c:numLit>
          </c:xVal>
          <c:yVal>
            <c:numLit>
              <c:formatCode>General</c:formatCode>
              <c:ptCount val="2"/>
              <c:pt idx="0">
                <c:v>0</c:v>
              </c:pt>
              <c:pt idx="1">
                <c:v>2.42254240784005E-2</c:v>
              </c:pt>
            </c:numLit>
          </c:yVal>
          <c:smooth val="0"/>
          <c:extLst>
            <c:ext xmlns:c16="http://schemas.microsoft.com/office/drawing/2014/chart" uri="{C3380CC4-5D6E-409C-BE32-E72D297353CC}">
              <c16:uniqueId val="{0000003B-5EB1-41FA-A6CE-2509FEC6FFA2}"/>
            </c:ext>
          </c:extLst>
        </c:ser>
        <c:ser>
          <c:idx val="40"/>
          <c:order val="40"/>
          <c:tx>
            <c:v>t=29</c:v>
          </c:tx>
          <c:spPr>
            <a:ln w="3175">
              <a:solidFill>
                <a:srgbClr val="3366FF"/>
              </a:solidFill>
              <a:prstDash val="solid"/>
            </a:ln>
          </c:spPr>
          <c:marker>
            <c:symbol val="none"/>
          </c:marker>
          <c:xVal>
            <c:numLit>
              <c:formatCode>General</c:formatCode>
              <c:ptCount val="2"/>
              <c:pt idx="0">
                <c:v>29</c:v>
              </c:pt>
              <c:pt idx="1">
                <c:v>28.000807254075738</c:v>
              </c:pt>
            </c:numLit>
          </c:xVal>
          <c:yVal>
            <c:numLit>
              <c:formatCode>General</c:formatCode>
              <c:ptCount val="2"/>
              <c:pt idx="0">
                <c:v>0</c:v>
              </c:pt>
              <c:pt idx="1">
                <c:v>2.5734457306702801E-2</c:v>
              </c:pt>
            </c:numLit>
          </c:yVal>
          <c:smooth val="0"/>
          <c:extLst>
            <c:ext xmlns:c16="http://schemas.microsoft.com/office/drawing/2014/chart" uri="{C3380CC4-5D6E-409C-BE32-E72D297353CC}">
              <c16:uniqueId val="{0000003C-5EB1-41FA-A6CE-2509FEC6FFA2}"/>
            </c:ext>
          </c:extLst>
        </c:ser>
        <c:ser>
          <c:idx val="41"/>
          <c:order val="41"/>
          <c:tx>
            <c:v>t=30</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D-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30</c:v>
              </c:pt>
              <c:pt idx="1">
                <c:v>28.989422570672435</c:v>
              </c:pt>
            </c:numLit>
          </c:xVal>
          <c:yVal>
            <c:numLit>
              <c:formatCode>General</c:formatCode>
              <c:ptCount val="2"/>
              <c:pt idx="0">
                <c:v>0</c:v>
              </c:pt>
              <c:pt idx="1">
                <c:v>2.73290562877294E-2</c:v>
              </c:pt>
            </c:numLit>
          </c:yVal>
          <c:smooth val="0"/>
          <c:extLst>
            <c:ext xmlns:c16="http://schemas.microsoft.com/office/drawing/2014/chart" uri="{C3380CC4-5D6E-409C-BE32-E72D297353CC}">
              <c16:uniqueId val="{0000003E-5EB1-41FA-A6CE-2509FEC6FFA2}"/>
            </c:ext>
          </c:extLst>
        </c:ser>
        <c:ser>
          <c:idx val="42"/>
          <c:order val="42"/>
          <c:tx>
            <c:v>t=31</c:v>
          </c:tx>
          <c:spPr>
            <a:ln w="3175">
              <a:solidFill>
                <a:srgbClr val="3366FF"/>
              </a:solidFill>
              <a:prstDash val="solid"/>
            </a:ln>
          </c:spPr>
          <c:marker>
            <c:symbol val="none"/>
          </c:marker>
          <c:xVal>
            <c:numLit>
              <c:formatCode>General</c:formatCode>
              <c:ptCount val="2"/>
              <c:pt idx="0">
                <c:v>31</c:v>
              </c:pt>
              <c:pt idx="1">
                <c:v>29.98076708258969</c:v>
              </c:pt>
            </c:numLit>
          </c:xVal>
          <c:yVal>
            <c:numLit>
              <c:formatCode>General</c:formatCode>
              <c:ptCount val="2"/>
              <c:pt idx="0">
                <c:v>0</c:v>
              </c:pt>
              <c:pt idx="1">
                <c:v>2.9013817626337601E-2</c:v>
              </c:pt>
            </c:numLit>
          </c:yVal>
          <c:smooth val="0"/>
          <c:extLst>
            <c:ext xmlns:c16="http://schemas.microsoft.com/office/drawing/2014/chart" uri="{C3380CC4-5D6E-409C-BE32-E72D297353CC}">
              <c16:uniqueId val="{0000003F-5EB1-41FA-A6CE-2509FEC6FFA2}"/>
            </c:ext>
          </c:extLst>
        </c:ser>
        <c:ser>
          <c:idx val="43"/>
          <c:order val="43"/>
          <c:tx>
            <c:v>t=32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0-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c:v>
              </c:pt>
              <c:pt idx="1">
                <c:v>30.975179201690683</c:v>
              </c:pt>
            </c:numLit>
          </c:xVal>
          <c:yVal>
            <c:numLit>
              <c:formatCode>General</c:formatCode>
              <c:ptCount val="2"/>
              <c:pt idx="0">
                <c:v>0</c:v>
              </c:pt>
              <c:pt idx="1">
                <c:v>3.0793599853619201E-2</c:v>
              </c:pt>
            </c:numLit>
          </c:yVal>
          <c:smooth val="0"/>
          <c:extLst>
            <c:ext xmlns:c16="http://schemas.microsoft.com/office/drawing/2014/chart" uri="{C3380CC4-5D6E-409C-BE32-E72D297353CC}">
              <c16:uniqueId val="{00000041-5EB1-41FA-A6CE-2509FEC6FFA2}"/>
            </c:ext>
          </c:extLst>
        </c:ser>
        <c:ser>
          <c:idx val="44"/>
          <c:order val="44"/>
          <c:tx>
            <c:v>t=33</c:v>
          </c:tx>
          <c:spPr>
            <a:ln w="3175">
              <a:solidFill>
                <a:srgbClr val="3366FF"/>
              </a:solidFill>
              <a:prstDash val="solid"/>
            </a:ln>
          </c:spPr>
          <c:marker>
            <c:symbol val="none"/>
          </c:marker>
          <c:xVal>
            <c:numLit>
              <c:formatCode>General</c:formatCode>
              <c:ptCount val="2"/>
              <c:pt idx="0">
                <c:v>33</c:v>
              </c:pt>
              <c:pt idx="1">
                <c:v>31.973024454731338</c:v>
              </c:pt>
            </c:numLit>
          </c:xVal>
          <c:yVal>
            <c:numLit>
              <c:formatCode>General</c:formatCode>
              <c:ptCount val="2"/>
              <c:pt idx="0">
                <c:v>0</c:v>
              </c:pt>
              <c:pt idx="1">
                <c:v>3.2673542015821698E-2</c:v>
              </c:pt>
            </c:numLit>
          </c:yVal>
          <c:smooth val="0"/>
          <c:extLst>
            <c:ext xmlns:c16="http://schemas.microsoft.com/office/drawing/2014/chart" uri="{C3380CC4-5D6E-409C-BE32-E72D297353CC}">
              <c16:uniqueId val="{00000042-5EB1-41FA-A6CE-2509FEC6FFA2}"/>
            </c:ext>
          </c:extLst>
        </c:ser>
        <c:ser>
          <c:idx val="45"/>
          <c:order val="45"/>
          <c:tx>
            <c:v>t=34</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3-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34</c:v>
              </c:pt>
              <c:pt idx="1">
                <c:v>32.994194831013921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4-5EB1-41FA-A6CE-2509FEC6FFA2}"/>
            </c:ext>
          </c:extLst>
        </c:ser>
        <c:ser>
          <c:idx val="46"/>
          <c:order val="46"/>
          <c:tx>
            <c:v>t=35</c:v>
          </c:tx>
          <c:spPr>
            <a:ln w="3175">
              <a:solidFill>
                <a:srgbClr val="3366FF"/>
              </a:solidFill>
              <a:prstDash val="solid"/>
            </a:ln>
          </c:spPr>
          <c:marker>
            <c:symbol val="none"/>
          </c:marker>
          <c:xVal>
            <c:numLit>
              <c:formatCode>General</c:formatCode>
              <c:ptCount val="2"/>
              <c:pt idx="0">
                <c:v>35</c:v>
              </c:pt>
              <c:pt idx="1">
                <c:v>34.05705765407555</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5-5EB1-41FA-A6CE-2509FEC6FFA2}"/>
            </c:ext>
          </c:extLst>
        </c:ser>
        <c:ser>
          <c:idx val="47"/>
          <c:order val="47"/>
          <c:tx>
            <c:v>t=36</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6-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36</c:v>
              </c:pt>
              <c:pt idx="1">
                <c:v>35.119920477137178</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7-5EB1-41FA-A6CE-2509FEC6FFA2}"/>
            </c:ext>
          </c:extLst>
        </c:ser>
        <c:ser>
          <c:idx val="48"/>
          <c:order val="48"/>
          <c:tx>
            <c:v>t=37</c:v>
          </c:tx>
          <c:spPr>
            <a:ln w="3175">
              <a:solidFill>
                <a:srgbClr val="3366FF"/>
              </a:solidFill>
              <a:prstDash val="solid"/>
            </a:ln>
          </c:spPr>
          <c:marker>
            <c:symbol val="none"/>
          </c:marker>
          <c:xVal>
            <c:numLit>
              <c:formatCode>General</c:formatCode>
              <c:ptCount val="2"/>
              <c:pt idx="0">
                <c:v>37</c:v>
              </c:pt>
              <c:pt idx="1">
                <c:v>36.182783300198807</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8-5EB1-41FA-A6CE-2509FEC6FFA2}"/>
            </c:ext>
          </c:extLst>
        </c:ser>
        <c:ser>
          <c:idx val="49"/>
          <c:order val="49"/>
          <c:tx>
            <c:v>t=38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9-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38</c:v>
              </c:pt>
              <c:pt idx="1">
                <c:v>37.245646123260443</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A-5EB1-41FA-A6CE-2509FEC6FFA2}"/>
            </c:ext>
          </c:extLst>
        </c:ser>
        <c:ser>
          <c:idx val="50"/>
          <c:order val="50"/>
          <c:tx>
            <c:v>t=39</c:v>
          </c:tx>
          <c:spPr>
            <a:ln w="3175">
              <a:solidFill>
                <a:srgbClr val="3366FF"/>
              </a:solidFill>
              <a:prstDash val="solid"/>
            </a:ln>
          </c:spPr>
          <c:marker>
            <c:symbol val="none"/>
          </c:marker>
          <c:xVal>
            <c:numLit>
              <c:formatCode>General</c:formatCode>
              <c:ptCount val="2"/>
              <c:pt idx="0">
                <c:v>39</c:v>
              </c:pt>
              <c:pt idx="1">
                <c:v>38.308508946322071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B-5EB1-41FA-A6CE-2509FEC6FFA2}"/>
            </c:ext>
          </c:extLst>
        </c:ser>
        <c:ser>
          <c:idx val="51"/>
          <c:order val="51"/>
          <c:tx>
            <c:v>t=40</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C-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40</c:v>
              </c:pt>
              <c:pt idx="1">
                <c:v>39.3713717693837</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D-5EB1-41FA-A6CE-2509FEC6FFA2}"/>
            </c:ext>
          </c:extLst>
        </c:ser>
        <c:ser>
          <c:idx val="52"/>
          <c:order val="52"/>
          <c:tx>
            <c:v>t=41</c:v>
          </c:tx>
          <c:spPr>
            <a:ln w="3175">
              <a:solidFill>
                <a:srgbClr val="3366FF"/>
              </a:solidFill>
              <a:prstDash val="solid"/>
            </a:ln>
          </c:spPr>
          <c:marker>
            <c:symbol val="none"/>
          </c:marker>
          <c:xVal>
            <c:numLit>
              <c:formatCode>General</c:formatCode>
              <c:ptCount val="2"/>
              <c:pt idx="0">
                <c:v>41</c:v>
              </c:pt>
              <c:pt idx="1">
                <c:v>40.434234592445328</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E-5EB1-41FA-A6CE-2509FEC6FFA2}"/>
            </c:ext>
          </c:extLst>
        </c:ser>
        <c:ser>
          <c:idx val="53"/>
          <c:order val="53"/>
          <c:tx>
            <c:v>t=42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F-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42</c:v>
              </c:pt>
              <c:pt idx="1">
                <c:v>41.497097415506957</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0-5EB1-41FA-A6CE-2509FEC6FFA2}"/>
            </c:ext>
          </c:extLst>
        </c:ser>
        <c:ser>
          <c:idx val="54"/>
          <c:order val="54"/>
          <c:tx>
            <c:v>t=43</c:v>
          </c:tx>
          <c:spPr>
            <a:ln w="3175">
              <a:solidFill>
                <a:srgbClr val="3366FF"/>
              </a:solidFill>
              <a:prstDash val="solid"/>
            </a:ln>
          </c:spPr>
          <c:marker>
            <c:symbol val="none"/>
          </c:marker>
          <c:xVal>
            <c:numLit>
              <c:formatCode>General</c:formatCode>
              <c:ptCount val="2"/>
              <c:pt idx="0">
                <c:v>43</c:v>
              </c:pt>
              <c:pt idx="1">
                <c:v>42.559960238568586</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1-5EB1-41FA-A6CE-2509FEC6FFA2}"/>
            </c:ext>
          </c:extLst>
        </c:ser>
        <c:ser>
          <c:idx val="55"/>
          <c:order val="55"/>
          <c:tx>
            <c:v>t=44</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2-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44</c:v>
              </c:pt>
              <c:pt idx="1">
                <c:v>43.622823061630221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3-5EB1-41FA-A6CE-2509FEC6FFA2}"/>
            </c:ext>
          </c:extLst>
        </c:ser>
        <c:ser>
          <c:idx val="56"/>
          <c:order val="56"/>
          <c:tx>
            <c:v>t=45</c:v>
          </c:tx>
          <c:spPr>
            <a:ln w="3175">
              <a:solidFill>
                <a:srgbClr val="3366FF"/>
              </a:solidFill>
              <a:prstDash val="solid"/>
            </a:ln>
          </c:spPr>
          <c:marker>
            <c:symbol val="none"/>
          </c:marker>
          <c:xVal>
            <c:numLit>
              <c:formatCode>General</c:formatCode>
              <c:ptCount val="2"/>
              <c:pt idx="0">
                <c:v>45</c:v>
              </c:pt>
              <c:pt idx="1">
                <c:v>44.68568588469185</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4-5EB1-41FA-A6CE-2509FEC6FFA2}"/>
            </c:ext>
          </c:extLst>
        </c:ser>
        <c:ser>
          <c:idx val="57"/>
          <c:order val="57"/>
          <c:tx>
            <c:v>t=46</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5-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46</c:v>
              </c:pt>
              <c:pt idx="1">
                <c:v>45.748548707753478</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6-5EB1-41FA-A6CE-2509FEC6FFA2}"/>
            </c:ext>
          </c:extLst>
        </c:ser>
        <c:ser>
          <c:idx val="58"/>
          <c:order val="58"/>
          <c:tx>
            <c:v>t=47</c:v>
          </c:tx>
          <c:spPr>
            <a:ln w="3175">
              <a:solidFill>
                <a:srgbClr val="3366FF"/>
              </a:solidFill>
              <a:prstDash val="solid"/>
            </a:ln>
          </c:spPr>
          <c:marker>
            <c:symbol val="none"/>
          </c:marker>
          <c:xVal>
            <c:numLit>
              <c:formatCode>General</c:formatCode>
              <c:ptCount val="2"/>
              <c:pt idx="0">
                <c:v>47</c:v>
              </c:pt>
              <c:pt idx="1">
                <c:v>46.811411530815114</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7-5EB1-41FA-A6CE-2509FEC6FFA2}"/>
            </c:ext>
          </c:extLst>
        </c:ser>
        <c:ser>
          <c:idx val="59"/>
          <c:order val="59"/>
          <c:tx>
            <c:v>t=48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8-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48</c:v>
              </c:pt>
              <c:pt idx="1">
                <c:v>47.874274353876743</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9-5EB1-41FA-A6CE-2509FEC6FFA2}"/>
            </c:ext>
          </c:extLst>
        </c:ser>
        <c:ser>
          <c:idx val="60"/>
          <c:order val="60"/>
          <c:tx>
            <c:v>t=49</c:v>
          </c:tx>
          <c:spPr>
            <a:ln w="3175">
              <a:solidFill>
                <a:srgbClr val="3366FF"/>
              </a:solidFill>
              <a:prstDash val="solid"/>
            </a:ln>
          </c:spPr>
          <c:marker>
            <c:symbol val="none"/>
          </c:marker>
          <c:xVal>
            <c:numLit>
              <c:formatCode>General</c:formatCode>
              <c:ptCount val="2"/>
              <c:pt idx="0">
                <c:v>49</c:v>
              </c:pt>
              <c:pt idx="1">
                <c:v>48.937137176938371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A-5EB1-41FA-A6CE-2509FEC6FFA2}"/>
            </c:ext>
          </c:extLst>
        </c:ser>
        <c:ser>
          <c:idx val="61"/>
          <c:order val="61"/>
          <c:tx>
            <c:v>t=50</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50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B-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50</c:v>
              </c:pt>
              <c:pt idx="1">
                <c:v>50.000000000000007</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C-5EB1-41FA-A6CE-2509FEC6FFA2}"/>
            </c:ext>
          </c:extLst>
        </c:ser>
        <c:ser>
          <c:idx val="62"/>
          <c:order val="62"/>
          <c:tx>
            <c:v/>
          </c:tx>
          <c:spPr>
            <a:ln w="3175">
              <a:solidFill>
                <a:srgbClr val="000000"/>
              </a:solidFill>
              <a:prstDash val="solid"/>
            </a:ln>
          </c:spPr>
          <c:marker>
            <c:symbol val="none"/>
          </c:marker>
          <c:xVal>
            <c:numLit>
              <c:formatCode>General</c:formatCode>
              <c:ptCount val="2"/>
              <c:pt idx="0">
                <c:v>-10.178000000000001</c:v>
              </c:pt>
              <c:pt idx="1">
                <c:v>-10.178000000000001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D-5EB1-41FA-A6CE-2509FEC6FFA2}"/>
            </c:ext>
          </c:extLst>
        </c:ser>
        <c:ser>
          <c:idx val="63"/>
          <c:order val="63"/>
          <c:tx>
            <c:v/>
          </c:tx>
          <c:spPr>
            <a:ln w="3175">
              <a:solidFill>
                <a:srgbClr val="000000"/>
              </a:solidFill>
              <a:prstDash val="solid"/>
            </a:ln>
          </c:spPr>
          <c:marker>
            <c:symbol val="none"/>
          </c:marker>
          <c:xVal>
            <c:numLit>
              <c:formatCode>General</c:formatCode>
              <c:ptCount val="2"/>
              <c:pt idx="0">
                <c:v>50.8</c:v>
              </c:pt>
              <c:pt idx="1">
                <c:v>50.8</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E-5EB1-41FA-A6CE-2509FEC6FFA2}"/>
            </c:ext>
          </c:extLst>
        </c:ser>
        <c:ser>
          <c:idx val="64"/>
          <c:order val="64"/>
          <c:tx>
            <c:v>乾球温度座標軸ラベル</c:v>
          </c:tx>
          <c:spPr>
            <a:ln w="3175">
              <a:solidFill>
                <a:srgbClr val="000000"/>
              </a:solidFill>
              <a:prstDash val="solid"/>
            </a:ln>
          </c:spPr>
          <c:marker>
            <c:symbol val="none"/>
          </c:marker>
          <c:dLbls>
            <c:dLbl>
              <c:idx val="0"/>
              <c:layout>
                <c:manualLayout>
                  <c:x val="-5.8711040026246782E-2"/>
                  <c:y val="2.6068376068376069E-2"/>
                </c:manualLayout>
              </c:layout>
              <c:tx>
                <c:rich>
                  <a:bodyPr rot="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乾球温度 </a:t>
                    </a:r>
                    <a:r>
                      <a:rPr lang="en-US"/>
                      <a:t>t[℃]</a:t>
                    </a:r>
                  </a:p>
                </c:rich>
              </c:tx>
              <c:spPr>
                <a:solidFill>
                  <a:srgbClr val="FFFFFF"/>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F-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22</c:v>
              </c:pt>
            </c:numLit>
          </c:xVal>
          <c:yVal>
            <c:numLit>
              <c:formatCode>General</c:formatCode>
              <c:ptCount val="1"/>
              <c:pt idx="0">
                <c:v>-3.3333333333333332E-4</c:v>
              </c:pt>
            </c:numLit>
          </c:yVal>
          <c:smooth val="0"/>
          <c:extLst>
            <c:ext xmlns:c16="http://schemas.microsoft.com/office/drawing/2014/chart" uri="{C3380CC4-5D6E-409C-BE32-E72D297353CC}">
              <c16:uniqueId val="{00000060-5EB1-41FA-A6CE-2509FEC6FFA2}"/>
            </c:ext>
          </c:extLst>
        </c:ser>
        <c:ser>
          <c:idx val="65"/>
          <c:order val="65"/>
          <c:tx>
            <c:v>WB=-8</c:v>
          </c:tx>
          <c:spPr>
            <a:ln w="3175">
              <a:solidFill>
                <a:srgbClr val="3366FF"/>
              </a:solidFill>
              <a:prstDash val="sysDash"/>
            </a:ln>
          </c:spPr>
          <c:marker>
            <c:symbol val="none"/>
          </c:marker>
          <c:dLbls>
            <c:dLbl>
              <c:idx val="0"/>
              <c:layout>
                <c:manualLayout>
                  <c:x val="-2.730930118110237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-8</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1-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-8.2055155451094635</c:v>
              </c:pt>
              <c:pt idx="1">
                <c:v>-2.5964270935913616</c:v>
              </c:pt>
            </c:numLit>
          </c:xVal>
          <c:yVal>
            <c:numLit>
              <c:formatCode>General</c:formatCode>
              <c:ptCount val="2"/>
              <c:pt idx="0">
                <c:v>1.9164686538757729E-3</c:v>
              </c:pt>
              <c:pt idx="1">
                <c:v>0</c:v>
              </c:pt>
            </c:numLit>
          </c:yVal>
          <c:smooth val="0"/>
          <c:extLst>
            <c:ext xmlns:c16="http://schemas.microsoft.com/office/drawing/2014/chart" uri="{C3380CC4-5D6E-409C-BE32-E72D297353CC}">
              <c16:uniqueId val="{00000062-5EB1-41FA-A6CE-2509FEC6FFA2}"/>
            </c:ext>
          </c:extLst>
        </c:ser>
        <c:ser>
          <c:idx val="66"/>
          <c:order val="66"/>
          <c:tx>
            <c:v>WB=-7</c:v>
          </c:tx>
          <c:spPr>
            <a:ln w="3175">
              <a:solidFill>
                <a:srgbClr val="3366FF"/>
              </a:solidFill>
              <a:prstDash val="sysDash"/>
            </a:ln>
          </c:spPr>
          <c:marker>
            <c:symbol val="none"/>
          </c:marker>
          <c:dLbls>
            <c:dLbl>
              <c:idx val="0"/>
              <c:layout>
                <c:manualLayout>
                  <c:x val="-2.730930118110237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-7</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3-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-7.22041332968442</c:v>
              </c:pt>
              <c:pt idx="1">
                <c:v>-1.1035359511019402</c:v>
              </c:pt>
            </c:numLit>
          </c:xVal>
          <c:yVal>
            <c:numLit>
              <c:formatCode>General</c:formatCode>
              <c:ptCount val="2"/>
              <c:pt idx="0">
                <c:v>2.0914526472602013E-3</c:v>
              </c:pt>
              <c:pt idx="1">
                <c:v>0</c:v>
              </c:pt>
            </c:numLit>
          </c:yVal>
          <c:smooth val="0"/>
          <c:extLst>
            <c:ext xmlns:c16="http://schemas.microsoft.com/office/drawing/2014/chart" uri="{C3380CC4-5D6E-409C-BE32-E72D297353CC}">
              <c16:uniqueId val="{00000064-5EB1-41FA-A6CE-2509FEC6FFA2}"/>
            </c:ext>
          </c:extLst>
        </c:ser>
        <c:ser>
          <c:idx val="67"/>
          <c:order val="67"/>
          <c:tx>
            <c:v>WB=-6</c:v>
          </c:tx>
          <c:spPr>
            <a:ln w="3175">
              <a:solidFill>
                <a:srgbClr val="3366FF"/>
              </a:solidFill>
              <a:prstDash val="sysDash"/>
            </a:ln>
          </c:spPr>
          <c:marker>
            <c:symbol val="none"/>
          </c:marker>
          <c:dLbls>
            <c:dLbl>
              <c:idx val="0"/>
              <c:layout>
                <c:manualLayout>
                  <c:x val="-2.7309301181102377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5-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-6.2361685593886982</c:v>
              </c:pt>
              <c:pt idx="1">
                <c:v>0.43023773127142068</c:v>
              </c:pt>
            </c:numLit>
          </c:xVal>
          <c:yVal>
            <c:numLit>
              <c:formatCode>General</c:formatCode>
              <c:ptCount val="2"/>
              <c:pt idx="0">
                <c:v>2.2809674610698065E-3</c:v>
              </c:pt>
              <c:pt idx="1">
                <c:v>0</c:v>
              </c:pt>
            </c:numLit>
          </c:yVal>
          <c:smooth val="0"/>
          <c:extLst>
            <c:ext xmlns:c16="http://schemas.microsoft.com/office/drawing/2014/chart" uri="{C3380CC4-5D6E-409C-BE32-E72D297353CC}">
              <c16:uniqueId val="{00000066-5EB1-41FA-A6CE-2509FEC6FFA2}"/>
            </c:ext>
          </c:extLst>
        </c:ser>
        <c:ser>
          <c:idx val="68"/>
          <c:order val="68"/>
          <c:tx>
            <c:v>WB=-5</c:v>
          </c:tx>
          <c:spPr>
            <a:ln w="3175">
              <a:solidFill>
                <a:srgbClr val="3366FF"/>
              </a:solidFill>
              <a:prstDash val="sysDash"/>
            </a:ln>
          </c:spPr>
          <c:marker>
            <c:symbol val="none"/>
          </c:marker>
          <c:dLbls>
            <c:dLbl>
              <c:idx val="0"/>
              <c:layout>
                <c:manualLayout>
                  <c:x val="-2.7309301181102363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-5</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7-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-5.2528112525852375</c:v>
              </c:pt>
              <c:pt idx="1">
                <c:v>2.007950163121949</c:v>
              </c:pt>
            </c:numLit>
          </c:xVal>
          <c:yVal>
            <c:numLit>
              <c:formatCode>General</c:formatCode>
              <c:ptCount val="2"/>
              <c:pt idx="0">
                <c:v>2.4861008807502316E-3</c:v>
              </c:pt>
              <c:pt idx="1">
                <c:v>0</c:v>
              </c:pt>
            </c:numLit>
          </c:yVal>
          <c:smooth val="0"/>
          <c:extLst>
            <c:ext xmlns:c16="http://schemas.microsoft.com/office/drawing/2014/chart" uri="{C3380CC4-5D6E-409C-BE32-E72D297353CC}">
              <c16:uniqueId val="{00000068-5EB1-41FA-A6CE-2509FEC6FFA2}"/>
            </c:ext>
          </c:extLst>
        </c:ser>
        <c:ser>
          <c:idx val="69"/>
          <c:order val="69"/>
          <c:tx>
            <c:v>WB=-4</c:v>
          </c:tx>
          <c:spPr>
            <a:ln w="3175">
              <a:solidFill>
                <a:srgbClr val="3366FF"/>
              </a:solidFill>
              <a:prstDash val="sysDash"/>
            </a:ln>
          </c:spPr>
          <c:marker>
            <c:symbol val="none"/>
          </c:marker>
          <c:dLbls>
            <c:dLbl>
              <c:idx val="0"/>
              <c:layout>
                <c:manualLayout>
                  <c:x val="-2.7309301181102377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9-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-4.2703706848883494</c:v>
              </c:pt>
              <c:pt idx="1">
                <c:v>3.6328626927800842</c:v>
              </c:pt>
            </c:numLit>
          </c:xVal>
          <c:yVal>
            <c:numLit>
              <c:formatCode>General</c:formatCode>
              <c:ptCount val="2"/>
              <c:pt idx="0">
                <c:v>2.7080138291286308E-3</c:v>
              </c:pt>
              <c:pt idx="1">
                <c:v>0</c:v>
              </c:pt>
            </c:numLit>
          </c:yVal>
          <c:smooth val="0"/>
          <c:extLst>
            <c:ext xmlns:c16="http://schemas.microsoft.com/office/drawing/2014/chart" uri="{C3380CC4-5D6E-409C-BE32-E72D297353CC}">
              <c16:uniqueId val="{0000006A-5EB1-41FA-A6CE-2509FEC6FFA2}"/>
            </c:ext>
          </c:extLst>
        </c:ser>
        <c:ser>
          <c:idx val="70"/>
          <c:order val="70"/>
          <c:tx>
            <c:v>WB=-3</c:v>
          </c:tx>
          <c:spPr>
            <a:ln w="3175">
              <a:solidFill>
                <a:srgbClr val="3366FF"/>
              </a:solidFill>
              <a:prstDash val="sysDash"/>
            </a:ln>
          </c:spPr>
          <c:marker>
            <c:symbol val="none"/>
          </c:marker>
          <c:dLbls>
            <c:dLbl>
              <c:idx val="0"/>
              <c:layout>
                <c:manualLayout>
                  <c:x val="-2.7309301181102377E-2"/>
                  <c:y val="-4.2735042735044301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B-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-3.2888751544738279</c:v>
              </c:pt>
              <c:pt idx="1">
                <c:v>5.3084544187917393</c:v>
              </c:pt>
            </c:numLit>
          </c:xVal>
          <c:yVal>
            <c:numLit>
              <c:formatCode>General</c:formatCode>
              <c:ptCount val="2"/>
              <c:pt idx="0">
                <c:v>2.9479448711774276E-3</c:v>
              </c:pt>
              <c:pt idx="1">
                <c:v>0</c:v>
              </c:pt>
            </c:numLit>
          </c:yVal>
          <c:smooth val="0"/>
          <c:extLst>
            <c:ext xmlns:c16="http://schemas.microsoft.com/office/drawing/2014/chart" uri="{C3380CC4-5D6E-409C-BE32-E72D297353CC}">
              <c16:uniqueId val="{0000006C-5EB1-41FA-A6CE-2509FEC6FFA2}"/>
            </c:ext>
          </c:extLst>
        </c:ser>
        <c:ser>
          <c:idx val="71"/>
          <c:order val="71"/>
          <c:tx>
            <c:v>WB=-2</c:v>
          </c:tx>
          <c:spPr>
            <a:ln w="3175">
              <a:solidFill>
                <a:srgbClr val="3366FF"/>
              </a:solidFill>
              <a:prstDash val="sysDash"/>
            </a:ln>
          </c:spPr>
          <c:marker>
            <c:symbol val="none"/>
          </c:marker>
          <c:dLbls>
            <c:dLbl>
              <c:idx val="0"/>
              <c:layout>
                <c:manualLayout>
                  <c:x val="-2.7309301181102363E-2"/>
                  <c:y val="-4.2735042735044301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D-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-2.3083517242375029</c:v>
              </c:pt>
              <c:pt idx="1">
                <c:v>7.0384355813391366</c:v>
              </c:pt>
            </c:numLit>
          </c:xVal>
          <c:yVal>
            <c:numLit>
              <c:formatCode>General</c:formatCode>
              <c:ptCount val="2"/>
              <c:pt idx="0">
                <c:v>3.2072149977556683E-3</c:v>
              </c:pt>
              <c:pt idx="1">
                <c:v>0</c:v>
              </c:pt>
            </c:numLit>
          </c:yVal>
          <c:smooth val="0"/>
          <c:extLst>
            <c:ext xmlns:c16="http://schemas.microsoft.com/office/drawing/2014/chart" uri="{C3380CC4-5D6E-409C-BE32-E72D297353CC}">
              <c16:uniqueId val="{0000006E-5EB1-41FA-A6CE-2509FEC6FFA2}"/>
            </c:ext>
          </c:extLst>
        </c:ser>
        <c:ser>
          <c:idx val="72"/>
          <c:order val="72"/>
          <c:tx>
            <c:v>WB=-1</c:v>
          </c:tx>
          <c:spPr>
            <a:ln w="3175">
              <a:solidFill>
                <a:srgbClr val="3366FF"/>
              </a:solidFill>
              <a:prstDash val="sysDash"/>
            </a:ln>
          </c:spPr>
          <c:marker>
            <c:symbol val="none"/>
          </c:marker>
          <c:dLbls>
            <c:dLbl>
              <c:idx val="0"/>
              <c:layout>
                <c:manualLayout>
                  <c:x val="-2.7309301181102363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F-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-1.3288259391909207</c:v>
              </c:pt>
              <c:pt idx="1">
                <c:v>8.8267617928991733</c:v>
              </c:pt>
            </c:numLit>
          </c:xVal>
          <c:yVal>
            <c:numLit>
              <c:formatCode>General</c:formatCode>
              <c:ptCount val="2"/>
              <c:pt idx="0">
                <c:v>3.4872327095305327E-3</c:v>
              </c:pt>
              <c:pt idx="1">
                <c:v>0</c:v>
              </c:pt>
            </c:numLit>
          </c:yVal>
          <c:smooth val="0"/>
          <c:extLst>
            <c:ext xmlns:c16="http://schemas.microsoft.com/office/drawing/2014/chart" uri="{C3380CC4-5D6E-409C-BE32-E72D297353CC}">
              <c16:uniqueId val="{00000070-5EB1-41FA-A6CE-2509FEC6FFA2}"/>
            </c:ext>
          </c:extLst>
        </c:ser>
        <c:ser>
          <c:idx val="73"/>
          <c:order val="73"/>
          <c:tx>
            <c:v>WB=0</c:v>
          </c:tx>
          <c:spPr>
            <a:ln w="3175">
              <a:solidFill>
                <a:srgbClr val="3366FF"/>
              </a:solidFill>
              <a:prstDash val="sysDash"/>
            </a:ln>
          </c:spPr>
          <c:marker>
            <c:symbol val="none"/>
          </c:marker>
          <c:dLbls>
            <c:dLbl>
              <c:idx val="0"/>
              <c:layout>
                <c:manualLayout>
                  <c:x val="-2.6025399168853925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1-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-0.35032151737137113</c:v>
              </c:pt>
              <c:pt idx="1">
                <c:v>10.677649173557942</c:v>
              </c:pt>
            </c:numLit>
          </c:xVal>
          <c:yVal>
            <c:numLit>
              <c:formatCode>General</c:formatCode>
              <c:ptCount val="2"/>
              <c:pt idx="0">
                <c:v>3.7894994244688104E-3</c:v>
              </c:pt>
              <c:pt idx="1">
                <c:v>0</c:v>
              </c:pt>
            </c:numLit>
          </c:yVal>
          <c:smooth val="0"/>
          <c:extLst>
            <c:ext xmlns:c16="http://schemas.microsoft.com/office/drawing/2014/chart" uri="{C3380CC4-5D6E-409C-BE32-E72D297353CC}">
              <c16:uniqueId val="{00000072-5EB1-41FA-A6CE-2509FEC6FFA2}"/>
            </c:ext>
          </c:extLst>
        </c:ser>
        <c:ser>
          <c:idx val="74"/>
          <c:order val="74"/>
          <c:tx>
            <c:v>WB=1</c:v>
          </c:tx>
          <c:spPr>
            <a:ln w="3175">
              <a:solidFill>
                <a:srgbClr val="3366FF"/>
              </a:solidFill>
              <a:prstDash val="sysDash"/>
            </a:ln>
          </c:spPr>
          <c:marker>
            <c:symbol val="none"/>
          </c:marker>
          <c:dLbls>
            <c:dLbl>
              <c:idx val="0"/>
              <c:layout>
                <c:manualLayout>
                  <c:x val="-2.6166338582677195E-2"/>
                  <c:y val="-4.2735042735044301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3-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0.63072878902048002</c:v>
              </c:pt>
              <c:pt idx="1">
                <c:v>11.123857513967971</c:v>
              </c:pt>
            </c:numLit>
          </c:xVal>
          <c:yVal>
            <c:numLit>
              <c:formatCode>General</c:formatCode>
              <c:ptCount val="2"/>
              <c:pt idx="0">
                <c:v>4.076002175174424E-3</c:v>
              </c:pt>
              <c:pt idx="1">
                <c:v>0</c:v>
              </c:pt>
            </c:numLit>
          </c:yVal>
          <c:smooth val="0"/>
          <c:extLst>
            <c:ext xmlns:c16="http://schemas.microsoft.com/office/drawing/2014/chart" uri="{C3380CC4-5D6E-409C-BE32-E72D297353CC}">
              <c16:uniqueId val="{00000074-5EB1-41FA-A6CE-2509FEC6FFA2}"/>
            </c:ext>
          </c:extLst>
        </c:ser>
        <c:ser>
          <c:idx val="75"/>
          <c:order val="75"/>
          <c:tx>
            <c:v>WB=2</c:v>
          </c:tx>
          <c:spPr>
            <a:ln w="3175">
              <a:solidFill>
                <a:srgbClr val="3366FF"/>
              </a:solidFill>
              <a:prstDash val="sysDash"/>
            </a:ln>
          </c:spPr>
          <c:marker>
            <c:symbol val="none"/>
          </c:marker>
          <c:dLbls>
            <c:dLbl>
              <c:idx val="0"/>
              <c:layout>
                <c:manualLayout>
                  <c:x val="-2.6166338582677164E-2"/>
                  <c:y val="-4.2735042735044301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5-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1.6111719572746135</c:v>
              </c:pt>
              <c:pt idx="1">
                <c:v>12.871977002704231</c:v>
              </c:pt>
            </c:numLit>
          </c:xVal>
          <c:yVal>
            <c:numLit>
              <c:formatCode>General</c:formatCode>
              <c:ptCount val="2"/>
              <c:pt idx="0">
                <c:v>4.3812837251538872E-3</c:v>
              </c:pt>
              <c:pt idx="1">
                <c:v>0</c:v>
              </c:pt>
            </c:numLit>
          </c:yVal>
          <c:smooth val="0"/>
          <c:extLst>
            <c:ext xmlns:c16="http://schemas.microsoft.com/office/drawing/2014/chart" uri="{C3380CC4-5D6E-409C-BE32-E72D297353CC}">
              <c16:uniqueId val="{00000076-5EB1-41FA-A6CE-2509FEC6FFA2}"/>
            </c:ext>
          </c:extLst>
        </c:ser>
        <c:ser>
          <c:idx val="76"/>
          <c:order val="76"/>
          <c:tx>
            <c:v>WB=3</c:v>
          </c:tx>
          <c:spPr>
            <a:ln w="3175">
              <a:solidFill>
                <a:srgbClr val="3366FF"/>
              </a:solidFill>
              <a:prstDash val="sysDash"/>
            </a:ln>
          </c:spPr>
          <c:marker>
            <c:symbol val="none"/>
          </c:marker>
          <c:dLbls>
            <c:dLbl>
              <c:idx val="0"/>
              <c:layout>
                <c:manualLayout>
                  <c:x val="-2.6166338582677164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7-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2.5909827527240186</c:v>
              </c:pt>
              <c:pt idx="1">
                <c:v>14.668931744288928</c:v>
              </c:pt>
            </c:numLit>
          </c:xVal>
          <c:yVal>
            <c:numLit>
              <c:formatCode>General</c:formatCode>
              <c:ptCount val="2"/>
              <c:pt idx="0">
                <c:v>4.7068331132422495E-3</c:v>
              </c:pt>
              <c:pt idx="1">
                <c:v>0</c:v>
              </c:pt>
            </c:numLit>
          </c:yVal>
          <c:smooth val="0"/>
          <c:extLst>
            <c:ext xmlns:c16="http://schemas.microsoft.com/office/drawing/2014/chart" uri="{C3380CC4-5D6E-409C-BE32-E72D297353CC}">
              <c16:uniqueId val="{00000078-5EB1-41FA-A6CE-2509FEC6FFA2}"/>
            </c:ext>
          </c:extLst>
        </c:ser>
        <c:ser>
          <c:idx val="77"/>
          <c:order val="77"/>
          <c:tx>
            <c:v>WB=4</c:v>
          </c:tx>
          <c:spPr>
            <a:ln w="3175">
              <a:solidFill>
                <a:srgbClr val="3366FF"/>
              </a:solidFill>
              <a:prstDash val="sysDash"/>
            </a:ln>
          </c:spPr>
          <c:marker>
            <c:symbol val="none"/>
          </c:marker>
          <c:dLbls>
            <c:dLbl>
              <c:idx val="0"/>
              <c:layout>
                <c:manualLayout>
                  <c:x val="-2.6166338582677164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9-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3.5701735744985212</c:v>
              </c:pt>
              <c:pt idx="1">
                <c:v>16.517493982191819</c:v>
              </c:pt>
            </c:numLit>
          </c:xVal>
          <c:yVal>
            <c:numLit>
              <c:formatCode>General</c:formatCode>
              <c:ptCount val="2"/>
              <c:pt idx="0">
                <c:v>5.0538263680982628E-3</c:v>
              </c:pt>
              <c:pt idx="1">
                <c:v>0</c:v>
              </c:pt>
            </c:numLit>
          </c:yVal>
          <c:smooth val="0"/>
          <c:extLst>
            <c:ext xmlns:c16="http://schemas.microsoft.com/office/drawing/2014/chart" uri="{C3380CC4-5D6E-409C-BE32-E72D297353CC}">
              <c16:uniqueId val="{0000007A-5EB1-41FA-A6CE-2509FEC6FFA2}"/>
            </c:ext>
          </c:extLst>
        </c:ser>
        <c:ser>
          <c:idx val="78"/>
          <c:order val="78"/>
          <c:tx>
            <c:v>WB=5</c:v>
          </c:tx>
          <c:spPr>
            <a:ln w="3175">
              <a:solidFill>
                <a:srgbClr val="3366FF"/>
              </a:solidFill>
              <a:prstDash val="sysDash"/>
            </a:ln>
          </c:spPr>
          <c:marker>
            <c:symbol val="none"/>
          </c:marker>
          <c:dLbls>
            <c:dLbl>
              <c:idx val="0"/>
              <c:layout>
                <c:manualLayout>
                  <c:x val="-2.6166338582677195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5</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B-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4.5487605635344499</c:v>
              </c:pt>
              <c:pt idx="1">
                <c:v>18.420572472571656</c:v>
              </c:pt>
            </c:numLit>
          </c:xVal>
          <c:yVal>
            <c:numLit>
              <c:formatCode>General</c:formatCode>
              <c:ptCount val="2"/>
              <c:pt idx="0">
                <c:v>5.4234990810554818E-3</c:v>
              </c:pt>
              <c:pt idx="1">
                <c:v>0</c:v>
              </c:pt>
            </c:numLit>
          </c:yVal>
          <c:smooth val="0"/>
          <c:extLst>
            <c:ext xmlns:c16="http://schemas.microsoft.com/office/drawing/2014/chart" uri="{C3380CC4-5D6E-409C-BE32-E72D297353CC}">
              <c16:uniqueId val="{0000007C-5EB1-41FA-A6CE-2509FEC6FFA2}"/>
            </c:ext>
          </c:extLst>
        </c:ser>
        <c:ser>
          <c:idx val="79"/>
          <c:order val="79"/>
          <c:tx>
            <c:v>WB=6</c:v>
          </c:tx>
          <c:spPr>
            <a:ln w="3175">
              <a:solidFill>
                <a:srgbClr val="3366FF"/>
              </a:solidFill>
              <a:prstDash val="sysDash"/>
            </a:ln>
          </c:spPr>
          <c:marker>
            <c:symbol val="none"/>
          </c:marker>
          <c:dLbls>
            <c:dLbl>
              <c:idx val="0"/>
              <c:layout>
                <c:manualLayout>
                  <c:x val="-2.6166338582677164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D-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5.5267544089063207</c:v>
              </c:pt>
              <c:pt idx="1">
                <c:v>20.381507916128903</c:v>
              </c:pt>
            </c:numLit>
          </c:xVal>
          <c:yVal>
            <c:numLit>
              <c:formatCode>General</c:formatCode>
              <c:ptCount val="2"/>
              <c:pt idx="0">
                <c:v>5.8172661857312045E-3</c:v>
              </c:pt>
              <c:pt idx="1">
                <c:v>0</c:v>
              </c:pt>
            </c:numLit>
          </c:yVal>
          <c:smooth val="0"/>
          <c:extLst>
            <c:ext xmlns:c16="http://schemas.microsoft.com/office/drawing/2014/chart" uri="{C3380CC4-5D6E-409C-BE32-E72D297353CC}">
              <c16:uniqueId val="{0000007E-5EB1-41FA-A6CE-2509FEC6FFA2}"/>
            </c:ext>
          </c:extLst>
        </c:ser>
        <c:ser>
          <c:idx val="80"/>
          <c:order val="80"/>
          <c:tx>
            <c:v>WB=7</c:v>
          </c:tx>
          <c:spPr>
            <a:ln w="3175">
              <a:solidFill>
                <a:srgbClr val="3366FF"/>
              </a:solidFill>
              <a:prstDash val="sysDash"/>
            </a:ln>
          </c:spPr>
          <c:marker>
            <c:symbol val="none"/>
          </c:marker>
          <c:dLbls>
            <c:dLbl>
              <c:idx val="0"/>
              <c:layout>
                <c:manualLayout>
                  <c:x val="-2.6166338582677195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7</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F-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6.5041883174927406</c:v>
              </c:pt>
              <c:pt idx="1">
                <c:v>22.403253465067159</c:v>
              </c:pt>
            </c:numLit>
          </c:xVal>
          <c:yVal>
            <c:numLit>
              <c:formatCode>General</c:formatCode>
              <c:ptCount val="2"/>
              <c:pt idx="0">
                <c:v>6.236391005280101E-3</c:v>
              </c:pt>
              <c:pt idx="1">
                <c:v>0</c:v>
              </c:pt>
            </c:numLit>
          </c:yVal>
          <c:smooth val="0"/>
          <c:extLst>
            <c:ext xmlns:c16="http://schemas.microsoft.com/office/drawing/2014/chart" uri="{C3380CC4-5D6E-409C-BE32-E72D297353CC}">
              <c16:uniqueId val="{00000080-5EB1-41FA-A6CE-2509FEC6FFA2}"/>
            </c:ext>
          </c:extLst>
        </c:ser>
        <c:ser>
          <c:idx val="81"/>
          <c:order val="81"/>
          <c:tx>
            <c:v>WB=8</c:v>
          </c:tx>
          <c:spPr>
            <a:ln w="3175">
              <a:solidFill>
                <a:srgbClr val="3366FF"/>
              </a:solidFill>
              <a:prstDash val="sysDash"/>
            </a:ln>
          </c:spPr>
          <c:marker>
            <c:symbol val="none"/>
          </c:marker>
          <c:dLbls>
            <c:dLbl>
              <c:idx val="0"/>
              <c:layout>
                <c:manualLayout>
                  <c:x val="-2.6166338582677164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8</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1-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7.481091633037142</c:v>
              </c:pt>
              <c:pt idx="1">
                <c:v>24.489170236580446</c:v>
              </c:pt>
            </c:numLit>
          </c:xVal>
          <c:yVal>
            <c:numLit>
              <c:formatCode>General</c:formatCode>
              <c:ptCount val="2"/>
              <c:pt idx="0">
                <c:v>6.6823069273506883E-3</c:v>
              </c:pt>
              <c:pt idx="1">
                <c:v>0</c:v>
              </c:pt>
            </c:numLit>
          </c:yVal>
          <c:smooth val="0"/>
          <c:extLst>
            <c:ext xmlns:c16="http://schemas.microsoft.com/office/drawing/2014/chart" uri="{C3380CC4-5D6E-409C-BE32-E72D297353CC}">
              <c16:uniqueId val="{00000082-5EB1-41FA-A6CE-2509FEC6FFA2}"/>
            </c:ext>
          </c:extLst>
        </c:ser>
        <c:ser>
          <c:idx val="82"/>
          <c:order val="82"/>
          <c:tx>
            <c:v>WB=9</c:v>
          </c:tx>
          <c:spPr>
            <a:ln w="3175">
              <a:solidFill>
                <a:srgbClr val="3366FF"/>
              </a:solidFill>
              <a:prstDash val="sysDash"/>
            </a:ln>
          </c:spPr>
          <c:marker>
            <c:symbol val="none"/>
          </c:marker>
          <c:dLbls>
            <c:dLbl>
              <c:idx val="0"/>
              <c:layout>
                <c:manualLayout>
                  <c:x val="-2.616633858267723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9</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3-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8.4574988517709855</c:v>
              </c:pt>
              <c:pt idx="1">
                <c:v>26.642783276734082</c:v>
              </c:pt>
            </c:numLit>
          </c:xVal>
          <c:yVal>
            <c:numLit>
              <c:formatCode>General</c:formatCode>
              <c:ptCount val="2"/>
              <c:pt idx="0">
                <c:v>7.156519212147776E-3</c:v>
              </c:pt>
              <c:pt idx="1">
                <c:v>0</c:v>
              </c:pt>
            </c:numLit>
          </c:yVal>
          <c:smooth val="0"/>
          <c:extLst>
            <c:ext xmlns:c16="http://schemas.microsoft.com/office/drawing/2014/chart" uri="{C3380CC4-5D6E-409C-BE32-E72D297353CC}">
              <c16:uniqueId val="{00000084-5EB1-41FA-A6CE-2509FEC6FFA2}"/>
            </c:ext>
          </c:extLst>
        </c:ser>
        <c:ser>
          <c:idx val="83"/>
          <c:order val="83"/>
          <c:tx>
            <c:v>WB=10</c:v>
          </c:tx>
          <c:spPr>
            <a:ln w="3175">
              <a:solidFill>
                <a:srgbClr val="3366FF"/>
              </a:solidFill>
              <a:prstDash val="sysDash"/>
            </a:ln>
          </c:spPr>
          <c:marker>
            <c:symbol val="none"/>
          </c:marker>
          <c:dLbls>
            <c:dLbl>
              <c:idx val="0"/>
              <c:layout>
                <c:manualLayout>
                  <c:x val="-2.7592683727034186E-2"/>
                  <c:y val="-4.273504273504195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10</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5-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9.4334500278774112</c:v>
              </c:pt>
              <c:pt idx="1">
                <c:v>28.867789353857855</c:v>
              </c:pt>
            </c:numLit>
          </c:xVal>
          <c:yVal>
            <c:numLit>
              <c:formatCode>General</c:formatCode>
              <c:ptCount val="2"/>
              <c:pt idx="0">
                <c:v>7.6606084940231836E-3</c:v>
              </c:pt>
              <c:pt idx="1">
                <c:v>0</c:v>
              </c:pt>
            </c:numLit>
          </c:yVal>
          <c:smooth val="0"/>
          <c:extLst>
            <c:ext xmlns:c16="http://schemas.microsoft.com/office/drawing/2014/chart" uri="{C3380CC4-5D6E-409C-BE32-E72D297353CC}">
              <c16:uniqueId val="{00000086-5EB1-41FA-A6CE-2509FEC6FFA2}"/>
            </c:ext>
          </c:extLst>
        </c:ser>
        <c:ser>
          <c:idx val="84"/>
          <c:order val="84"/>
          <c:tx>
            <c:v>WB=11</c:v>
          </c:tx>
          <c:spPr>
            <a:ln w="3175">
              <a:solidFill>
                <a:srgbClr val="3366FF"/>
              </a:solidFill>
              <a:prstDash val="sysDash"/>
            </a:ln>
          </c:spPr>
          <c:marker>
            <c:symbol val="none"/>
          </c:marker>
          <c:dLbls>
            <c:dLbl>
              <c:idx val="0"/>
              <c:layout>
                <c:manualLayout>
                  <c:x val="-2.759268372703412E-2"/>
                  <c:y val="-4.273504273504352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7-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10.408979273270996</c:v>
              </c:pt>
              <c:pt idx="1">
                <c:v>31.168472308176845</c:v>
              </c:pt>
            </c:numLit>
          </c:xVal>
          <c:yVal>
            <c:numLit>
              <c:formatCode>General</c:formatCode>
              <c:ptCount val="2"/>
              <c:pt idx="0">
                <c:v>8.196399932304619E-3</c:v>
              </c:pt>
              <c:pt idx="1">
                <c:v>0</c:v>
              </c:pt>
            </c:numLit>
          </c:yVal>
          <c:smooth val="0"/>
          <c:extLst>
            <c:ext xmlns:c16="http://schemas.microsoft.com/office/drawing/2014/chart" uri="{C3380CC4-5D6E-409C-BE32-E72D297353CC}">
              <c16:uniqueId val="{00000088-5EB1-41FA-A6CE-2509FEC6FFA2}"/>
            </c:ext>
          </c:extLst>
        </c:ser>
        <c:ser>
          <c:idx val="85"/>
          <c:order val="85"/>
          <c:tx>
            <c:v>WB=12</c:v>
          </c:tx>
          <c:spPr>
            <a:ln w="3175">
              <a:solidFill>
                <a:srgbClr val="3366FF"/>
              </a:solidFill>
              <a:prstDash val="sysDash"/>
            </a:ln>
          </c:spPr>
          <c:marker>
            <c:symbol val="none"/>
          </c:marker>
          <c:dLbls>
            <c:dLbl>
              <c:idx val="0"/>
              <c:layout>
                <c:manualLayout>
                  <c:x val="-2.7592683727034186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9-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11.384149975978485</c:v>
              </c:pt>
              <c:pt idx="1">
                <c:v>33.548547031795728</c:v>
              </c:pt>
            </c:numLit>
          </c:xVal>
          <c:yVal>
            <c:numLit>
              <c:formatCode>General</c:formatCode>
              <c:ptCount val="2"/>
              <c:pt idx="0">
                <c:v>8.7654941166616391E-3</c:v>
              </c:pt>
              <c:pt idx="1">
                <c:v>0</c:v>
              </c:pt>
            </c:numLit>
          </c:yVal>
          <c:smooth val="0"/>
          <c:extLst>
            <c:ext xmlns:c16="http://schemas.microsoft.com/office/drawing/2014/chart" uri="{C3380CC4-5D6E-409C-BE32-E72D297353CC}">
              <c16:uniqueId val="{0000008A-5EB1-41FA-A6CE-2509FEC6FFA2}"/>
            </c:ext>
          </c:extLst>
        </c:ser>
        <c:ser>
          <c:idx val="86"/>
          <c:order val="86"/>
          <c:tx>
            <c:v>WB=13</c:v>
          </c:tx>
          <c:spPr>
            <a:ln w="3175">
              <a:solidFill>
                <a:srgbClr val="3366FF"/>
              </a:solidFill>
              <a:prstDash val="sysDash"/>
            </a:ln>
          </c:spPr>
          <c:marker>
            <c:symbol val="none"/>
          </c:marker>
          <c:dLbls>
            <c:dLbl>
              <c:idx val="0"/>
              <c:layout>
                <c:manualLayout>
                  <c:x val="-2.759268372703412E-2"/>
                  <c:y val="-4.273504273504352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B-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12.359021518730225</c:v>
              </c:pt>
              <c:pt idx="1">
                <c:v>36.012282393767372</c:v>
              </c:pt>
            </c:numLit>
          </c:xVal>
          <c:yVal>
            <c:numLit>
              <c:formatCode>General</c:formatCode>
              <c:ptCount val="2"/>
              <c:pt idx="0">
                <c:v>9.3697232222812125E-3</c:v>
              </c:pt>
              <c:pt idx="1">
                <c:v>0</c:v>
              </c:pt>
            </c:numLit>
          </c:yVal>
          <c:smooth val="0"/>
          <c:extLst>
            <c:ext xmlns:c16="http://schemas.microsoft.com/office/drawing/2014/chart" uri="{C3380CC4-5D6E-409C-BE32-E72D297353CC}">
              <c16:uniqueId val="{0000008C-5EB1-41FA-A6CE-2509FEC6FFA2}"/>
            </c:ext>
          </c:extLst>
        </c:ser>
        <c:ser>
          <c:idx val="87"/>
          <c:order val="87"/>
          <c:tx>
            <c:v>WB=14</c:v>
          </c:tx>
          <c:spPr>
            <a:ln w="3175">
              <a:solidFill>
                <a:srgbClr val="3366FF"/>
              </a:solidFill>
              <a:prstDash val="sysDash"/>
            </a:ln>
          </c:spPr>
          <c:marker>
            <c:symbol val="none"/>
          </c:marker>
          <c:dLbls>
            <c:dLbl>
              <c:idx val="0"/>
              <c:layout>
                <c:manualLayout>
                  <c:x val="-2.759268372703412E-2"/>
                  <c:y val="-4.273504273504352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14</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D-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13.333660721764184</c:v>
              </c:pt>
              <c:pt idx="1">
                <c:v>38.564155654290701</c:v>
              </c:pt>
            </c:numLit>
          </c:xVal>
          <c:yVal>
            <c:numLit>
              <c:formatCode>General</c:formatCode>
              <c:ptCount val="2"/>
              <c:pt idx="0">
                <c:v>1.0011011259038697E-2</c:v>
              </c:pt>
              <c:pt idx="1">
                <c:v>0</c:v>
              </c:pt>
            </c:numLit>
          </c:yVal>
          <c:smooth val="0"/>
          <c:extLst>
            <c:ext xmlns:c16="http://schemas.microsoft.com/office/drawing/2014/chart" uri="{C3380CC4-5D6E-409C-BE32-E72D297353CC}">
              <c16:uniqueId val="{0000008E-5EB1-41FA-A6CE-2509FEC6FFA2}"/>
            </c:ext>
          </c:extLst>
        </c:ser>
        <c:ser>
          <c:idx val="88"/>
          <c:order val="88"/>
          <c:tx>
            <c:v>WB=15</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15</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F-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14.308142384050468</c:v>
              </c:pt>
              <c:pt idx="1">
                <c:v>41.208863060972398</c:v>
              </c:pt>
            </c:numLit>
          </c:xVal>
          <c:yVal>
            <c:numLit>
              <c:formatCode>General</c:formatCode>
              <c:ptCount val="2"/>
              <c:pt idx="0">
                <c:v>1.0691378827115674E-2</c:v>
              </c:pt>
              <c:pt idx="1">
                <c:v>0</c:v>
              </c:pt>
            </c:numLit>
          </c:yVal>
          <c:smooth val="0"/>
          <c:extLst>
            <c:ext xmlns:c16="http://schemas.microsoft.com/office/drawing/2014/chart" uri="{C3380CC4-5D6E-409C-BE32-E72D297353CC}">
              <c16:uniqueId val="{00000090-5EB1-41FA-A6CE-2509FEC6FFA2}"/>
            </c:ext>
          </c:extLst>
        </c:ser>
        <c:ser>
          <c:idx val="89"/>
          <c:order val="89"/>
          <c:tx>
            <c:v>WB=16</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16</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91-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15.28254985732468</c:v>
              </c:pt>
              <c:pt idx="1">
                <c:v>43.951331156248742</c:v>
              </c:pt>
            </c:numLit>
          </c:xVal>
          <c:yVal>
            <c:numLit>
              <c:formatCode>General</c:formatCode>
              <c:ptCount val="2"/>
              <c:pt idx="0">
                <c:v>1.1412948189933141E-2</c:v>
              </c:pt>
              <c:pt idx="1">
                <c:v>0</c:v>
              </c:pt>
            </c:numLit>
          </c:yVal>
          <c:smooth val="0"/>
          <c:extLst>
            <c:ext xmlns:c16="http://schemas.microsoft.com/office/drawing/2014/chart" uri="{C3380CC4-5D6E-409C-BE32-E72D297353CC}">
              <c16:uniqueId val="{00000092-5EB1-41FA-A6CE-2509FEC6FFA2}"/>
            </c:ext>
          </c:extLst>
        </c:ser>
        <c:ser>
          <c:idx val="90"/>
          <c:order val="90"/>
          <c:tx>
            <c:v>WB=17</c:v>
          </c:tx>
          <c:spPr>
            <a:ln w="3175">
              <a:solidFill>
                <a:srgbClr val="3366FF"/>
              </a:solidFill>
              <a:prstDash val="sysDash"/>
            </a:ln>
          </c:spPr>
          <c:marker>
            <c:symbol val="none"/>
          </c:marker>
          <c:dLbls>
            <c:dLbl>
              <c:idx val="0"/>
              <c:layout>
                <c:manualLayout>
                  <c:x val="-2.759268372703412E-2"/>
                  <c:y val="-4.273504273504352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17</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93-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16.256975655314989</c:v>
              </c:pt>
              <c:pt idx="1">
                <c:v>46.796728859883913</c:v>
              </c:pt>
            </c:numLit>
          </c:xVal>
          <c:yVal>
            <c:numLit>
              <c:formatCode>General</c:formatCode>
              <c:ptCount val="2"/>
              <c:pt idx="0">
                <c:v>1.2177948692621697E-2</c:v>
              </c:pt>
              <c:pt idx="1">
                <c:v>0</c:v>
              </c:pt>
            </c:numLit>
          </c:yVal>
          <c:smooth val="0"/>
          <c:extLst>
            <c:ext xmlns:c16="http://schemas.microsoft.com/office/drawing/2014/chart" uri="{C3380CC4-5D6E-409C-BE32-E72D297353CC}">
              <c16:uniqueId val="{00000094-5EB1-41FA-A6CE-2509FEC6FFA2}"/>
            </c:ext>
          </c:extLst>
        </c:ser>
        <c:ser>
          <c:idx val="91"/>
          <c:order val="91"/>
          <c:tx>
            <c:v>WB=18</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18</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95-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17.231522100796575</c:v>
              </c:pt>
              <c:pt idx="1">
                <c:v>49.750480396907207</c:v>
              </c:pt>
            </c:numLit>
          </c:xVal>
          <c:yVal>
            <c:numLit>
              <c:formatCode>General</c:formatCode>
              <c:ptCount val="2"/>
              <c:pt idx="0">
                <c:v>1.29887225571009E-2</c:v>
              </c:pt>
              <c:pt idx="1">
                <c:v>0</c:v>
              </c:pt>
            </c:numLit>
          </c:yVal>
          <c:smooth val="0"/>
          <c:extLst>
            <c:ext xmlns:c16="http://schemas.microsoft.com/office/drawing/2014/chart" uri="{C3380CC4-5D6E-409C-BE32-E72D297353CC}">
              <c16:uniqueId val="{00000096-5EB1-41FA-A6CE-2509FEC6FFA2}"/>
            </c:ext>
          </c:extLst>
        </c:ser>
        <c:ser>
          <c:idx val="92"/>
          <c:order val="92"/>
          <c:tx>
            <c:v>WB=19</c:v>
          </c:tx>
          <c:spPr>
            <a:ln w="3175">
              <a:solidFill>
                <a:srgbClr val="3366FF"/>
              </a:solidFill>
              <a:prstDash val="sysDash"/>
            </a:ln>
          </c:spPr>
          <c:marker>
            <c:symbol val="none"/>
          </c:marker>
          <c:dLbls>
            <c:dLbl>
              <c:idx val="0"/>
              <c:layout>
                <c:manualLayout>
                  <c:x val="-2.7592683727034186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19</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97-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18.206302013385113</c:v>
              </c:pt>
              <c:pt idx="1">
                <c:v>50.000000000000007</c:v>
              </c:pt>
            </c:numLit>
          </c:xVal>
          <c:yVal>
            <c:numLit>
              <c:formatCode>General</c:formatCode>
              <c:ptCount val="2"/>
              <c:pt idx="0">
                <c:v>1.3847731088008679E-2</c:v>
              </c:pt>
              <c:pt idx="1">
                <c:v>1.127551067863415E-3</c:v>
              </c:pt>
            </c:numLit>
          </c:yVal>
          <c:smooth val="0"/>
          <c:extLst>
            <c:ext xmlns:c16="http://schemas.microsoft.com/office/drawing/2014/chart" uri="{C3380CC4-5D6E-409C-BE32-E72D297353CC}">
              <c16:uniqueId val="{00000098-5EB1-41FA-A6CE-2509FEC6FFA2}"/>
            </c:ext>
          </c:extLst>
        </c:ser>
        <c:ser>
          <c:idx val="93"/>
          <c:order val="93"/>
          <c:tx>
            <c:v>WB=20</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20</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99-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19.181439441292415</c:v>
              </c:pt>
              <c:pt idx="1">
                <c:v>50</c:v>
              </c:pt>
            </c:numLit>
          </c:xVal>
          <c:yVal>
            <c:numLit>
              <c:formatCode>General</c:formatCode>
              <c:ptCount val="2"/>
              <c:pt idx="0">
                <c:v>1.4757561327237089E-2</c:v>
              </c:pt>
              <c:pt idx="1">
                <c:v>2.4069582383148052E-3</c:v>
              </c:pt>
            </c:numLit>
          </c:yVal>
          <c:smooth val="0"/>
          <c:extLst>
            <c:ext xmlns:c16="http://schemas.microsoft.com/office/drawing/2014/chart" uri="{C3380CC4-5D6E-409C-BE32-E72D297353CC}">
              <c16:uniqueId val="{0000009A-5EB1-41FA-A6CE-2509FEC6FFA2}"/>
            </c:ext>
          </c:extLst>
        </c:ser>
        <c:ser>
          <c:idx val="94"/>
          <c:order val="94"/>
          <c:tx>
            <c:v>WB=21</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9B-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20.157070440616</c:v>
              </c:pt>
              <c:pt idx="1">
                <c:v>50.000000000000007</c:v>
              </c:pt>
            </c:numLit>
          </c:xVal>
          <c:yVal>
            <c:numLit>
              <c:formatCode>General</c:formatCode>
              <c:ptCount val="2"/>
              <c:pt idx="0">
                <c:v>1.5720933198745006E-2</c:v>
              </c:pt>
              <c:pt idx="1">
                <c:v>3.7413398009154331E-3</c:v>
              </c:pt>
            </c:numLit>
          </c:yVal>
          <c:smooth val="0"/>
          <c:extLst>
            <c:ext xmlns:c16="http://schemas.microsoft.com/office/drawing/2014/chart" uri="{C3380CC4-5D6E-409C-BE32-E72D297353CC}">
              <c16:uniqueId val="{0000009C-5EB1-41FA-A6CE-2509FEC6FFA2}"/>
            </c:ext>
          </c:extLst>
        </c:ser>
        <c:ser>
          <c:idx val="95"/>
          <c:order val="95"/>
          <c:tx>
            <c:v>WB=22</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9D-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21.133343906124985</c:v>
              </c:pt>
              <c:pt idx="1">
                <c:v>50</c:v>
              </c:pt>
            </c:numLit>
          </c:xVal>
          <c:yVal>
            <c:numLit>
              <c:formatCode>General</c:formatCode>
              <c:ptCount val="2"/>
              <c:pt idx="0">
                <c:v>1.6740707189674783E-2</c:v>
              </c:pt>
              <c:pt idx="1">
                <c:v>5.1336233039210857E-3</c:v>
              </c:pt>
            </c:numLit>
          </c:yVal>
          <c:smooth val="0"/>
          <c:extLst>
            <c:ext xmlns:c16="http://schemas.microsoft.com/office/drawing/2014/chart" uri="{C3380CC4-5D6E-409C-BE32-E72D297353CC}">
              <c16:uniqueId val="{0000009E-5EB1-41FA-A6CE-2509FEC6FFA2}"/>
            </c:ext>
          </c:extLst>
        </c:ser>
        <c:ser>
          <c:idx val="96"/>
          <c:order val="96"/>
          <c:tx>
            <c:v>湿球温度座標軸ラベル</c:v>
          </c:tx>
          <c:spPr>
            <a:ln w="3175">
              <a:solidFill>
                <a:srgbClr val="000000"/>
              </a:solidFill>
              <a:prstDash val="solid"/>
            </a:ln>
          </c:spPr>
          <c:marker>
            <c:symbol val="none"/>
          </c:marker>
          <c:dLbls>
            <c:dLbl>
              <c:idx val="0"/>
              <c:layout>
                <c:manualLayout>
                  <c:x val="-7.0025973315835516E-2"/>
                  <c:y val="-7.8346673280123027E-17"/>
                </c:manualLayout>
              </c:layout>
              <c:tx>
                <c:rich>
                  <a:bodyPr rot="174000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湿球温度 </a:t>
                    </a:r>
                    <a:r>
                      <a:rPr lang="en-US"/>
                      <a:t>t' [℃]
</a:t>
                    </a:r>
                  </a:p>
                </c:rich>
              </c:tx>
              <c:spPr>
                <a:solidFill>
                  <a:srgbClr val="FFFFFF">
                    <a:alpha val="0"/>
                  </a:srgbClr>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9F-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41.627868005036369</c:v>
              </c:pt>
            </c:numLit>
          </c:xVal>
          <c:yVal>
            <c:numLit>
              <c:formatCode>General</c:formatCode>
              <c:ptCount val="1"/>
              <c:pt idx="0">
                <c:v>8.5000000000000006E-3</c:v>
              </c:pt>
            </c:numLit>
          </c:yVal>
          <c:smooth val="0"/>
          <c:extLst>
            <c:ext xmlns:c16="http://schemas.microsoft.com/office/drawing/2014/chart" uri="{C3380CC4-5D6E-409C-BE32-E72D297353CC}">
              <c16:uniqueId val="{000000A0-5EB1-41FA-A6CE-2509FEC6FFA2}"/>
            </c:ext>
          </c:extLst>
        </c:ser>
        <c:ser>
          <c:idx val="97"/>
          <c:order val="97"/>
          <c:tx>
            <c:v>WB=23</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A1-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22.110422457943038</c:v>
              </c:pt>
              <c:pt idx="1">
                <c:v>50.000000000000007</c:v>
              </c:pt>
            </c:numLit>
          </c:xVal>
          <c:yVal>
            <c:numLit>
              <c:formatCode>General</c:formatCode>
              <c:ptCount val="2"/>
              <c:pt idx="0">
                <c:v>1.7819892618663919E-2</c:v>
              </c:pt>
              <c:pt idx="1">
                <c:v>6.5868911047607297E-3</c:v>
              </c:pt>
            </c:numLit>
          </c:yVal>
          <c:smooth val="0"/>
          <c:extLst>
            <c:ext xmlns:c16="http://schemas.microsoft.com/office/drawing/2014/chart" uri="{C3380CC4-5D6E-409C-BE32-E72D297353CC}">
              <c16:uniqueId val="{000000A2-5EB1-41FA-A6CE-2509FEC6FFA2}"/>
            </c:ext>
          </c:extLst>
        </c:ser>
        <c:ser>
          <c:idx val="98"/>
          <c:order val="98"/>
          <c:tx>
            <c:v>WB=24</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24</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A3-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23.088483389020517</c:v>
              </c:pt>
              <c:pt idx="1">
                <c:v>50</c:v>
              </c:pt>
            </c:numLit>
          </c:xVal>
          <c:yVal>
            <c:numLit>
              <c:formatCode>General</c:formatCode>
              <c:ptCount val="2"/>
              <c:pt idx="0">
                <c:v>1.8961656547670749E-2</c:v>
              </c:pt>
              <c:pt idx="1">
                <c:v>8.1043897142882119E-3</c:v>
              </c:pt>
            </c:numLit>
          </c:yVal>
          <c:smooth val="0"/>
          <c:extLst>
            <c:ext xmlns:c16="http://schemas.microsoft.com/office/drawing/2014/chart" uri="{C3380CC4-5D6E-409C-BE32-E72D297353CC}">
              <c16:uniqueId val="{000000A4-5EB1-41FA-A6CE-2509FEC6FFA2}"/>
            </c:ext>
          </c:extLst>
        </c:ser>
        <c:ser>
          <c:idx val="99"/>
          <c:order val="99"/>
          <c:tx>
            <c:v>WB=25</c:v>
          </c:tx>
          <c:spPr>
            <a:ln w="3175">
              <a:solidFill>
                <a:srgbClr val="3366FF"/>
              </a:solidFill>
              <a:prstDash val="sysDash"/>
            </a:ln>
          </c:spPr>
          <c:marker>
            <c:symbol val="none"/>
          </c:marker>
          <c:dLbls>
            <c:dLbl>
              <c:idx val="0"/>
              <c:layout>
                <c:manualLayout>
                  <c:x val="-2.7678258967629047E-2"/>
                  <c:y val="-4.273504273504352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25</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A5-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24.067719678840426</c:v>
              </c:pt>
              <c:pt idx="1">
                <c:v>50</c:v>
              </c:pt>
            </c:numLit>
          </c:xVal>
          <c:yVal>
            <c:numLit>
              <c:formatCode>General</c:formatCode>
              <c:ptCount val="2"/>
              <c:pt idx="0">
                <c:v>2.0169333399710391E-2</c:v>
              </c:pt>
              <c:pt idx="1">
                <c:v>9.6895398780736056E-3</c:v>
              </c:pt>
            </c:numLit>
          </c:yVal>
          <c:smooth val="0"/>
          <c:extLst>
            <c:ext xmlns:c16="http://schemas.microsoft.com/office/drawing/2014/chart" uri="{C3380CC4-5D6E-409C-BE32-E72D297353CC}">
              <c16:uniqueId val="{000000A6-5EB1-41FA-A6CE-2509FEC6FFA2}"/>
            </c:ext>
          </c:extLst>
        </c:ser>
        <c:ser>
          <c:idx val="100"/>
          <c:order val="100"/>
          <c:tx>
            <c:v>WB=26</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26</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A7-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25.048321472690553</c:v>
              </c:pt>
              <c:pt idx="1">
                <c:v>50.000000000000007</c:v>
              </c:pt>
            </c:numLit>
          </c:xVal>
          <c:yVal>
            <c:numLit>
              <c:formatCode>General</c:formatCode>
              <c:ptCount val="2"/>
              <c:pt idx="0">
                <c:v>2.1446877205943158E-2</c:v>
              </c:pt>
              <c:pt idx="1">
                <c:v>1.1346381384148981E-2</c:v>
              </c:pt>
            </c:numLit>
          </c:yVal>
          <c:smooth val="0"/>
          <c:extLst>
            <c:ext xmlns:c16="http://schemas.microsoft.com/office/drawing/2014/chart" uri="{C3380CC4-5D6E-409C-BE32-E72D297353CC}">
              <c16:uniqueId val="{000000A8-5EB1-41FA-A6CE-2509FEC6FFA2}"/>
            </c:ext>
          </c:extLst>
        </c:ser>
        <c:ser>
          <c:idx val="101"/>
          <c:order val="101"/>
          <c:tx>
            <c:v>WB=27</c:v>
          </c:tx>
          <c:spPr>
            <a:ln w="3175">
              <a:solidFill>
                <a:srgbClr val="3366FF"/>
              </a:solidFill>
              <a:prstDash val="sysDash"/>
            </a:ln>
          </c:spPr>
          <c:marker>
            <c:symbol val="none"/>
          </c:marker>
          <c:dLbls>
            <c:dLbl>
              <c:idx val="0"/>
              <c:layout>
                <c:manualLayout>
                  <c:x val="-2.767825896762911E-2"/>
                  <c:y val="-4.273504273504313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27</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A9-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26.030535251824297</c:v>
              </c:pt>
              <c:pt idx="1">
                <c:v>50</c:v>
              </c:pt>
            </c:numLit>
          </c:xVal>
          <c:yVal>
            <c:numLit>
              <c:formatCode>General</c:formatCode>
              <c:ptCount val="2"/>
              <c:pt idx="0">
                <c:v>2.2797604877624097E-2</c:v>
              </c:pt>
              <c:pt idx="1">
                <c:v>1.3078340322813551E-2</c:v>
              </c:pt>
            </c:numLit>
          </c:yVal>
          <c:smooth val="0"/>
          <c:extLst>
            <c:ext xmlns:c16="http://schemas.microsoft.com/office/drawing/2014/chart" uri="{C3380CC4-5D6E-409C-BE32-E72D297353CC}">
              <c16:uniqueId val="{000000AA-5EB1-41FA-A6CE-2509FEC6FFA2}"/>
            </c:ext>
          </c:extLst>
        </c:ser>
        <c:ser>
          <c:idx val="102"/>
          <c:order val="102"/>
          <c:tx>
            <c:v>WB=28</c:v>
          </c:tx>
          <c:spPr>
            <a:ln w="3175">
              <a:solidFill>
                <a:srgbClr val="3366FF"/>
              </a:solidFill>
              <a:prstDash val="sysDash"/>
            </a:ln>
          </c:spPr>
          <c:marker>
            <c:symbol val="none"/>
          </c:marker>
          <c:dLbls>
            <c:dLbl>
              <c:idx val="0"/>
              <c:layout>
                <c:manualLayout>
                  <c:x val="-2.767825896762911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28</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AB-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27.01460799871953</c:v>
              </c:pt>
              <c:pt idx="1">
                <c:v>50.000000000000007</c:v>
              </c:pt>
            </c:numLit>
          </c:xVal>
          <c:yVal>
            <c:numLit>
              <c:formatCode>General</c:formatCode>
              <c:ptCount val="2"/>
              <c:pt idx="0">
                <c:v>2.4225424078400493E-2</c:v>
              </c:pt>
              <c:pt idx="1">
                <c:v>1.4889434478430795E-2</c:v>
              </c:pt>
            </c:numLit>
          </c:yVal>
          <c:smooth val="0"/>
          <c:extLst>
            <c:ext xmlns:c16="http://schemas.microsoft.com/office/drawing/2014/chart" uri="{C3380CC4-5D6E-409C-BE32-E72D297353CC}">
              <c16:uniqueId val="{000000AC-5EB1-41FA-A6CE-2509FEC6FFA2}"/>
            </c:ext>
          </c:extLst>
        </c:ser>
        <c:ser>
          <c:idx val="103"/>
          <c:order val="103"/>
          <c:tx>
            <c:v>WB=29</c:v>
          </c:tx>
          <c:spPr>
            <a:ln w="3175">
              <a:solidFill>
                <a:srgbClr val="3366FF"/>
              </a:solidFill>
              <a:prstDash val="sysDash"/>
            </a:ln>
          </c:spPr>
          <c:marker>
            <c:symbol val="none"/>
          </c:marker>
          <c:dLbls>
            <c:dLbl>
              <c:idx val="0"/>
              <c:layout>
                <c:manualLayout>
                  <c:x val="-2.7678258967629047E-2"/>
                  <c:y val="-4.273504273504313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29</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AD-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28.000807254075735</c:v>
              </c:pt>
              <c:pt idx="1">
                <c:v>50.000000000000007</c:v>
              </c:pt>
            </c:numLit>
          </c:xVal>
          <c:yVal>
            <c:numLit>
              <c:formatCode>General</c:formatCode>
              <c:ptCount val="2"/>
              <c:pt idx="0">
                <c:v>2.5734457306702815E-2</c:v>
              </c:pt>
              <c:pt idx="1">
                <c:v>1.6783905580143949E-2</c:v>
              </c:pt>
            </c:numLit>
          </c:yVal>
          <c:smooth val="0"/>
          <c:extLst>
            <c:ext xmlns:c16="http://schemas.microsoft.com/office/drawing/2014/chart" uri="{C3380CC4-5D6E-409C-BE32-E72D297353CC}">
              <c16:uniqueId val="{000000AE-5EB1-41FA-A6CE-2509FEC6FFA2}"/>
            </c:ext>
          </c:extLst>
        </c:ser>
        <c:ser>
          <c:idx val="104"/>
          <c:order val="104"/>
          <c:tx>
            <c:v>WB=30</c:v>
          </c:tx>
          <c:spPr>
            <a:ln w="3175">
              <a:solidFill>
                <a:srgbClr val="3366FF"/>
              </a:solidFill>
              <a:prstDash val="sysDash"/>
            </a:ln>
          </c:spPr>
          <c:marker>
            <c:symbol val="none"/>
          </c:marker>
          <c:dLbls>
            <c:dLbl>
              <c:idx val="0"/>
              <c:layout>
                <c:manualLayout>
                  <c:x val="-2.7678258967629172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30</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AF-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28.989422570672435</c:v>
              </c:pt>
              <c:pt idx="1">
                <c:v>50.000000000000007</c:v>
              </c:pt>
            </c:numLit>
          </c:xVal>
          <c:yVal>
            <c:numLit>
              <c:formatCode>General</c:formatCode>
              <c:ptCount val="2"/>
              <c:pt idx="0">
                <c:v>2.73290562877294E-2</c:v>
              </c:pt>
              <c:pt idx="1">
                <c:v>1.876623436362267E-2</c:v>
              </c:pt>
            </c:numLit>
          </c:yVal>
          <c:smooth val="0"/>
          <c:extLst>
            <c:ext xmlns:c16="http://schemas.microsoft.com/office/drawing/2014/chart" uri="{C3380CC4-5D6E-409C-BE32-E72D297353CC}">
              <c16:uniqueId val="{000000B0-5EB1-41FA-A6CE-2509FEC6FFA2}"/>
            </c:ext>
          </c:extLst>
        </c:ser>
        <c:ser>
          <c:idx val="105"/>
          <c:order val="105"/>
          <c:tx>
            <c:v>WB=31</c:v>
          </c:tx>
          <c:spPr>
            <a:ln w="3175">
              <a:solidFill>
                <a:srgbClr val="3366FF"/>
              </a:solidFill>
              <a:prstDash val="sysDash"/>
            </a:ln>
          </c:spPr>
          <c:marker>
            <c:symbol val="none"/>
          </c:marker>
          <c:dLbls>
            <c:dLbl>
              <c:idx val="0"/>
              <c:layout>
                <c:manualLayout>
                  <c:x val="-2.7678258967629047E-2"/>
                  <c:y val="-4.273504273504293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B1-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29.980767082589693</c:v>
              </c:pt>
              <c:pt idx="1">
                <c:v>50.000000000000007</c:v>
              </c:pt>
            </c:numLit>
          </c:xVal>
          <c:yVal>
            <c:numLit>
              <c:formatCode>General</c:formatCode>
              <c:ptCount val="2"/>
              <c:pt idx="0">
                <c:v>2.9013817626337573E-2</c:v>
              </c:pt>
              <c:pt idx="1">
                <c:v>2.0841156947637916E-2</c:v>
              </c:pt>
            </c:numLit>
          </c:yVal>
          <c:smooth val="0"/>
          <c:extLst>
            <c:ext xmlns:c16="http://schemas.microsoft.com/office/drawing/2014/chart" uri="{C3380CC4-5D6E-409C-BE32-E72D297353CC}">
              <c16:uniqueId val="{000000B2-5EB1-41FA-A6CE-2509FEC6FFA2}"/>
            </c:ext>
          </c:extLst>
        </c:ser>
        <c:ser>
          <c:idx val="106"/>
          <c:order val="106"/>
          <c:tx>
            <c:v>WB=32</c:v>
          </c:tx>
          <c:spPr>
            <a:ln w="3175">
              <a:solidFill>
                <a:srgbClr val="3366FF"/>
              </a:solidFill>
              <a:prstDash val="sysDash"/>
            </a:ln>
          </c:spPr>
          <c:marker>
            <c:symbol val="none"/>
          </c:marker>
          <c:dLbls>
            <c:dLbl>
              <c:idx val="0"/>
              <c:layout>
                <c:manualLayout>
                  <c:x val="-2.7678258967629172E-2"/>
                  <c:y val="-4.273504273504293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B3-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30.975179201690683</c:v>
              </c:pt>
              <c:pt idx="1">
                <c:v>50</c:v>
              </c:pt>
            </c:numLit>
          </c:xVal>
          <c:yVal>
            <c:numLit>
              <c:formatCode>General</c:formatCode>
              <c:ptCount val="2"/>
              <c:pt idx="0">
                <c:v>3.0793599853619184E-2</c:v>
              </c:pt>
              <c:pt idx="1">
                <c:v>2.3013682663751679E-2</c:v>
              </c:pt>
            </c:numLit>
          </c:yVal>
          <c:smooth val="0"/>
          <c:extLst>
            <c:ext xmlns:c16="http://schemas.microsoft.com/office/drawing/2014/chart" uri="{C3380CC4-5D6E-409C-BE32-E72D297353CC}">
              <c16:uniqueId val="{000000B4-5EB1-41FA-A6CE-2509FEC6FFA2}"/>
            </c:ext>
          </c:extLst>
        </c:ser>
        <c:ser>
          <c:idx val="107"/>
          <c:order val="107"/>
          <c:tx>
            <c:v>WB=33</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B5-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31.97302445473133</c:v>
              </c:pt>
              <c:pt idx="1">
                <c:v>50.000000000000007</c:v>
              </c:pt>
            </c:numLit>
          </c:xVal>
          <c:yVal>
            <c:numLit>
              <c:formatCode>General</c:formatCode>
              <c:ptCount val="2"/>
              <c:pt idx="0">
                <c:v>3.2673542015821677E-2</c:v>
              </c:pt>
              <c:pt idx="1">
                <c:v>2.5289113493966509E-2</c:v>
              </c:pt>
            </c:numLit>
          </c:yVal>
          <c:smooth val="0"/>
          <c:extLst>
            <c:ext xmlns:c16="http://schemas.microsoft.com/office/drawing/2014/chart" uri="{C3380CC4-5D6E-409C-BE32-E72D297353CC}">
              <c16:uniqueId val="{000000B6-5EB1-41FA-A6CE-2509FEC6FFA2}"/>
            </c:ext>
          </c:extLst>
        </c:ser>
        <c:ser>
          <c:idx val="108"/>
          <c:order val="108"/>
          <c:tx>
            <c:v>WB=34</c:v>
          </c:tx>
          <c:spPr>
            <a:ln w="3175">
              <a:solidFill>
                <a:srgbClr val="3366FF"/>
              </a:solidFill>
              <a:prstDash val="sysDash"/>
            </a:ln>
          </c:spPr>
          <c:marker>
            <c:symbol val="none"/>
          </c:marker>
          <c:xVal>
            <c:numLit>
              <c:formatCode>General</c:formatCode>
              <c:ptCount val="2"/>
              <c:pt idx="0">
                <c:v>32.974697476126913</c:v>
              </c:pt>
              <c:pt idx="1">
                <c:v>50</c:v>
              </c:pt>
            </c:numLit>
          </c:xVal>
          <c:yVal>
            <c:numLit>
              <c:formatCode>General</c:formatCode>
              <c:ptCount val="2"/>
              <c:pt idx="0">
                <c:v>3.4659083972322924E-2</c:v>
              </c:pt>
              <c:pt idx="1">
                <c:v>2.7673065289994456E-2</c:v>
              </c:pt>
            </c:numLit>
          </c:yVal>
          <c:smooth val="0"/>
          <c:extLst>
            <c:ext xmlns:c16="http://schemas.microsoft.com/office/drawing/2014/chart" uri="{C3380CC4-5D6E-409C-BE32-E72D297353CC}">
              <c16:uniqueId val="{000000B7-5EB1-41FA-A6CE-2509FEC6FFA2}"/>
            </c:ext>
          </c:extLst>
        </c:ser>
        <c:ser>
          <c:idx val="109"/>
          <c:order val="109"/>
          <c:tx>
            <c:v>WB=</c:v>
          </c:tx>
          <c:spPr>
            <a:ln w="3175">
              <a:solidFill>
                <a:srgbClr val="3366FF"/>
              </a:solidFill>
              <a:prstDash val="sysDash"/>
            </a:ln>
          </c:spPr>
          <c:marker>
            <c:symbol val="none"/>
          </c:marker>
          <c:xVal>
            <c:numLit>
              <c:formatCode>General</c:formatCode>
              <c:ptCount val="2"/>
              <c:pt idx="0">
                <c:v>-0.34054167287274817</c:v>
              </c:pt>
              <c:pt idx="1">
                <c:v>9.4387305875737741</c:v>
              </c:pt>
            </c:numLit>
          </c:xVal>
          <c:yVal>
            <c:numLit>
              <c:formatCode>General</c:formatCode>
              <c:ptCount val="2"/>
              <c:pt idx="0">
                <c:v>3.7926394193890894E-3</c:v>
              </c:pt>
              <c:pt idx="1">
                <c:v>0</c:v>
              </c:pt>
            </c:numLit>
          </c:yVal>
          <c:smooth val="0"/>
          <c:extLst>
            <c:ext xmlns:c16="http://schemas.microsoft.com/office/drawing/2014/chart" uri="{C3380CC4-5D6E-409C-BE32-E72D297353CC}">
              <c16:uniqueId val="{000000B8-5EB1-41FA-A6CE-2509FEC6FFA2}"/>
            </c:ext>
          </c:extLst>
        </c:ser>
        <c:ser>
          <c:idx val="110"/>
          <c:order val="110"/>
          <c:tx>
            <c:v>３重点（水）</c:v>
          </c:tx>
          <c:spPr>
            <a:ln w="3175">
              <a:solidFill>
                <a:srgbClr val="000000"/>
              </a:solidFill>
              <a:prstDash val="solid"/>
            </a:ln>
          </c:spPr>
          <c:marker>
            <c:symbol val="none"/>
          </c:marker>
          <c:dLbls>
            <c:dLbl>
              <c:idx val="0"/>
              <c:layout>
                <c:manualLayout>
                  <c:x val="-5.8654445538057771E-2"/>
                  <c:y val="0"/>
                </c:manualLayout>
              </c:layout>
              <c:tx>
                <c:rich>
                  <a:bodyPr rot="1680000" vertOverflow="overflow" horzOverflow="overflow" vert="horz" wrap="none" lIns="0" tIns="0" rIns="0" bIns="0" anchor="ctr">
                    <a:spAutoFit/>
                  </a:bodyPr>
                  <a:lstStyle/>
                  <a:p>
                    <a:pPr algn="ctr">
                      <a:defRPr altLang="ja-JP" sz="500" b="0" i="1">
                        <a:solidFill>
                          <a:srgbClr val="000000"/>
                        </a:solidFill>
                        <a:latin typeface="ＭＳ Ｐ明朝"/>
                        <a:ea typeface="ＭＳ Ｐ明朝"/>
                        <a:cs typeface="ＭＳ Ｐ明朝"/>
                      </a:defRPr>
                    </a:pPr>
                    <a:r>
                      <a:rPr lang="en-US" altLang="ja-JP"/>
                      <a:t>0.01[℃](</a:t>
                    </a:r>
                    <a:r>
                      <a:rPr lang="ja-JP" altLang="en-US"/>
                      <a:t>水</a:t>
                    </a:r>
                    <a:r>
                      <a:rPr lang="en-US" altLang="ja-JP"/>
                      <a:t>)
</a:t>
                    </a:r>
                  </a:p>
                </c:rich>
              </c:tx>
              <c:spPr>
                <a:solidFill>
                  <a:srgbClr val="FFFFFF">
                    <a:alpha val="0"/>
                  </a:srgbClr>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B9-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8.4073357008938547</c:v>
              </c:pt>
            </c:numLit>
          </c:xVal>
          <c:yVal>
            <c:numLit>
              <c:formatCode>General</c:formatCode>
              <c:ptCount val="1"/>
              <c:pt idx="0">
                <c:v>4.0000000000000002E-4</c:v>
              </c:pt>
            </c:numLit>
          </c:yVal>
          <c:smooth val="0"/>
          <c:extLst>
            <c:ext xmlns:c16="http://schemas.microsoft.com/office/drawing/2014/chart" uri="{C3380CC4-5D6E-409C-BE32-E72D297353CC}">
              <c16:uniqueId val="{000000BA-5EB1-41FA-A6CE-2509FEC6FFA2}"/>
            </c:ext>
          </c:extLst>
        </c:ser>
        <c:ser>
          <c:idx val="111"/>
          <c:order val="111"/>
          <c:tx>
            <c:v>v=0.74</c:v>
          </c:tx>
          <c:spPr>
            <a:ln w="3175">
              <a:solidFill>
                <a:srgbClr val="008000"/>
              </a:solidFill>
              <a:prstDash val="sysDash"/>
            </a:ln>
          </c:spPr>
          <c:marker>
            <c:symbol val="none"/>
          </c:marker>
          <c:dLbls>
            <c:dLbl>
              <c:idx val="0"/>
              <c:layout>
                <c:manualLayout>
                  <c:x val="5.208333333333333E-3"/>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BB-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-10.874709529952851</c:v>
              </c:pt>
              <c:pt idx="1">
                <c:v>-12.627751070674329</c:v>
              </c:pt>
            </c:numLit>
          </c:xVal>
          <c:yVal>
            <c:numLit>
              <c:formatCode>General</c:formatCode>
              <c:ptCount val="2"/>
              <c:pt idx="0">
                <c:v>-2E-3</c:v>
              </c:pt>
              <c:pt idx="1">
                <c:v>1.2790120976206793E-3</c:v>
              </c:pt>
            </c:numLit>
          </c:yVal>
          <c:smooth val="0"/>
          <c:extLst>
            <c:ext xmlns:c16="http://schemas.microsoft.com/office/drawing/2014/chart" uri="{C3380CC4-5D6E-409C-BE32-E72D297353CC}">
              <c16:uniqueId val="{000000BC-5EB1-41FA-A6CE-2509FEC6FFA2}"/>
            </c:ext>
          </c:extLst>
        </c:ser>
        <c:ser>
          <c:idx val="112"/>
          <c:order val="112"/>
          <c:tx>
            <c:v>v=0.75</c:v>
          </c:tx>
          <c:spPr>
            <a:ln w="3175">
              <a:solidFill>
                <a:srgbClr val="008000"/>
              </a:solidFill>
              <a:prstDash val="sysDash"/>
            </a:ln>
          </c:spPr>
          <c:marker>
            <c:symbol val="none"/>
          </c:marker>
          <c:dLbls>
            <c:dLbl>
              <c:idx val="0"/>
              <c:layout>
                <c:manualLayout>
                  <c:x val="-2.0516595581802282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0.75</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BD-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-7.346503939454391</c:v>
              </c:pt>
              <c:pt idx="1">
                <c:v>-9.3395938494272617</c:v>
              </c:pt>
            </c:numLit>
          </c:xVal>
          <c:yVal>
            <c:numLit>
              <c:formatCode>General</c:formatCode>
              <c:ptCount val="2"/>
              <c:pt idx="0">
                <c:v>-2E-3</c:v>
              </c:pt>
              <c:pt idx="1">
                <c:v>1.7336224881504504E-3</c:v>
              </c:pt>
            </c:numLit>
          </c:yVal>
          <c:smooth val="0"/>
          <c:extLst>
            <c:ext xmlns:c16="http://schemas.microsoft.com/office/drawing/2014/chart" uri="{C3380CC4-5D6E-409C-BE32-E72D297353CC}">
              <c16:uniqueId val="{000000BE-5EB1-41FA-A6CE-2509FEC6FFA2}"/>
            </c:ext>
          </c:extLst>
        </c:ser>
        <c:ser>
          <c:idx val="113"/>
          <c:order val="113"/>
          <c:tx>
            <c:v>v=0.76</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BF-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-3.818269416168651</c:v>
              </c:pt>
              <c:pt idx="1">
                <c:v>-6.119387602312834</c:v>
              </c:pt>
            </c:numLit>
          </c:xVal>
          <c:yVal>
            <c:numLit>
              <c:formatCode>General</c:formatCode>
              <c:ptCount val="2"/>
              <c:pt idx="0">
                <c:v>-2E-3</c:v>
              </c:pt>
              <c:pt idx="1">
                <c:v>2.3170227284918499E-3</c:v>
              </c:pt>
            </c:numLit>
          </c:yVal>
          <c:smooth val="0"/>
          <c:extLst>
            <c:ext xmlns:c16="http://schemas.microsoft.com/office/drawing/2014/chart" uri="{C3380CC4-5D6E-409C-BE32-E72D297353CC}">
              <c16:uniqueId val="{000000C0-5EB1-41FA-A6CE-2509FEC6FFA2}"/>
            </c:ext>
          </c:extLst>
        </c:ser>
        <c:ser>
          <c:idx val="114"/>
          <c:order val="114"/>
          <c:tx>
            <c:v>v=0.77</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0.77</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C1-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-0.29000596009563406</c:v>
              </c:pt>
              <c:pt idx="1">
                <c:v>-2.9645734567715794</c:v>
              </c:pt>
            </c:numLit>
          </c:xVal>
          <c:yVal>
            <c:numLit>
              <c:formatCode>General</c:formatCode>
              <c:ptCount val="2"/>
              <c:pt idx="0">
                <c:v>-2E-3</c:v>
              </c:pt>
              <c:pt idx="1">
                <c:v>3.0249300014924445E-3</c:v>
              </c:pt>
            </c:numLit>
          </c:yVal>
          <c:smooth val="0"/>
          <c:extLst>
            <c:ext xmlns:c16="http://schemas.microsoft.com/office/drawing/2014/chart" uri="{C3380CC4-5D6E-409C-BE32-E72D297353CC}">
              <c16:uniqueId val="{000000C2-5EB1-41FA-A6CE-2509FEC6FFA2}"/>
            </c:ext>
          </c:extLst>
        </c:ser>
        <c:ser>
          <c:idx val="115"/>
          <c:order val="115"/>
          <c:tx>
            <c:v>v=0.78</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C3-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3.2382960730270849</c:v>
              </c:pt>
              <c:pt idx="1">
                <c:v>0.10285584873451092</c:v>
              </c:pt>
            </c:numLit>
          </c:xVal>
          <c:yVal>
            <c:numLit>
              <c:formatCode>General</c:formatCode>
              <c:ptCount val="2"/>
              <c:pt idx="0">
                <c:v>-2E-3</c:v>
              </c:pt>
              <c:pt idx="1">
                <c:v>3.8991736467227744E-3</c:v>
              </c:pt>
            </c:numLit>
          </c:yVal>
          <c:smooth val="0"/>
          <c:extLst>
            <c:ext xmlns:c16="http://schemas.microsoft.com/office/drawing/2014/chart" uri="{C3380CC4-5D6E-409C-BE32-E72D297353CC}">
              <c16:uniqueId val="{000000C4-5EB1-41FA-A6CE-2509FEC6FFA2}"/>
            </c:ext>
          </c:extLst>
        </c:ser>
        <c:ser>
          <c:idx val="116"/>
          <c:order val="116"/>
          <c:tx>
            <c:v>v=0.79</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0.79</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C5-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6.7666270389370791</c:v>
              </c:pt>
              <c:pt idx="1">
                <c:v>3.1098962435210065</c:v>
              </c:pt>
            </c:numLit>
          </c:xVal>
          <c:yVal>
            <c:numLit>
              <c:formatCode>General</c:formatCode>
              <c:ptCount val="2"/>
              <c:pt idx="0">
                <c:v>-2E-3</c:v>
              </c:pt>
              <c:pt idx="1">
                <c:v>4.8895504212206229E-3</c:v>
              </c:pt>
            </c:numLit>
          </c:yVal>
          <c:smooth val="0"/>
          <c:extLst>
            <c:ext xmlns:c16="http://schemas.microsoft.com/office/drawing/2014/chart" uri="{C3380CC4-5D6E-409C-BE32-E72D297353CC}">
              <c16:uniqueId val="{000000C6-5EB1-41FA-A6CE-2509FEC6FFA2}"/>
            </c:ext>
          </c:extLst>
        </c:ser>
        <c:ser>
          <c:idx val="117"/>
          <c:order val="117"/>
          <c:tx>
            <c:v>v=0.80</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C7-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10.294991759765564</c:v>
              </c:pt>
              <c:pt idx="1">
                <c:v>6.0465363820865337</c:v>
              </c:pt>
            </c:numLit>
          </c:xVal>
          <c:yVal>
            <c:numLit>
              <c:formatCode>General</c:formatCode>
              <c:ptCount val="2"/>
              <c:pt idx="0">
                <c:v>-2E-3</c:v>
              </c:pt>
              <c:pt idx="1">
                <c:v>6.0153263481791579E-3</c:v>
              </c:pt>
            </c:numLit>
          </c:yVal>
          <c:smooth val="0"/>
          <c:extLst>
            <c:ext xmlns:c16="http://schemas.microsoft.com/office/drawing/2014/chart" uri="{C3380CC4-5D6E-409C-BE32-E72D297353CC}">
              <c16:uniqueId val="{000000C8-5EB1-41FA-A6CE-2509FEC6FFA2}"/>
            </c:ext>
          </c:extLst>
        </c:ser>
        <c:ser>
          <c:idx val="118"/>
          <c:order val="118"/>
          <c:tx>
            <c:v>v=0.81</c:v>
          </c:tx>
          <c:spPr>
            <a:ln w="3175">
              <a:solidFill>
                <a:srgbClr val="008000"/>
              </a:solidFill>
              <a:prstDash val="sysDash"/>
            </a:ln>
          </c:spPr>
          <c:marker>
            <c:symbol val="none"/>
          </c:marker>
          <c:dLbls>
            <c:dLbl>
              <c:idx val="0"/>
              <c:layout>
                <c:manualLayout>
                  <c:x val="-2.0516595581802338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0.81</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C9-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13.823409524037386</c:v>
              </c:pt>
              <c:pt idx="1">
                <c:v>8.8676317339037034</c:v>
              </c:pt>
            </c:numLit>
          </c:xVal>
          <c:yVal>
            <c:numLit>
              <c:formatCode>General</c:formatCode>
              <c:ptCount val="2"/>
              <c:pt idx="0">
                <c:v>-2E-3</c:v>
              </c:pt>
              <c:pt idx="1">
                <c:v>7.3621000293178172E-3</c:v>
              </c:pt>
            </c:numLit>
          </c:yVal>
          <c:smooth val="0"/>
          <c:extLst>
            <c:ext xmlns:c16="http://schemas.microsoft.com/office/drawing/2014/chart" uri="{C3380CC4-5D6E-409C-BE32-E72D297353CC}">
              <c16:uniqueId val="{000000CA-5EB1-41FA-A6CE-2509FEC6FFA2}"/>
            </c:ext>
          </c:extLst>
        </c:ser>
        <c:ser>
          <c:idx val="119"/>
          <c:order val="119"/>
          <c:tx>
            <c:v>v=0.82</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CB-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17.351875509621301</c:v>
              </c:pt>
              <c:pt idx="1">
                <c:v>11.5879733552514</c:v>
              </c:pt>
            </c:numLit>
          </c:xVal>
          <c:yVal>
            <c:numLit>
              <c:formatCode>General</c:formatCode>
              <c:ptCount val="2"/>
              <c:pt idx="0">
                <c:v>-2E-3</c:v>
              </c:pt>
              <c:pt idx="1">
                <c:v>8.9026055794627895E-3</c:v>
              </c:pt>
            </c:numLit>
          </c:yVal>
          <c:smooth val="0"/>
          <c:extLst>
            <c:ext xmlns:c16="http://schemas.microsoft.com/office/drawing/2014/chart" uri="{C3380CC4-5D6E-409C-BE32-E72D297353CC}">
              <c16:uniqueId val="{000000CC-5EB1-41FA-A6CE-2509FEC6FFA2}"/>
            </c:ext>
          </c:extLst>
        </c:ser>
        <c:ser>
          <c:idx val="120"/>
          <c:order val="120"/>
          <c:tx>
            <c:v>v=0.83</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0.83</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CD-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20.880389716517374</c:v>
              </c:pt>
              <c:pt idx="1">
                <c:v>14.20996604398667</c:v>
              </c:pt>
            </c:numLit>
          </c:xVal>
          <c:yVal>
            <c:numLit>
              <c:formatCode>General</c:formatCode>
              <c:ptCount val="2"/>
              <c:pt idx="0">
                <c:v>-2E-3</c:v>
              </c:pt>
              <c:pt idx="1">
                <c:v>1.063281805822703E-2</c:v>
              </c:pt>
            </c:numLit>
          </c:yVal>
          <c:smooth val="0"/>
          <c:extLst>
            <c:ext xmlns:c16="http://schemas.microsoft.com/office/drawing/2014/chart" uri="{C3380CC4-5D6E-409C-BE32-E72D297353CC}">
              <c16:uniqueId val="{000000CE-5EB1-41FA-A6CE-2509FEC6FFA2}"/>
            </c:ext>
          </c:extLst>
        </c:ser>
        <c:ser>
          <c:idx val="121"/>
          <c:order val="121"/>
          <c:tx>
            <c:v>v=0.84</c:v>
          </c:tx>
          <c:spPr>
            <a:ln w="3175">
              <a:solidFill>
                <a:srgbClr val="008000"/>
              </a:solidFill>
              <a:prstDash val="sysDash"/>
            </a:ln>
          </c:spPr>
          <c:marker>
            <c:symbol val="none"/>
          </c:marker>
          <c:dLbls>
            <c:dLbl>
              <c:idx val="0"/>
              <c:layout>
                <c:manualLayout>
                  <c:x val="-2.0516595581802338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CF-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24.408952144725578</c:v>
              </c:pt>
              <c:pt idx="1">
                <c:v>16.735689922847381</c:v>
              </c:pt>
            </c:numLit>
          </c:xVal>
          <c:yVal>
            <c:numLit>
              <c:formatCode>General</c:formatCode>
              <c:ptCount val="2"/>
              <c:pt idx="0">
                <c:v>-2E-3</c:v>
              </c:pt>
              <c:pt idx="1">
                <c:v>1.2549255938049455E-2</c:v>
              </c:pt>
            </c:numLit>
          </c:yVal>
          <c:smooth val="0"/>
          <c:extLst>
            <c:ext xmlns:c16="http://schemas.microsoft.com/office/drawing/2014/chart" uri="{C3380CC4-5D6E-409C-BE32-E72D297353CC}">
              <c16:uniqueId val="{000000D0-5EB1-41FA-A6CE-2509FEC6FFA2}"/>
            </c:ext>
          </c:extLst>
        </c:ser>
        <c:ser>
          <c:idx val="122"/>
          <c:order val="122"/>
          <c:tx>
            <c:v>v=0.85</c:v>
          </c:tx>
          <c:spPr>
            <a:ln w="3175">
              <a:solidFill>
                <a:srgbClr val="008000"/>
              </a:solidFill>
              <a:prstDash val="sysDash"/>
            </a:ln>
          </c:spPr>
          <c:marker>
            <c:symbol val="none"/>
          </c:marker>
          <c:dLbls>
            <c:dLbl>
              <c:idx val="0"/>
              <c:layout>
                <c:manualLayout>
                  <c:x val="-2.0516595581802403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0.85</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1-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27.937577260639554</c:v>
              </c:pt>
              <c:pt idx="1">
                <c:v>19.132489610197876</c:v>
              </c:pt>
            </c:numLit>
          </c:xVal>
          <c:yVal>
            <c:numLit>
              <c:formatCode>General</c:formatCode>
              <c:ptCount val="2"/>
              <c:pt idx="0">
                <c:v>-2E-3</c:v>
              </c:pt>
              <c:pt idx="1">
                <c:v>1.4714104666790764E-2</c:v>
              </c:pt>
            </c:numLit>
          </c:yVal>
          <c:smooth val="0"/>
          <c:extLst>
            <c:ext xmlns:c16="http://schemas.microsoft.com/office/drawing/2014/chart" uri="{C3380CC4-5D6E-409C-BE32-E72D297353CC}">
              <c16:uniqueId val="{000000D2-5EB1-41FA-A6CE-2509FEC6FFA2}"/>
            </c:ext>
          </c:extLst>
        </c:ser>
        <c:ser>
          <c:idx val="123"/>
          <c:order val="123"/>
          <c:tx>
            <c:v>v=0.86</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3-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31.466250597865653</c:v>
              </c:pt>
              <c:pt idx="1">
                <c:v>21.436637215870181</c:v>
              </c:pt>
            </c:numLit>
          </c:xVal>
          <c:yVal>
            <c:numLit>
              <c:formatCode>General</c:formatCode>
              <c:ptCount val="2"/>
              <c:pt idx="0">
                <c:v>-2E-3</c:v>
              </c:pt>
              <c:pt idx="1">
                <c:v>1.7059125433167451E-2</c:v>
              </c:pt>
            </c:numLit>
          </c:yVal>
          <c:smooth val="0"/>
          <c:extLst>
            <c:ext xmlns:c16="http://schemas.microsoft.com/office/drawing/2014/chart" uri="{C3380CC4-5D6E-409C-BE32-E72D297353CC}">
              <c16:uniqueId val="{000000D4-5EB1-41FA-A6CE-2509FEC6FFA2}"/>
            </c:ext>
          </c:extLst>
        </c:ser>
        <c:ser>
          <c:idx val="124"/>
          <c:order val="124"/>
          <c:tx>
            <c:v>v=0.87</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0.87</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5-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34.994981800666295</c:v>
              </c:pt>
              <c:pt idx="1">
                <c:v>23.626528674080483</c:v>
              </c:pt>
            </c:numLit>
          </c:xVal>
          <c:yVal>
            <c:numLit>
              <c:formatCode>General</c:formatCode>
              <c:ptCount val="2"/>
              <c:pt idx="0">
                <c:v>-2E-3</c:v>
              </c:pt>
              <c:pt idx="1">
                <c:v>1.9625497050405307E-2</c:v>
              </c:pt>
            </c:numLit>
          </c:yVal>
          <c:smooth val="0"/>
          <c:extLst>
            <c:ext xmlns:c16="http://schemas.microsoft.com/office/drawing/2014/chart" uri="{C3380CC4-5D6E-409C-BE32-E72D297353CC}">
              <c16:uniqueId val="{000000D6-5EB1-41FA-A6CE-2509FEC6FFA2}"/>
            </c:ext>
          </c:extLst>
        </c:ser>
        <c:ser>
          <c:idx val="125"/>
          <c:order val="125"/>
          <c:tx>
            <c:v>v=0.88</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7-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38.523761224779079</c:v>
              </c:pt>
              <c:pt idx="1">
                <c:v>25.72596822985491</c:v>
              </c:pt>
            </c:numLit>
          </c:xVal>
          <c:yVal>
            <c:numLit>
              <c:formatCode>General</c:formatCode>
              <c:ptCount val="2"/>
              <c:pt idx="0">
                <c:v>-2E-3</c:v>
              </c:pt>
              <c:pt idx="1">
                <c:v>2.2368358237637633E-2</c:v>
              </c:pt>
            </c:numLit>
          </c:yVal>
          <c:smooth val="0"/>
          <c:extLst>
            <c:ext xmlns:c16="http://schemas.microsoft.com/office/drawing/2014/chart" uri="{C3380CC4-5D6E-409C-BE32-E72D297353CC}">
              <c16:uniqueId val="{000000D8-5EB1-41FA-A6CE-2509FEC6FFA2}"/>
            </c:ext>
          </c:extLst>
        </c:ser>
        <c:ser>
          <c:idx val="126"/>
          <c:order val="126"/>
          <c:tx>
            <c:v>v=0.89</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0.89</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9-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42.052593692335194</c:v>
              </c:pt>
              <c:pt idx="1">
                <c:v>27.72425869616541</c:v>
              </c:pt>
            </c:numLit>
          </c:xVal>
          <c:yVal>
            <c:numLit>
              <c:formatCode>General</c:formatCode>
              <c:ptCount val="2"/>
              <c:pt idx="0">
                <c:v>-2E-3</c:v>
              </c:pt>
              <c:pt idx="1">
                <c:v>2.5308122919637729E-2</c:v>
              </c:pt>
            </c:numLit>
          </c:yVal>
          <c:smooth val="0"/>
          <c:extLst>
            <c:ext xmlns:c16="http://schemas.microsoft.com/office/drawing/2014/chart" uri="{C3380CC4-5D6E-409C-BE32-E72D297353CC}">
              <c16:uniqueId val="{000000DA-5EB1-41FA-A6CE-2509FEC6FFA2}"/>
            </c:ext>
          </c:extLst>
        </c:ser>
        <c:ser>
          <c:idx val="127"/>
          <c:order val="127"/>
          <c:tx>
            <c:v>v=0.90</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0.90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B-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45.581474381203442</c:v>
              </c:pt>
              <c:pt idx="1">
                <c:v>29.633142341393423</c:v>
              </c:pt>
            </c:numLit>
          </c:xVal>
          <c:yVal>
            <c:numLit>
              <c:formatCode>General</c:formatCode>
              <c:ptCount val="2"/>
              <c:pt idx="0">
                <c:v>-2E-3</c:v>
              </c:pt>
              <c:pt idx="1">
                <c:v>2.8422628005840736E-2</c:v>
              </c:pt>
            </c:numLit>
          </c:yVal>
          <c:smooth val="0"/>
          <c:extLst>
            <c:ext xmlns:c16="http://schemas.microsoft.com/office/drawing/2014/chart" uri="{C3380CC4-5D6E-409C-BE32-E72D297353CC}">
              <c16:uniqueId val="{000000DC-5EB1-41FA-A6CE-2509FEC6FFA2}"/>
            </c:ext>
          </c:extLst>
        </c:ser>
        <c:ser>
          <c:idx val="128"/>
          <c:order val="128"/>
          <c:tx>
            <c:v>比容積座標軸ラベル</c:v>
          </c:tx>
          <c:spPr>
            <a:ln w="3175">
              <a:solidFill>
                <a:srgbClr val="000000"/>
              </a:solidFill>
              <a:prstDash val="solid"/>
            </a:ln>
          </c:spPr>
          <c:marker>
            <c:symbol val="none"/>
          </c:marker>
          <c:dLbls>
            <c:dLbl>
              <c:idx val="0"/>
              <c:layout>
                <c:manualLayout>
                  <c:x val="-6.1712325021872266E-2"/>
                  <c:y val="-1.5669334656024605E-16"/>
                </c:manualLayout>
              </c:layout>
              <c:tx>
                <c:rich>
                  <a:bodyPr rot="414000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比容積 </a:t>
                    </a:r>
                    <a:r>
                      <a:rPr lang="en-US"/>
                      <a:t>v [㎥/kg(DA)]
</a:t>
                    </a:r>
                  </a:p>
                </c:rich>
              </c:tx>
              <c:spPr>
                <a:solidFill>
                  <a:srgbClr val="FFFFFF">
                    <a:alpha val="0"/>
                  </a:srgbClr>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D-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42.563511521595515</c:v>
              </c:pt>
            </c:numLit>
          </c:xVal>
          <c:yVal>
            <c:numLit>
              <c:formatCode>General</c:formatCode>
              <c:ptCount val="1"/>
              <c:pt idx="0">
                <c:v>3.7777777777777779E-3</c:v>
              </c:pt>
            </c:numLit>
          </c:yVal>
          <c:smooth val="0"/>
          <c:extLst>
            <c:ext xmlns:c16="http://schemas.microsoft.com/office/drawing/2014/chart" uri="{C3380CC4-5D6E-409C-BE32-E72D297353CC}">
              <c16:uniqueId val="{000000DE-5EB1-41FA-A6CE-2509FEC6FFA2}"/>
            </c:ext>
          </c:extLst>
        </c:ser>
        <c:ser>
          <c:idx val="129"/>
          <c:order val="129"/>
          <c:tx>
            <c:v>v=0.91</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0.91</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F-5EB1-41FA-A6CE-2509FEC6FF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49.110398469252601</c:v>
              </c:pt>
              <c:pt idx="1">
                <c:v>31.464049181568054</c:v>
              </c:pt>
            </c:numLit>
          </c:xVal>
          <c:yVal>
            <c:numLit>
              <c:formatCode>General</c:formatCode>
              <c:ptCount val="2"/>
              <c:pt idx="0">
                <c:v>-2E-3</c:v>
              </c:pt>
              <c:pt idx="1">
                <c:v>3.1690233026367066E-2</c:v>
              </c:pt>
            </c:numLit>
          </c:yVal>
          <c:smooth val="0"/>
          <c:extLst>
            <c:ext xmlns:c16="http://schemas.microsoft.com/office/drawing/2014/chart" uri="{C3380CC4-5D6E-409C-BE32-E72D297353CC}">
              <c16:uniqueId val="{000000E0-5EB1-41FA-A6CE-2509FEC6FFA2}"/>
            </c:ext>
          </c:extLst>
        </c:ser>
        <c:ser>
          <c:idx val="130"/>
          <c:order val="130"/>
          <c:tx>
            <c:v>v=0.92</c:v>
          </c:tx>
          <c:spPr>
            <a:ln w="3175">
              <a:solidFill>
                <a:srgbClr val="008000"/>
              </a:solidFill>
              <a:prstDash val="sysDash"/>
            </a:ln>
          </c:spPr>
          <c:marker>
            <c:symbol val="none"/>
          </c:marker>
          <c:xVal>
            <c:numLit>
              <c:formatCode>General</c:formatCode>
              <c:ptCount val="2"/>
              <c:pt idx="0">
                <c:v>50.000000000000007</c:v>
              </c:pt>
              <c:pt idx="1">
                <c:v>33.20563456585235</c:v>
              </c:pt>
            </c:numLit>
          </c:xVal>
          <c:yVal>
            <c:numLit>
              <c:formatCode>General</c:formatCode>
              <c:ptCount val="2"/>
              <c:pt idx="0">
                <c:v>3.0653695250419501E-3</c:v>
              </c:pt>
              <c:pt idx="1">
                <c:v>3.5132435574301686E-2</c:v>
              </c:pt>
            </c:numLit>
          </c:yVal>
          <c:smooth val="0"/>
          <c:extLst>
            <c:ext xmlns:c16="http://schemas.microsoft.com/office/drawing/2014/chart" uri="{C3380CC4-5D6E-409C-BE32-E72D297353CC}">
              <c16:uniqueId val="{000000E1-5EB1-41FA-A6CE-2509FEC6FFA2}"/>
            </c:ext>
          </c:extLst>
        </c:ser>
        <c:ser>
          <c:idx val="131"/>
          <c:order val="131"/>
          <c:tx>
            <c:v>v=0.93</c:v>
          </c:tx>
          <c:spPr>
            <a:ln w="3175">
              <a:solidFill>
                <a:srgbClr val="008000"/>
              </a:solidFill>
              <a:prstDash val="sysDash"/>
            </a:ln>
          </c:spPr>
          <c:marker>
            <c:symbol val="none"/>
          </c:marker>
          <c:xVal>
            <c:numLit>
              <c:formatCode>General</c:formatCode>
              <c:ptCount val="2"/>
              <c:pt idx="0">
                <c:v>50</c:v>
              </c:pt>
              <c:pt idx="1">
                <c:v>34.880212439001525</c:v>
              </c:pt>
            </c:numLit>
          </c:xVal>
          <c:yVal>
            <c:numLit>
              <c:formatCode>General</c:formatCode>
              <c:ptCount val="2"/>
              <c:pt idx="0">
                <c:v>9.8592094813579195E-3</c:v>
              </c:pt>
              <c:pt idx="1">
                <c:v>3.8706868703065465E-2</c:v>
              </c:pt>
            </c:numLit>
          </c:yVal>
          <c:smooth val="0"/>
          <c:extLst>
            <c:ext xmlns:c16="http://schemas.microsoft.com/office/drawing/2014/chart" uri="{C3380CC4-5D6E-409C-BE32-E72D297353CC}">
              <c16:uniqueId val="{000000E2-5EB1-41FA-A6CE-2509FEC6FFA2}"/>
            </c:ext>
          </c:extLst>
        </c:ser>
        <c:ser>
          <c:idx val="132"/>
          <c:order val="132"/>
          <c:tx>
            <c:v>v=0.94</c:v>
          </c:tx>
          <c:spPr>
            <a:ln w="3175">
              <a:solidFill>
                <a:srgbClr val="008000"/>
              </a:solidFill>
              <a:prstDash val="sysDash"/>
            </a:ln>
          </c:spPr>
          <c:marker>
            <c:symbol val="none"/>
          </c:marker>
          <c:xVal>
            <c:numLit>
              <c:formatCode>General</c:formatCode>
              <c:ptCount val="2"/>
              <c:pt idx="0">
                <c:v>50</c:v>
              </c:pt>
              <c:pt idx="1">
                <c:v>36.476119220319418</c:v>
              </c:pt>
            </c:numLit>
          </c:xVal>
          <c:yVal>
            <c:numLit>
              <c:formatCode>General</c:formatCode>
              <c:ptCount val="2"/>
              <c:pt idx="0">
                <c:v>1.66530494376738E-2</c:v>
              </c:pt>
              <c:pt idx="1">
                <c:v>4.2435563802655646E-2</c:v>
              </c:pt>
            </c:numLit>
          </c:yVal>
          <c:smooth val="0"/>
          <c:extLst>
            <c:ext xmlns:c16="http://schemas.microsoft.com/office/drawing/2014/chart" uri="{C3380CC4-5D6E-409C-BE32-E72D297353CC}">
              <c16:uniqueId val="{000000E3-5EB1-41FA-A6CE-2509FEC6FFA2}"/>
            </c:ext>
          </c:extLst>
        </c:ser>
        <c:ser>
          <c:idx val="133"/>
          <c:order val="133"/>
          <c:tx>
            <c:v>v=0.95</c:v>
          </c:tx>
          <c:spPr>
            <a:ln w="3175">
              <a:solidFill>
                <a:srgbClr val="008000"/>
              </a:solidFill>
              <a:prstDash val="sysDash"/>
            </a:ln>
          </c:spPr>
          <c:marker>
            <c:symbol val="none"/>
          </c:marker>
          <c:xVal>
            <c:numLit>
              <c:formatCode>General</c:formatCode>
              <c:ptCount val="2"/>
              <c:pt idx="0">
                <c:v>50.000000000000007</c:v>
              </c:pt>
              <c:pt idx="1">
                <c:v>38.015405459513772</c:v>
              </c:pt>
            </c:numLit>
          </c:xVal>
          <c:yVal>
            <c:numLit>
              <c:formatCode>General</c:formatCode>
              <c:ptCount val="2"/>
              <c:pt idx="0">
                <c:v>2.3446889393989801E-2</c:v>
              </c:pt>
              <c:pt idx="1">
                <c:v>4.627659477409355E-2</c:v>
              </c:pt>
            </c:numLit>
          </c:yVal>
          <c:smooth val="0"/>
          <c:extLst>
            <c:ext xmlns:c16="http://schemas.microsoft.com/office/drawing/2014/chart" uri="{C3380CC4-5D6E-409C-BE32-E72D297353CC}">
              <c16:uniqueId val="{000000E4-5EB1-41FA-A6CE-2509FEC6FFA2}"/>
            </c:ext>
          </c:extLst>
        </c:ser>
        <c:ser>
          <c:idx val="134"/>
          <c:order val="134"/>
          <c:tx>
            <c:v>v=0.96</c:v>
          </c:tx>
          <c:spPr>
            <a:ln w="3175">
              <a:solidFill>
                <a:srgbClr val="008000"/>
              </a:solidFill>
              <a:prstDash val="sysDash"/>
            </a:ln>
          </c:spPr>
          <c:marker>
            <c:symbol val="none"/>
          </c:marker>
          <c:xVal>
            <c:numLit>
              <c:formatCode>General</c:formatCode>
              <c:ptCount val="2"/>
              <c:pt idx="0">
                <c:v>50</c:v>
              </c:pt>
              <c:pt idx="1">
                <c:v>39.486187318525538</c:v>
              </c:pt>
            </c:numLit>
          </c:xVal>
          <c:yVal>
            <c:numLit>
              <c:formatCode>General</c:formatCode>
              <c:ptCount val="2"/>
              <c:pt idx="0">
                <c:v>3.0240729350305799E-2</c:v>
              </c:pt>
              <c:pt idx="1">
                <c:v>5.0252361654891983E-2</c:v>
              </c:pt>
            </c:numLit>
          </c:yVal>
          <c:smooth val="0"/>
          <c:extLst>
            <c:ext xmlns:c16="http://schemas.microsoft.com/office/drawing/2014/chart" uri="{C3380CC4-5D6E-409C-BE32-E72D297353CC}">
              <c16:uniqueId val="{000000E5-5EB1-41FA-A6CE-2509FEC6FFA2}"/>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0715-4A08-9D88-C80D2A990F20}"/>
            </c:ext>
          </c:extLst>
        </c:ser>
        <c:ser>
          <c:idx val="1"/>
          <c:order val="1"/>
          <c:tx>
            <c:v>冷房SHF参照ライン</c:v>
          </c:tx>
          <c:spPr>
            <a:ln w="3175">
              <a:solidFill>
                <a:srgbClr val="008000"/>
              </a:solidFill>
              <a:prstDash val="solid"/>
            </a:ln>
          </c:spPr>
          <c:marker>
            <c:symbol val="none"/>
          </c:marker>
          <c:dPt>
            <c:idx val="0"/>
            <c:marker/>
            <c:bubble3D val="0"/>
            <c:spPr>
              <a:ln w="3175">
                <a:solidFill>
                  <a:srgbClr val="008000"/>
                </a:solidFill>
                <a:prstDash val="solid"/>
              </a:ln>
              <a:effectLst/>
            </c:spPr>
            <c:extLst>
              <c:ext xmlns:c16="http://schemas.microsoft.com/office/drawing/2014/chart" uri="{C3380CC4-5D6E-409C-BE32-E72D297353CC}">
                <c16:uniqueId val="{00000002-0715-4A08-9D88-C80D2A990F20}"/>
              </c:ext>
            </c:extLst>
          </c:dPt>
          <c:dPt>
            <c:idx val="1"/>
            <c:marker>
              <c:symbol val="circle"/>
              <c:size val="3"/>
              <c:spPr>
                <a:solidFill>
                  <a:srgbClr val="000000"/>
                </a:solidFill>
                <a:ln>
                  <a:solidFill>
                    <a:srgbClr val="000000"/>
                  </a:solidFill>
                  <a:prstDash val="solid"/>
                </a:ln>
              </c:spPr>
            </c:marker>
            <c:bubble3D val="0"/>
            <c:spPr>
              <a:ln w="3175">
                <a:solidFill>
                  <a:srgbClr val="008000"/>
                </a:solidFill>
                <a:prstDash val="solid"/>
              </a:ln>
              <a:effectLst/>
            </c:spPr>
            <c:extLst>
              <c:ext xmlns:c16="http://schemas.microsoft.com/office/drawing/2014/chart" uri="{C3380CC4-5D6E-409C-BE32-E72D297353CC}">
                <c16:uniqueId val="{00000003-0715-4A08-9D88-C80D2A990F20}"/>
              </c:ext>
            </c:extLst>
          </c:dPt>
          <c:dLbls>
            <c:dLbl>
              <c:idx val="1"/>
              <c:layout>
                <c:manualLayout>
                  <c:x val="3.4722222222222224E-2"/>
                  <c:y val="5.7692307692307696E-2"/>
                </c:manualLayout>
              </c:layout>
              <c:tx>
                <c:rich>
                  <a:bodyPr wrap="square" lIns="38100" tIns="19050" rIns="38100" bIns="19050" anchor="ctr">
                    <a:spAutoFit/>
                  </a:bodyPr>
                  <a:lstStyle/>
                  <a:p>
                    <a:pPr algn="ctr">
                      <a:defRPr altLang="en-US" sz="700" b="0" i="0" u="none" strike="noStrike" baseline="0">
                        <a:latin typeface="ＭＳ Ｐゴシック"/>
                        <a:ea typeface="ＭＳ Ｐゴシック"/>
                        <a:cs typeface="ＭＳ Ｐゴシック"/>
                      </a:defRPr>
                    </a:pPr>
                    <a:r>
                      <a:rPr lang="ja-JP"/>
                      <a:t>冷房時 </a:t>
                    </a:r>
                    <a:r>
                      <a:rPr lang="en-US"/>
                      <a:t>SHF=0.90 [-]</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715-4A08-9D88-C80D2A990F2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7.5219999999999994</c:v>
              </c:pt>
              <c:pt idx="1">
                <c:v>-3.7377902586290985</c:v>
              </c:pt>
            </c:numLit>
          </c:xVal>
          <c:yVal>
            <c:numLit>
              <c:formatCode>General</c:formatCode>
              <c:ptCount val="2"/>
              <c:pt idx="0">
                <c:v>2.0930000000000001E-2</c:v>
              </c:pt>
              <c:pt idx="1">
                <c:v>2.0430795350641542E-2</c:v>
              </c:pt>
            </c:numLit>
          </c:yVal>
          <c:smooth val="0"/>
          <c:extLst>
            <c:ext xmlns:c16="http://schemas.microsoft.com/office/drawing/2014/chart" uri="{C3380CC4-5D6E-409C-BE32-E72D297353CC}">
              <c16:uniqueId val="{00000001-0715-4A08-9D88-C80D2A990F20}"/>
            </c:ext>
          </c:extLst>
        </c:ser>
        <c:ser>
          <c:idx val="2"/>
          <c:order val="2"/>
          <c:tx>
            <c:v>暖房SHF参照ライン</c:v>
          </c:tx>
          <c:spPr>
            <a:ln w="3175">
              <a:solidFill>
                <a:srgbClr val="FF0000"/>
              </a:solidFill>
              <a:prstDash val="solid"/>
            </a:ln>
          </c:spPr>
          <c:marker>
            <c:symbol val="none"/>
          </c:marker>
          <c:dPt>
            <c:idx val="0"/>
            <c:marker/>
            <c:bubble3D val="0"/>
            <c:spPr>
              <a:ln w="3175">
                <a:solidFill>
                  <a:srgbClr val="FF0000"/>
                </a:solidFill>
                <a:prstDash val="solid"/>
              </a:ln>
              <a:effectLst/>
            </c:spPr>
            <c:extLst>
              <c:ext xmlns:c16="http://schemas.microsoft.com/office/drawing/2014/chart" uri="{C3380CC4-5D6E-409C-BE32-E72D297353CC}">
                <c16:uniqueId val="{00000005-0715-4A08-9D88-C80D2A990F20}"/>
              </c:ext>
            </c:extLst>
          </c:dPt>
          <c:dPt>
            <c:idx val="1"/>
            <c:marker>
              <c:symbol val="circle"/>
              <c:size val="3"/>
              <c:spPr>
                <a:solidFill>
                  <a:srgbClr val="000000"/>
                </a:solidFill>
                <a:ln>
                  <a:solidFill>
                    <a:srgbClr val="000000"/>
                  </a:solidFill>
                  <a:prstDash val="solid"/>
                </a:ln>
              </c:spPr>
            </c:marker>
            <c:bubble3D val="0"/>
            <c:spPr>
              <a:ln w="3175">
                <a:solidFill>
                  <a:srgbClr val="FF0000"/>
                </a:solidFill>
                <a:prstDash val="solid"/>
              </a:ln>
              <a:effectLst/>
            </c:spPr>
            <c:extLst>
              <c:ext xmlns:c16="http://schemas.microsoft.com/office/drawing/2014/chart" uri="{C3380CC4-5D6E-409C-BE32-E72D297353CC}">
                <c16:uniqueId val="{00000006-0715-4A08-9D88-C80D2A990F20}"/>
              </c:ext>
            </c:extLst>
          </c:dPt>
          <c:dLbls>
            <c:dLbl>
              <c:idx val="1"/>
              <c:layout>
                <c:manualLayout>
                  <c:x val="3.4722222222222224E-2"/>
                  <c:y val="4.273504273504266E-2"/>
                </c:manualLayout>
              </c:layout>
              <c:tx>
                <c:rich>
                  <a:bodyPr wrap="square" lIns="38100" tIns="19050" rIns="38100" bIns="19050" anchor="ctr">
                    <a:spAutoFit/>
                  </a:bodyPr>
                  <a:lstStyle/>
                  <a:p>
                    <a:pPr algn="ctr">
                      <a:defRPr altLang="en-US" sz="700" b="0" i="0" u="none" strike="noStrike" baseline="0">
                        <a:latin typeface="ＭＳ Ｐゴシック"/>
                        <a:ea typeface="ＭＳ Ｐゴシック"/>
                        <a:cs typeface="ＭＳ Ｐゴシック"/>
                      </a:defRPr>
                    </a:pPr>
                    <a:r>
                      <a:rPr lang="ja-JP"/>
                      <a:t>暖房時 </a:t>
                    </a:r>
                    <a:r>
                      <a:rPr lang="en-US"/>
                      <a:t>SHF=1.00 [-]</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715-4A08-9D88-C80D2A990F2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7.5219999999999994</c:v>
              </c:pt>
              <c:pt idx="1">
                <c:v>-3.758</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04-0715-4A08-9D88-C80D2A990F20}"/>
            </c:ext>
          </c:extLst>
        </c:ser>
        <c:ser>
          <c:idx val="3"/>
          <c:order val="3"/>
          <c:tx>
            <c:v>熱水分比参照ライン</c:v>
          </c:tx>
          <c:spPr>
            <a:ln w="3175">
              <a:solidFill>
                <a:srgbClr val="FF6600"/>
              </a:solidFill>
              <a:prstDash val="solid"/>
            </a:ln>
          </c:spPr>
          <c:marker>
            <c:symbol val="none"/>
          </c:marker>
          <c:dPt>
            <c:idx val="0"/>
            <c:marker/>
            <c:bubble3D val="0"/>
            <c:spPr>
              <a:ln w="3175">
                <a:solidFill>
                  <a:srgbClr val="FF6600"/>
                </a:solidFill>
                <a:prstDash val="solid"/>
              </a:ln>
              <a:effectLst/>
            </c:spPr>
            <c:extLst>
              <c:ext xmlns:c16="http://schemas.microsoft.com/office/drawing/2014/chart" uri="{C3380CC4-5D6E-409C-BE32-E72D297353CC}">
                <c16:uniqueId val="{00000008-0715-4A08-9D88-C80D2A990F20}"/>
              </c:ext>
            </c:extLst>
          </c:dPt>
          <c:dPt>
            <c:idx val="1"/>
            <c:marker>
              <c:symbol val="circle"/>
              <c:size val="3"/>
              <c:spPr>
                <a:solidFill>
                  <a:srgbClr val="000000"/>
                </a:solidFill>
                <a:ln>
                  <a:solidFill>
                    <a:srgbClr val="000000"/>
                  </a:solidFill>
                  <a:prstDash val="solid"/>
                </a:ln>
              </c:spPr>
            </c:marker>
            <c:bubble3D val="0"/>
            <c:spPr>
              <a:ln w="3175">
                <a:solidFill>
                  <a:srgbClr val="FF6600"/>
                </a:solidFill>
                <a:prstDash val="solid"/>
              </a:ln>
              <a:effectLst/>
            </c:spPr>
            <c:extLst>
              <c:ext xmlns:c16="http://schemas.microsoft.com/office/drawing/2014/chart" uri="{C3380CC4-5D6E-409C-BE32-E72D297353CC}">
                <c16:uniqueId val="{00000009-0715-4A08-9D88-C80D2A990F20}"/>
              </c:ext>
            </c:extLst>
          </c:dPt>
          <c:dLbls>
            <c:dLbl>
              <c:idx val="1"/>
              <c:layout>
                <c:manualLayout>
                  <c:x val="3.4722222222222224E-2"/>
                  <c:y val="7.4786324786324743E-2"/>
                </c:manualLayout>
              </c:layout>
              <c:tx>
                <c:rich>
                  <a:bodyPr wrap="square" lIns="38100" tIns="19050" rIns="38100" bIns="19050" anchor="ctr">
                    <a:spAutoFit/>
                  </a:bodyPr>
                  <a:lstStyle/>
                  <a:p>
                    <a:pPr algn="ctr">
                      <a:defRPr altLang="en-US" sz="700" b="0" i="0" u="none" strike="noStrike" baseline="0">
                        <a:latin typeface="ＭＳ Ｐゴシック"/>
                        <a:ea typeface="ＭＳ Ｐゴシック"/>
                        <a:cs typeface="ＭＳ Ｐゴシック"/>
                      </a:defRPr>
                    </a:pPr>
                    <a:r>
                      <a:rPr lang="ja-JP"/>
                      <a:t>加湿用水熱水分比</a:t>
                    </a:r>
                    <a:r>
                      <a:rPr lang="en-US"/>
                      <a:t>=70 [kJ/kg]</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715-4A08-9D88-C80D2A990F2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7.5219999999999994</c:v>
              </c:pt>
              <c:pt idx="1">
                <c:v>-4.8025948754495156</c:v>
              </c:pt>
            </c:numLit>
          </c:xVal>
          <c:yVal>
            <c:numLit>
              <c:formatCode>General</c:formatCode>
              <c:ptCount val="2"/>
              <c:pt idx="0">
                <c:v>2.0930000000000001E-2</c:v>
              </c:pt>
              <c:pt idx="1">
                <c:v>2.5842064674419483E-2</c:v>
              </c:pt>
            </c:numLit>
          </c:yVal>
          <c:smooth val="0"/>
          <c:extLst>
            <c:ext xmlns:c16="http://schemas.microsoft.com/office/drawing/2014/chart" uri="{C3380CC4-5D6E-409C-BE32-E72D297353CC}">
              <c16:uniqueId val="{00000007-0715-4A08-9D88-C80D2A990F20}"/>
            </c:ext>
          </c:extLst>
        </c:ser>
        <c:ser>
          <c:idx val="4"/>
          <c:order val="4"/>
          <c:tx>
            <c:v>冷房外気処理ユニット空気線図</c:v>
          </c:tx>
          <c:spPr>
            <a:ln w="25400">
              <a:solidFill>
                <a:srgbClr val="0066CC"/>
              </a:solidFill>
              <a:prstDash val="solid"/>
            </a:ln>
          </c:spPr>
          <c:marker>
            <c:symbol val="circle"/>
            <c:size val="6"/>
            <c:spPr>
              <a:solidFill>
                <a:srgbClr val="FFFFFF"/>
              </a:solidFill>
              <a:ln>
                <a:solidFill>
                  <a:srgbClr val="000000"/>
                </a:solidFill>
                <a:prstDash val="solid"/>
              </a:ln>
            </c:spPr>
          </c:marker>
          <c:dLbls>
            <c:dLbl>
              <c:idx val="1"/>
              <c:layout>
                <c:manualLayout>
                  <c:x val="-2.2569444444444444E-2"/>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①</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715-4A08-9D88-C80D2A990F20}"/>
                </c:ext>
              </c:extLst>
            </c:dLbl>
            <c:dLbl>
              <c:idx val="2"/>
              <c:layout>
                <c:manualLayout>
                  <c:x val="-3.6458333333333336E-2"/>
                  <c:y val="7.8346673280123027E-17"/>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②</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715-4A08-9D88-C80D2A990F20}"/>
                </c:ext>
              </c:extLst>
            </c:dLbl>
            <c:dLbl>
              <c:idx val="3"/>
              <c:layout>
                <c:manualLayout>
                  <c:x val="-2.2569444444444444E-2"/>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③</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715-4A08-9D88-C80D2A990F2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4"/>
              <c:pt idx="0">
                <c:v>31.001250099403581</c:v>
              </c:pt>
              <c:pt idx="1">
                <c:v>31.001250099403581</c:v>
              </c:pt>
              <c:pt idx="2">
                <c:v>10.897955890656064</c:v>
              </c:pt>
              <c:pt idx="3">
                <c:v>11.598200127236581</c:v>
              </c:pt>
            </c:numLit>
          </c:xVal>
          <c:yVal>
            <c:numLit>
              <c:formatCode>General</c:formatCode>
              <c:ptCount val="4"/>
              <c:pt idx="0">
                <c:v>1.7600000000000001E-2</c:v>
              </c:pt>
              <c:pt idx="1">
                <c:v>1.7600000000000001E-2</c:v>
              </c:pt>
              <c:pt idx="2">
                <c:v>8.0300000000000007E-3</c:v>
              </c:pt>
              <c:pt idx="3">
                <c:v>8.0300000000000007E-3</c:v>
              </c:pt>
            </c:numLit>
          </c:yVal>
          <c:smooth val="0"/>
          <c:extLst>
            <c:ext xmlns:c16="http://schemas.microsoft.com/office/drawing/2014/chart" uri="{C3380CC4-5D6E-409C-BE32-E72D297353CC}">
              <c16:uniqueId val="{0000000A-0715-4A08-9D88-C80D2A990F20}"/>
            </c:ext>
          </c:extLst>
        </c:ser>
        <c:ser>
          <c:idx val="5"/>
          <c:order val="5"/>
          <c:tx>
            <c:v>冷房外気処理側仮想ライン</c:v>
          </c:tx>
          <c:spPr>
            <a:ln w="12700">
              <a:solidFill>
                <a:srgbClr val="000000"/>
              </a:solidFill>
              <a:prstDash val="sysDash"/>
            </a:ln>
          </c:spPr>
          <c:marker>
            <c:symbol val="circle"/>
            <c:size val="6"/>
            <c:spPr>
              <a:solidFill>
                <a:srgbClr val="FFFFFF"/>
              </a:solidFill>
              <a:ln>
                <a:solidFill>
                  <a:srgbClr val="000000"/>
                </a:solidFill>
                <a:prstDash val="solid"/>
              </a:ln>
            </c:spPr>
          </c:marker>
          <c:dLbls>
            <c:dLbl>
              <c:idx val="1"/>
              <c:layout>
                <c:manualLayout>
                  <c:x val="-2.2569444444444507E-2"/>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④</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715-4A08-9D88-C80D2A990F2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11.598200127236581</c:v>
              </c:pt>
              <c:pt idx="1">
                <c:v>14.656143713262811</c:v>
              </c:pt>
            </c:numLit>
          </c:xVal>
          <c:yVal>
            <c:numLit>
              <c:formatCode>General</c:formatCode>
              <c:ptCount val="2"/>
              <c:pt idx="0">
                <c:v>8.0300000000000007E-3</c:v>
              </c:pt>
              <c:pt idx="1">
                <c:v>1.01023139E-2</c:v>
              </c:pt>
            </c:numLit>
          </c:yVal>
          <c:smooth val="0"/>
          <c:extLst>
            <c:ext xmlns:c16="http://schemas.microsoft.com/office/drawing/2014/chart" uri="{C3380CC4-5D6E-409C-BE32-E72D297353CC}">
              <c16:uniqueId val="{0000000E-0715-4A08-9D88-C80D2A990F20}"/>
            </c:ext>
          </c:extLst>
        </c:ser>
        <c:ser>
          <c:idx val="6"/>
          <c:order val="6"/>
          <c:tx>
            <c:v>冷房ドライコイルユニット空気線図</c:v>
          </c:tx>
          <c:spPr>
            <a:ln w="25400">
              <a:solidFill>
                <a:srgbClr val="000080"/>
              </a:solidFill>
              <a:prstDash val="sysDash"/>
            </a:ln>
          </c:spPr>
          <c:marker>
            <c:symbol val="circle"/>
            <c:size val="6"/>
            <c:spPr>
              <a:solidFill>
                <a:srgbClr val="FFFFFF"/>
              </a:solidFill>
              <a:ln>
                <a:solidFill>
                  <a:srgbClr val="000000"/>
                </a:solidFill>
                <a:prstDash val="solid"/>
              </a:ln>
            </c:spPr>
          </c:marker>
          <c:dLbls>
            <c:dLbl>
              <c:idx val="0"/>
              <c:layout>
                <c:manualLayout>
                  <c:x val="-2.2569444444444444E-2"/>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⑤</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715-4A08-9D88-C80D2A990F20}"/>
                </c:ext>
              </c:extLst>
            </c:dLbl>
            <c:dLbl>
              <c:idx val="1"/>
              <c:layout>
                <c:manualLayout>
                  <c:x val="-1.242708332008792E-2"/>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⑥</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715-4A08-9D88-C80D2A990F20}"/>
                </c:ext>
              </c:extLst>
            </c:dLbl>
            <c:dLbl>
              <c:idx val="2"/>
              <c:layout>
                <c:manualLayout>
                  <c:x val="-2.3576385445064968E-3"/>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⑦</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715-4A08-9D88-C80D2A990F2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3"/>
              <c:pt idx="0">
                <c:v>27.567207952286282</c:v>
              </c:pt>
              <c:pt idx="1">
                <c:v>15.045631300198806</c:v>
              </c:pt>
              <c:pt idx="2">
                <c:v>15.473893693836978</c:v>
              </c:pt>
            </c:numLit>
          </c:xVal>
          <c:yVal>
            <c:numLit>
              <c:formatCode>General</c:formatCode>
              <c:ptCount val="3"/>
              <c:pt idx="0">
                <c:v>1.064E-2</c:v>
              </c:pt>
              <c:pt idx="1">
                <c:v>1.064E-2</c:v>
              </c:pt>
              <c:pt idx="2">
                <c:v>1.064E-2</c:v>
              </c:pt>
            </c:numLit>
          </c:yVal>
          <c:smooth val="0"/>
          <c:extLst>
            <c:ext xmlns:c16="http://schemas.microsoft.com/office/drawing/2014/chart" uri="{C3380CC4-5D6E-409C-BE32-E72D297353CC}">
              <c16:uniqueId val="{00000010-0715-4A08-9D88-C80D2A990F20}"/>
            </c:ext>
          </c:extLst>
        </c:ser>
        <c:ser>
          <c:idx val="7"/>
          <c:order val="7"/>
          <c:tx>
            <c:v>冷房ドライコイル側仮想ライン</c:v>
          </c:tx>
          <c:spPr>
            <a:ln w="12700">
              <a:solidFill>
                <a:srgbClr val="000000"/>
              </a:solidFill>
              <a:prstDash val="sysDash"/>
            </a:ln>
          </c:spPr>
          <c:marker>
            <c:symbol val="circle"/>
            <c:size val="6"/>
            <c:spPr>
              <a:solidFill>
                <a:srgbClr val="FFFFFF"/>
              </a:solidFill>
              <a:ln>
                <a:solidFill>
                  <a:srgbClr val="000000"/>
                </a:solidFill>
                <a:prstDash val="solid"/>
              </a:ln>
            </c:spPr>
          </c:marker>
          <c:xVal>
            <c:numLit>
              <c:formatCode>General</c:formatCode>
              <c:ptCount val="2"/>
              <c:pt idx="0">
                <c:v>15.473893693836978</c:v>
              </c:pt>
              <c:pt idx="1">
                <c:v>14.656143713262811</c:v>
              </c:pt>
            </c:numLit>
          </c:xVal>
          <c:yVal>
            <c:numLit>
              <c:formatCode>General</c:formatCode>
              <c:ptCount val="2"/>
              <c:pt idx="0">
                <c:v>1.064E-2</c:v>
              </c:pt>
              <c:pt idx="1">
                <c:v>1.01023139E-2</c:v>
              </c:pt>
            </c:numLit>
          </c:yVal>
          <c:smooth val="0"/>
          <c:extLst>
            <c:ext xmlns:c16="http://schemas.microsoft.com/office/drawing/2014/chart" uri="{C3380CC4-5D6E-409C-BE32-E72D297353CC}">
              <c16:uniqueId val="{00000014-0715-4A08-9D88-C80D2A990F20}"/>
            </c:ext>
          </c:extLst>
        </c:ser>
        <c:ser>
          <c:idx val="8"/>
          <c:order val="8"/>
          <c:tx>
            <c:v>冷房室内変化プロセス</c:v>
          </c:tx>
          <c:spPr>
            <a:ln w="12700">
              <a:solidFill>
                <a:srgbClr val="000000"/>
              </a:solidFill>
              <a:prstDash val="sysDash"/>
            </a:ln>
          </c:spPr>
          <c:marker>
            <c:symbol val="circle"/>
            <c:size val="6"/>
            <c:spPr>
              <a:solidFill>
                <a:srgbClr val="FFFFFF"/>
              </a:solidFill>
              <a:ln>
                <a:solidFill>
                  <a:srgbClr val="000000"/>
                </a:solidFill>
                <a:prstDash val="solid"/>
              </a:ln>
            </c:spPr>
          </c:marker>
          <c:xVal>
            <c:numLit>
              <c:formatCode>General</c:formatCode>
              <c:ptCount val="2"/>
              <c:pt idx="0">
                <c:v>14.656143713262811</c:v>
              </c:pt>
              <c:pt idx="1">
                <c:v>27.567207952286282</c:v>
              </c:pt>
            </c:numLit>
          </c:xVal>
          <c:yVal>
            <c:numLit>
              <c:formatCode>General</c:formatCode>
              <c:ptCount val="2"/>
              <c:pt idx="0">
                <c:v>1.01023139E-2</c:v>
              </c:pt>
              <c:pt idx="1">
                <c:v>1.064E-2</c:v>
              </c:pt>
            </c:numLit>
          </c:yVal>
          <c:smooth val="0"/>
          <c:extLst>
            <c:ext xmlns:c16="http://schemas.microsoft.com/office/drawing/2014/chart" uri="{C3380CC4-5D6E-409C-BE32-E72D297353CC}">
              <c16:uniqueId val="{00000015-0715-4A08-9D88-C80D2A990F20}"/>
            </c:ext>
          </c:extLst>
        </c:ser>
        <c:ser>
          <c:idx val="9"/>
          <c:order val="9"/>
          <c:tx>
            <c:v>暖房外気処理ユニット空気線図</c:v>
          </c:tx>
          <c:spPr>
            <a:ln w="25400">
              <a:solidFill>
                <a:srgbClr val="FF6600"/>
              </a:solidFill>
              <a:prstDash val="solid"/>
            </a:ln>
          </c:spPr>
          <c:marker>
            <c:symbol val="circle"/>
            <c:size val="6"/>
            <c:spPr>
              <a:solidFill>
                <a:srgbClr val="FFFFFF"/>
              </a:solidFill>
              <a:ln>
                <a:solidFill>
                  <a:srgbClr val="000000"/>
                </a:solidFill>
                <a:prstDash val="solid"/>
              </a:ln>
            </c:spPr>
          </c:marker>
          <c:dLbls>
            <c:dLbl>
              <c:idx val="1"/>
              <c:layout>
                <c:manualLayout>
                  <c:x val="-2.2569444444444461E-2"/>
                  <c:y val="-1.645299145299161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⑧</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715-4A08-9D88-C80D2A990F20}"/>
                </c:ext>
              </c:extLst>
            </c:dLbl>
            <c:dLbl>
              <c:idx val="2"/>
              <c:layout>
                <c:manualLayout>
                  <c:x val="-8.6805555555555559E-3"/>
                  <c:y val="-1.5669334656024605E-16"/>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⑨</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715-4A08-9D88-C80D2A990F20}"/>
                </c:ext>
              </c:extLst>
            </c:dLbl>
            <c:dLbl>
              <c:idx val="3"/>
              <c:layout>
                <c:manualLayout>
                  <c:x val="-5.208333333333333E-3"/>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⑩</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715-4A08-9D88-C80D2A990F2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4"/>
              <c:pt idx="0">
                <c:v>-3.6483747514910538</c:v>
              </c:pt>
              <c:pt idx="1">
                <c:v>-3.6483747514910538</c:v>
              </c:pt>
              <c:pt idx="2">
                <c:v>41.977813121272369</c:v>
              </c:pt>
              <c:pt idx="3">
                <c:v>31.139206528827039</c:v>
              </c:pt>
            </c:numLit>
          </c:xVal>
          <c:yVal>
            <c:numLit>
              <c:formatCode>General</c:formatCode>
              <c:ptCount val="4"/>
              <c:pt idx="0">
                <c:v>1.5E-3</c:v>
              </c:pt>
              <c:pt idx="1">
                <c:v>1.5E-3</c:v>
              </c:pt>
              <c:pt idx="2">
                <c:v>1.5E-3</c:v>
              </c:pt>
              <c:pt idx="3">
                <c:v>5.8199999999999997E-3</c:v>
              </c:pt>
            </c:numLit>
          </c:yVal>
          <c:smooth val="0"/>
          <c:extLst>
            <c:ext xmlns:c16="http://schemas.microsoft.com/office/drawing/2014/chart" uri="{C3380CC4-5D6E-409C-BE32-E72D297353CC}">
              <c16:uniqueId val="{00000016-0715-4A08-9D88-C80D2A990F20}"/>
            </c:ext>
          </c:extLst>
        </c:ser>
        <c:ser>
          <c:idx val="10"/>
          <c:order val="10"/>
          <c:tx>
            <c:v>暖房時外気処理側仮想ライン</c:v>
          </c:tx>
          <c:spPr>
            <a:ln w="12700">
              <a:solidFill>
                <a:srgbClr val="000000"/>
              </a:solidFill>
              <a:prstDash val="sysDash"/>
            </a:ln>
          </c:spPr>
          <c:marker>
            <c:symbol val="circle"/>
            <c:size val="6"/>
            <c:spPr>
              <a:solidFill>
                <a:srgbClr val="FFFFFF"/>
              </a:solidFill>
              <a:ln>
                <a:solidFill>
                  <a:srgbClr val="000000"/>
                </a:solidFill>
                <a:prstDash val="solid"/>
              </a:ln>
            </c:spPr>
          </c:marker>
          <c:xVal>
            <c:numLit>
              <c:formatCode>General</c:formatCode>
              <c:ptCount val="2"/>
              <c:pt idx="0">
                <c:v>31.139206528827039</c:v>
              </c:pt>
              <c:pt idx="1">
                <c:v>29.906078552683894</c:v>
              </c:pt>
            </c:numLit>
          </c:xVal>
          <c:yVal>
            <c:numLit>
              <c:formatCode>General</c:formatCode>
              <c:ptCount val="2"/>
              <c:pt idx="0">
                <c:v>5.8199999999999997E-3</c:v>
              </c:pt>
              <c:pt idx="1">
                <c:v>5.8199999999999997E-3</c:v>
              </c:pt>
            </c:numLit>
          </c:yVal>
          <c:smooth val="0"/>
          <c:extLst>
            <c:ext xmlns:c16="http://schemas.microsoft.com/office/drawing/2014/chart" uri="{C3380CC4-5D6E-409C-BE32-E72D297353CC}">
              <c16:uniqueId val="{0000001A-0715-4A08-9D88-C80D2A990F20}"/>
            </c:ext>
          </c:extLst>
        </c:ser>
        <c:ser>
          <c:idx val="11"/>
          <c:order val="11"/>
          <c:tx>
            <c:v>暖房ドライコイルユニット空気線図</c:v>
          </c:tx>
          <c:spPr>
            <a:ln w="25400">
              <a:solidFill>
                <a:srgbClr val="FF00FF"/>
              </a:solidFill>
              <a:prstDash val="sysDash"/>
            </a:ln>
          </c:spPr>
          <c:marker>
            <c:symbol val="circle"/>
            <c:size val="6"/>
            <c:spPr>
              <a:solidFill>
                <a:srgbClr val="FFFFFF"/>
              </a:solidFill>
              <a:ln>
                <a:solidFill>
                  <a:srgbClr val="000000"/>
                </a:solidFill>
                <a:prstDash val="solid"/>
              </a:ln>
            </c:spPr>
          </c:marker>
          <c:dLbls>
            <c:dLbl>
              <c:idx val="0"/>
              <c:layout>
                <c:manualLayout>
                  <c:x val="1.2152777777777714E-2"/>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⑪</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0715-4A08-9D88-C80D2A990F20}"/>
                </c:ext>
              </c:extLst>
            </c:dLbl>
            <c:dLbl>
              <c:idx val="1"/>
              <c:layout>
                <c:manualLayout>
                  <c:x val="-2.2569444444444572E-2"/>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⑫</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0715-4A08-9D88-C80D2A990F2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19.677180914512924</c:v>
              </c:pt>
              <c:pt idx="1">
                <c:v>29.582635149105368</c:v>
              </c:pt>
            </c:numLit>
          </c:xVal>
          <c:yVal>
            <c:numLit>
              <c:formatCode>General</c:formatCode>
              <c:ptCount val="2"/>
              <c:pt idx="0">
                <c:v>5.8199999999999997E-3</c:v>
              </c:pt>
              <c:pt idx="1">
                <c:v>5.8199999999999997E-3</c:v>
              </c:pt>
            </c:numLit>
          </c:yVal>
          <c:smooth val="0"/>
          <c:extLst>
            <c:ext xmlns:c16="http://schemas.microsoft.com/office/drawing/2014/chart" uri="{C3380CC4-5D6E-409C-BE32-E72D297353CC}">
              <c16:uniqueId val="{0000001B-0715-4A08-9D88-C80D2A990F20}"/>
            </c:ext>
          </c:extLst>
        </c:ser>
        <c:ser>
          <c:idx val="12"/>
          <c:order val="12"/>
          <c:tx>
            <c:v>暖房ドライコイル側仮想ライン</c:v>
          </c:tx>
          <c:spPr>
            <a:ln w="12700">
              <a:solidFill>
                <a:srgbClr val="000000"/>
              </a:solidFill>
              <a:prstDash val="sysDash"/>
            </a:ln>
          </c:spPr>
          <c:marker>
            <c:symbol val="circle"/>
            <c:size val="6"/>
            <c:spPr>
              <a:solidFill>
                <a:srgbClr val="FFFFFF"/>
              </a:solidFill>
              <a:ln>
                <a:solidFill>
                  <a:srgbClr val="000000"/>
                </a:solidFill>
                <a:prstDash val="solid"/>
              </a:ln>
            </c:spPr>
          </c:marker>
          <c:dLbls>
            <c:dLbl>
              <c:idx val="1"/>
              <c:layout>
                <c:manualLayout>
                  <c:x val="-1.0763888557752101E-2"/>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⑬</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0715-4A08-9D88-C80D2A990F2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29.582635149105368</c:v>
              </c:pt>
              <c:pt idx="1">
                <c:v>29.906078552683894</c:v>
              </c:pt>
            </c:numLit>
          </c:xVal>
          <c:yVal>
            <c:numLit>
              <c:formatCode>General</c:formatCode>
              <c:ptCount val="2"/>
              <c:pt idx="0">
                <c:v>5.8199999999999997E-3</c:v>
              </c:pt>
              <c:pt idx="1">
                <c:v>5.8199999999999997E-3</c:v>
              </c:pt>
            </c:numLit>
          </c:yVal>
          <c:smooth val="0"/>
          <c:extLst>
            <c:ext xmlns:c16="http://schemas.microsoft.com/office/drawing/2014/chart" uri="{C3380CC4-5D6E-409C-BE32-E72D297353CC}">
              <c16:uniqueId val="{0000001E-0715-4A08-9D88-C80D2A990F20}"/>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21C8-4265-8C74-3096BEE15578}"/>
            </c:ext>
          </c:extLst>
        </c:ser>
        <c:ser>
          <c:idx val="1"/>
          <c:order val="1"/>
          <c:tx>
            <c:v>x=0</c:v>
          </c:tx>
          <c:spPr>
            <a:ln w="3175">
              <a:solidFill>
                <a:srgbClr val="000000"/>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0.000</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1C8-4265-8C74-3096BEE155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-10.178000000000001</c:v>
              </c:pt>
              <c:pt idx="1">
                <c:v>50.8</c:v>
              </c:pt>
            </c:numLit>
          </c:xVal>
          <c:yVal>
            <c:numLit>
              <c:formatCode>General</c:formatCode>
              <c:ptCount val="2"/>
              <c:pt idx="0">
                <c:v>0</c:v>
              </c:pt>
              <c:pt idx="1">
                <c:v>0</c:v>
              </c:pt>
            </c:numLit>
          </c:yVal>
          <c:smooth val="0"/>
          <c:extLst>
            <c:ext xmlns:c16="http://schemas.microsoft.com/office/drawing/2014/chart" uri="{C3380CC4-5D6E-409C-BE32-E72D297353CC}">
              <c16:uniqueId val="{00000002-21C8-4265-8C74-3096BEE15578}"/>
            </c:ext>
          </c:extLst>
        </c:ser>
        <c:ser>
          <c:idx val="2"/>
          <c:order val="2"/>
          <c:tx>
            <c:v>x=0.0002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2.0000000000000001E-4</c:v>
              </c:pt>
              <c:pt idx="1">
                <c:v>2.0000000000000001E-4</c:v>
              </c:pt>
            </c:numLit>
          </c:yVal>
          <c:smooth val="0"/>
          <c:extLst>
            <c:ext xmlns:c16="http://schemas.microsoft.com/office/drawing/2014/chart" uri="{C3380CC4-5D6E-409C-BE32-E72D297353CC}">
              <c16:uniqueId val="{00000003-21C8-4265-8C74-3096BEE15578}"/>
            </c:ext>
          </c:extLst>
        </c:ser>
        <c:ser>
          <c:idx val="3"/>
          <c:order val="3"/>
          <c:tx>
            <c:v>x=0.0004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4.0000000000000002E-4</c:v>
              </c:pt>
              <c:pt idx="1">
                <c:v>4.0000000000000002E-4</c:v>
              </c:pt>
            </c:numLit>
          </c:yVal>
          <c:smooth val="0"/>
          <c:extLst>
            <c:ext xmlns:c16="http://schemas.microsoft.com/office/drawing/2014/chart" uri="{C3380CC4-5D6E-409C-BE32-E72D297353CC}">
              <c16:uniqueId val="{00000004-21C8-4265-8C74-3096BEE15578}"/>
            </c:ext>
          </c:extLst>
        </c:ser>
        <c:ser>
          <c:idx val="4"/>
          <c:order val="4"/>
          <c:tx>
            <c:v>x=0.0006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6.0000000000000006E-4</c:v>
              </c:pt>
              <c:pt idx="1">
                <c:v>6.0000000000000006E-4</c:v>
              </c:pt>
            </c:numLit>
          </c:yVal>
          <c:smooth val="0"/>
          <c:extLst>
            <c:ext xmlns:c16="http://schemas.microsoft.com/office/drawing/2014/chart" uri="{C3380CC4-5D6E-409C-BE32-E72D297353CC}">
              <c16:uniqueId val="{00000005-21C8-4265-8C74-3096BEE15578}"/>
            </c:ext>
          </c:extLst>
        </c:ser>
        <c:ser>
          <c:idx val="5"/>
          <c:order val="5"/>
          <c:tx>
            <c:v>x=0.0008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8.0000000000000004E-4</c:v>
              </c:pt>
              <c:pt idx="1">
                <c:v>8.0000000000000004E-4</c:v>
              </c:pt>
            </c:numLit>
          </c:yVal>
          <c:smooth val="0"/>
          <c:extLst>
            <c:ext xmlns:c16="http://schemas.microsoft.com/office/drawing/2014/chart" uri="{C3380CC4-5D6E-409C-BE32-E72D297353CC}">
              <c16:uniqueId val="{00000006-21C8-4265-8C74-3096BEE15578}"/>
            </c:ext>
          </c:extLst>
        </c:ser>
        <c:ser>
          <c:idx val="6"/>
          <c:order val="6"/>
          <c:tx>
            <c:v>x=0.001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0.001</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1C8-4265-8C74-3096BEE155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-10.289263499005965</c:v>
              </c:pt>
              <c:pt idx="1">
                <c:v>50.8</c:v>
              </c:pt>
            </c:numLit>
          </c:xVal>
          <c:yVal>
            <c:numLit>
              <c:formatCode>General</c:formatCode>
              <c:ptCount val="2"/>
              <c:pt idx="0">
                <c:v>1E-3</c:v>
              </c:pt>
              <c:pt idx="1">
                <c:v>1E-3</c:v>
              </c:pt>
            </c:numLit>
          </c:yVal>
          <c:smooth val="0"/>
          <c:extLst>
            <c:ext xmlns:c16="http://schemas.microsoft.com/office/drawing/2014/chart" uri="{C3380CC4-5D6E-409C-BE32-E72D297353CC}">
              <c16:uniqueId val="{00000008-21C8-4265-8C74-3096BEE15578}"/>
            </c:ext>
          </c:extLst>
        </c:ser>
        <c:ser>
          <c:idx val="7"/>
          <c:order val="7"/>
          <c:tx>
            <c:v>x=0.0012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1.2000000000000001E-3</c:v>
              </c:pt>
              <c:pt idx="1">
                <c:v>1.2000000000000001E-3</c:v>
              </c:pt>
            </c:numLit>
          </c:yVal>
          <c:smooth val="0"/>
          <c:extLst>
            <c:ext xmlns:c16="http://schemas.microsoft.com/office/drawing/2014/chart" uri="{C3380CC4-5D6E-409C-BE32-E72D297353CC}">
              <c16:uniqueId val="{00000009-21C8-4265-8C74-3096BEE15578}"/>
            </c:ext>
          </c:extLst>
        </c:ser>
        <c:ser>
          <c:idx val="8"/>
          <c:order val="8"/>
          <c:tx>
            <c:v>x=0.0014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1.4E-3</c:v>
              </c:pt>
              <c:pt idx="1">
                <c:v>1.4E-3</c:v>
              </c:pt>
            </c:numLit>
          </c:yVal>
          <c:smooth val="0"/>
          <c:extLst>
            <c:ext xmlns:c16="http://schemas.microsoft.com/office/drawing/2014/chart" uri="{C3380CC4-5D6E-409C-BE32-E72D297353CC}">
              <c16:uniqueId val="{0000000A-21C8-4265-8C74-3096BEE15578}"/>
            </c:ext>
          </c:extLst>
        </c:ser>
        <c:ser>
          <c:idx val="9"/>
          <c:order val="9"/>
          <c:tx>
            <c:v>x=0.0016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1.6000000000000001E-3</c:v>
              </c:pt>
              <c:pt idx="1">
                <c:v>1.6000000000000001E-3</c:v>
              </c:pt>
            </c:numLit>
          </c:yVal>
          <c:smooth val="0"/>
          <c:extLst>
            <c:ext xmlns:c16="http://schemas.microsoft.com/office/drawing/2014/chart" uri="{C3380CC4-5D6E-409C-BE32-E72D297353CC}">
              <c16:uniqueId val="{0000000B-21C8-4265-8C74-3096BEE15578}"/>
            </c:ext>
          </c:extLst>
        </c:ser>
        <c:ser>
          <c:idx val="10"/>
          <c:order val="10"/>
          <c:tx>
            <c:v>x=0.0018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1.8000000000000002E-3</c:v>
              </c:pt>
              <c:pt idx="1">
                <c:v>1.8000000000000002E-3</c:v>
              </c:pt>
            </c:numLit>
          </c:yVal>
          <c:smooth val="0"/>
          <c:extLst>
            <c:ext xmlns:c16="http://schemas.microsoft.com/office/drawing/2014/chart" uri="{C3380CC4-5D6E-409C-BE32-E72D297353CC}">
              <c16:uniqueId val="{0000000C-21C8-4265-8C74-3096BEE15578}"/>
            </c:ext>
          </c:extLst>
        </c:ser>
        <c:ser>
          <c:idx val="11"/>
          <c:order val="11"/>
          <c:tx>
            <c:v>x=0.002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0.002</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21C8-4265-8C74-3096BEE155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-7.7226612326043735</c:v>
              </c:pt>
              <c:pt idx="1">
                <c:v>50.8</c:v>
              </c:pt>
            </c:numLit>
          </c:xVal>
          <c:yVal>
            <c:numLit>
              <c:formatCode>General</c:formatCode>
              <c:ptCount val="2"/>
              <c:pt idx="0">
                <c:v>2E-3</c:v>
              </c:pt>
              <c:pt idx="1">
                <c:v>2E-3</c:v>
              </c:pt>
            </c:numLit>
          </c:yVal>
          <c:smooth val="0"/>
          <c:extLst>
            <c:ext xmlns:c16="http://schemas.microsoft.com/office/drawing/2014/chart" uri="{C3380CC4-5D6E-409C-BE32-E72D297353CC}">
              <c16:uniqueId val="{0000000E-21C8-4265-8C74-3096BEE15578}"/>
            </c:ext>
          </c:extLst>
        </c:ser>
        <c:ser>
          <c:idx val="12"/>
          <c:order val="12"/>
          <c:tx>
            <c:v>x=0.0022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2.2000000000000001E-3</c:v>
              </c:pt>
              <c:pt idx="1">
                <c:v>2.2000000000000001E-3</c:v>
              </c:pt>
            </c:numLit>
          </c:yVal>
          <c:smooth val="0"/>
          <c:extLst>
            <c:ext xmlns:c16="http://schemas.microsoft.com/office/drawing/2014/chart" uri="{C3380CC4-5D6E-409C-BE32-E72D297353CC}">
              <c16:uniqueId val="{0000000F-21C8-4265-8C74-3096BEE15578}"/>
            </c:ext>
          </c:extLst>
        </c:ser>
        <c:ser>
          <c:idx val="13"/>
          <c:order val="13"/>
          <c:tx>
            <c:v>x=0.0024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2.4000000000000002E-3</c:v>
              </c:pt>
              <c:pt idx="1">
                <c:v>2.4000000000000002E-3</c:v>
              </c:pt>
            </c:numLit>
          </c:yVal>
          <c:smooth val="0"/>
          <c:extLst>
            <c:ext xmlns:c16="http://schemas.microsoft.com/office/drawing/2014/chart" uri="{C3380CC4-5D6E-409C-BE32-E72D297353CC}">
              <c16:uniqueId val="{00000010-21C8-4265-8C74-3096BEE15578}"/>
            </c:ext>
          </c:extLst>
        </c:ser>
        <c:ser>
          <c:idx val="14"/>
          <c:order val="14"/>
          <c:tx>
            <c:v>x=0.0026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2.6000000000000003E-3</c:v>
              </c:pt>
              <c:pt idx="1">
                <c:v>2.6000000000000003E-3</c:v>
              </c:pt>
            </c:numLit>
          </c:yVal>
          <c:smooth val="0"/>
          <c:extLst>
            <c:ext xmlns:c16="http://schemas.microsoft.com/office/drawing/2014/chart" uri="{C3380CC4-5D6E-409C-BE32-E72D297353CC}">
              <c16:uniqueId val="{00000011-21C8-4265-8C74-3096BEE15578}"/>
            </c:ext>
          </c:extLst>
        </c:ser>
        <c:ser>
          <c:idx val="15"/>
          <c:order val="15"/>
          <c:tx>
            <c:v>x=0.0028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2.8E-3</c:v>
              </c:pt>
              <c:pt idx="1">
                <c:v>2.8E-3</c:v>
              </c:pt>
            </c:numLit>
          </c:yVal>
          <c:smooth val="0"/>
          <c:extLst>
            <c:ext xmlns:c16="http://schemas.microsoft.com/office/drawing/2014/chart" uri="{C3380CC4-5D6E-409C-BE32-E72D297353CC}">
              <c16:uniqueId val="{00000012-21C8-4265-8C74-3096BEE15578}"/>
            </c:ext>
          </c:extLst>
        </c:ser>
        <c:ser>
          <c:idx val="16"/>
          <c:order val="16"/>
          <c:tx>
            <c:v>x=0.003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0.003</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1C8-4265-8C74-3096BEE155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-3.0828113320079522</c:v>
              </c:pt>
              <c:pt idx="1">
                <c:v>50.8</c:v>
              </c:pt>
            </c:numLit>
          </c:xVal>
          <c:yVal>
            <c:numLit>
              <c:formatCode>General</c:formatCode>
              <c:ptCount val="2"/>
              <c:pt idx="0">
                <c:v>3.0000000000000001E-3</c:v>
              </c:pt>
              <c:pt idx="1">
                <c:v>3.0000000000000001E-3</c:v>
              </c:pt>
            </c:numLit>
          </c:yVal>
          <c:smooth val="0"/>
          <c:extLst>
            <c:ext xmlns:c16="http://schemas.microsoft.com/office/drawing/2014/chart" uri="{C3380CC4-5D6E-409C-BE32-E72D297353CC}">
              <c16:uniqueId val="{00000014-21C8-4265-8C74-3096BEE15578}"/>
            </c:ext>
          </c:extLst>
        </c:ser>
        <c:ser>
          <c:idx val="17"/>
          <c:order val="17"/>
          <c:tx>
            <c:v>x=0.0032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3.2000000000000002E-3</c:v>
              </c:pt>
              <c:pt idx="1">
                <c:v>3.2000000000000002E-3</c:v>
              </c:pt>
            </c:numLit>
          </c:yVal>
          <c:smooth val="0"/>
          <c:extLst>
            <c:ext xmlns:c16="http://schemas.microsoft.com/office/drawing/2014/chart" uri="{C3380CC4-5D6E-409C-BE32-E72D297353CC}">
              <c16:uniqueId val="{00000015-21C8-4265-8C74-3096BEE15578}"/>
            </c:ext>
          </c:extLst>
        </c:ser>
        <c:ser>
          <c:idx val="18"/>
          <c:order val="18"/>
          <c:tx>
            <c:v>x=0.0034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3.4000000000000002E-3</c:v>
              </c:pt>
              <c:pt idx="1">
                <c:v>3.4000000000000002E-3</c:v>
              </c:pt>
            </c:numLit>
          </c:yVal>
          <c:smooth val="0"/>
          <c:extLst>
            <c:ext xmlns:c16="http://schemas.microsoft.com/office/drawing/2014/chart" uri="{C3380CC4-5D6E-409C-BE32-E72D297353CC}">
              <c16:uniqueId val="{00000016-21C8-4265-8C74-3096BEE15578}"/>
            </c:ext>
          </c:extLst>
        </c:ser>
        <c:ser>
          <c:idx val="19"/>
          <c:order val="19"/>
          <c:tx>
            <c:v>x=0.0036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3.6000000000000003E-3</c:v>
              </c:pt>
              <c:pt idx="1">
                <c:v>3.6000000000000003E-3</c:v>
              </c:pt>
            </c:numLit>
          </c:yVal>
          <c:smooth val="0"/>
          <c:extLst>
            <c:ext xmlns:c16="http://schemas.microsoft.com/office/drawing/2014/chart" uri="{C3380CC4-5D6E-409C-BE32-E72D297353CC}">
              <c16:uniqueId val="{00000017-21C8-4265-8C74-3096BEE15578}"/>
            </c:ext>
          </c:extLst>
        </c:ser>
        <c:ser>
          <c:idx val="20"/>
          <c:order val="20"/>
          <c:tx>
            <c:v>x=0.0038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3.8E-3</c:v>
              </c:pt>
              <c:pt idx="1">
                <c:v>3.8E-3</c:v>
              </c:pt>
            </c:numLit>
          </c:yVal>
          <c:smooth val="0"/>
          <c:extLst>
            <c:ext xmlns:c16="http://schemas.microsoft.com/office/drawing/2014/chart" uri="{C3380CC4-5D6E-409C-BE32-E72D297353CC}">
              <c16:uniqueId val="{00000018-21C8-4265-8C74-3096BEE15578}"/>
            </c:ext>
          </c:extLst>
        </c:ser>
        <c:ser>
          <c:idx val="21"/>
          <c:order val="21"/>
          <c:tx>
            <c:v>x=0.004</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0.004</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1C8-4265-8C74-3096BEE155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0.37569145129224651</c:v>
              </c:pt>
              <c:pt idx="1">
                <c:v>50.8</c:v>
              </c:pt>
            </c:numLit>
          </c:xVal>
          <c:yVal>
            <c:numLit>
              <c:formatCode>General</c:formatCode>
              <c:ptCount val="2"/>
              <c:pt idx="0">
                <c:v>4.0000000000000001E-3</c:v>
              </c:pt>
              <c:pt idx="1">
                <c:v>4.0000000000000001E-3</c:v>
              </c:pt>
            </c:numLit>
          </c:yVal>
          <c:smooth val="0"/>
          <c:extLst>
            <c:ext xmlns:c16="http://schemas.microsoft.com/office/drawing/2014/chart" uri="{C3380CC4-5D6E-409C-BE32-E72D297353CC}">
              <c16:uniqueId val="{0000001A-21C8-4265-8C74-3096BEE15578}"/>
            </c:ext>
          </c:extLst>
        </c:ser>
        <c:ser>
          <c:idx val="22"/>
          <c:order val="22"/>
          <c:tx>
            <c:v>x=0.0042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4.2000000000000006E-3</c:v>
              </c:pt>
              <c:pt idx="1">
                <c:v>4.2000000000000006E-3</c:v>
              </c:pt>
            </c:numLit>
          </c:yVal>
          <c:smooth val="0"/>
          <c:extLst>
            <c:ext xmlns:c16="http://schemas.microsoft.com/office/drawing/2014/chart" uri="{C3380CC4-5D6E-409C-BE32-E72D297353CC}">
              <c16:uniqueId val="{0000001B-21C8-4265-8C74-3096BEE15578}"/>
            </c:ext>
          </c:extLst>
        </c:ser>
        <c:ser>
          <c:idx val="23"/>
          <c:order val="23"/>
          <c:tx>
            <c:v>x=0.0044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4.4000000000000003E-3</c:v>
              </c:pt>
              <c:pt idx="1">
                <c:v>4.4000000000000003E-3</c:v>
              </c:pt>
            </c:numLit>
          </c:yVal>
          <c:smooth val="0"/>
          <c:extLst>
            <c:ext xmlns:c16="http://schemas.microsoft.com/office/drawing/2014/chart" uri="{C3380CC4-5D6E-409C-BE32-E72D297353CC}">
              <c16:uniqueId val="{0000001C-21C8-4265-8C74-3096BEE15578}"/>
            </c:ext>
          </c:extLst>
        </c:ser>
        <c:ser>
          <c:idx val="24"/>
          <c:order val="24"/>
          <c:tx>
            <c:v>x=0.0046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4.5999999999999999E-3</c:v>
              </c:pt>
              <c:pt idx="1">
                <c:v>4.5999999999999999E-3</c:v>
              </c:pt>
            </c:numLit>
          </c:yVal>
          <c:smooth val="0"/>
          <c:extLst>
            <c:ext xmlns:c16="http://schemas.microsoft.com/office/drawing/2014/chart" uri="{C3380CC4-5D6E-409C-BE32-E72D297353CC}">
              <c16:uniqueId val="{0000001D-21C8-4265-8C74-3096BEE15578}"/>
            </c:ext>
          </c:extLst>
        </c:ser>
        <c:ser>
          <c:idx val="25"/>
          <c:order val="25"/>
          <c:tx>
            <c:v>x=0.0048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4.8000000000000004E-3</c:v>
              </c:pt>
              <c:pt idx="1">
                <c:v>4.8000000000000004E-3</c:v>
              </c:pt>
            </c:numLit>
          </c:yVal>
          <c:smooth val="0"/>
          <c:extLst>
            <c:ext xmlns:c16="http://schemas.microsoft.com/office/drawing/2014/chart" uri="{C3380CC4-5D6E-409C-BE32-E72D297353CC}">
              <c16:uniqueId val="{0000001E-21C8-4265-8C74-3096BEE15578}"/>
            </c:ext>
          </c:extLst>
        </c:ser>
        <c:ser>
          <c:idx val="26"/>
          <c:order val="26"/>
          <c:tx>
            <c:v>x=0.005</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0.005</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21C8-4265-8C74-3096BEE155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3.4233648111332013</c:v>
              </c:pt>
              <c:pt idx="1">
                <c:v>50.8</c:v>
              </c:pt>
            </c:numLit>
          </c:xVal>
          <c:yVal>
            <c:numLit>
              <c:formatCode>General</c:formatCode>
              <c:ptCount val="2"/>
              <c:pt idx="0">
                <c:v>5.0000000000000001E-3</c:v>
              </c:pt>
              <c:pt idx="1">
                <c:v>5.0000000000000001E-3</c:v>
              </c:pt>
            </c:numLit>
          </c:yVal>
          <c:smooth val="0"/>
          <c:extLst>
            <c:ext xmlns:c16="http://schemas.microsoft.com/office/drawing/2014/chart" uri="{C3380CC4-5D6E-409C-BE32-E72D297353CC}">
              <c16:uniqueId val="{00000020-21C8-4265-8C74-3096BEE15578}"/>
            </c:ext>
          </c:extLst>
        </c:ser>
        <c:ser>
          <c:idx val="27"/>
          <c:order val="27"/>
          <c:tx>
            <c:v>x=0.0052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5.2000000000000006E-3</c:v>
              </c:pt>
              <c:pt idx="1">
                <c:v>5.2000000000000006E-3</c:v>
              </c:pt>
            </c:numLit>
          </c:yVal>
          <c:smooth val="0"/>
          <c:extLst>
            <c:ext xmlns:c16="http://schemas.microsoft.com/office/drawing/2014/chart" uri="{C3380CC4-5D6E-409C-BE32-E72D297353CC}">
              <c16:uniqueId val="{00000021-21C8-4265-8C74-3096BEE15578}"/>
            </c:ext>
          </c:extLst>
        </c:ser>
        <c:ser>
          <c:idx val="28"/>
          <c:order val="28"/>
          <c:tx>
            <c:v>x=0.0054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5.4000000000000003E-3</c:v>
              </c:pt>
              <c:pt idx="1">
                <c:v>5.4000000000000003E-3</c:v>
              </c:pt>
            </c:numLit>
          </c:yVal>
          <c:smooth val="0"/>
          <c:extLst>
            <c:ext xmlns:c16="http://schemas.microsoft.com/office/drawing/2014/chart" uri="{C3380CC4-5D6E-409C-BE32-E72D297353CC}">
              <c16:uniqueId val="{00000022-21C8-4265-8C74-3096BEE15578}"/>
            </c:ext>
          </c:extLst>
        </c:ser>
        <c:ser>
          <c:idx val="29"/>
          <c:order val="29"/>
          <c:tx>
            <c:v>x=0.0056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5.5999999999999999E-3</c:v>
              </c:pt>
              <c:pt idx="1">
                <c:v>5.5999999999999999E-3</c:v>
              </c:pt>
            </c:numLit>
          </c:yVal>
          <c:smooth val="0"/>
          <c:extLst>
            <c:ext xmlns:c16="http://schemas.microsoft.com/office/drawing/2014/chart" uri="{C3380CC4-5D6E-409C-BE32-E72D297353CC}">
              <c16:uniqueId val="{00000023-21C8-4265-8C74-3096BEE15578}"/>
            </c:ext>
          </c:extLst>
        </c:ser>
        <c:ser>
          <c:idx val="30"/>
          <c:order val="30"/>
          <c:tx>
            <c:v>x=0.0058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5.8000000000000005E-3</c:v>
              </c:pt>
              <c:pt idx="1">
                <c:v>5.8000000000000005E-3</c:v>
              </c:pt>
            </c:numLit>
          </c:yVal>
          <c:smooth val="0"/>
          <c:extLst>
            <c:ext xmlns:c16="http://schemas.microsoft.com/office/drawing/2014/chart" uri="{C3380CC4-5D6E-409C-BE32-E72D297353CC}">
              <c16:uniqueId val="{00000024-21C8-4265-8C74-3096BEE15578}"/>
            </c:ext>
          </c:extLst>
        </c:ser>
        <c:ser>
          <c:idx val="31"/>
          <c:order val="31"/>
          <c:tx>
            <c:v>x=0.006</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0.006</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5-21C8-4265-8C74-3096BEE155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5.9567697813121274</c:v>
              </c:pt>
              <c:pt idx="1">
                <c:v>50.8</c:v>
              </c:pt>
            </c:numLit>
          </c:xVal>
          <c:yVal>
            <c:numLit>
              <c:formatCode>General</c:formatCode>
              <c:ptCount val="2"/>
              <c:pt idx="0">
                <c:v>6.0000000000000001E-3</c:v>
              </c:pt>
              <c:pt idx="1">
                <c:v>6.0000000000000001E-3</c:v>
              </c:pt>
            </c:numLit>
          </c:yVal>
          <c:smooth val="0"/>
          <c:extLst>
            <c:ext xmlns:c16="http://schemas.microsoft.com/office/drawing/2014/chart" uri="{C3380CC4-5D6E-409C-BE32-E72D297353CC}">
              <c16:uniqueId val="{00000026-21C8-4265-8C74-3096BEE15578}"/>
            </c:ext>
          </c:extLst>
        </c:ser>
        <c:ser>
          <c:idx val="32"/>
          <c:order val="32"/>
          <c:tx>
            <c:v>x=0.0062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6.2000000000000006E-3</c:v>
              </c:pt>
              <c:pt idx="1">
                <c:v>6.2000000000000006E-3</c:v>
              </c:pt>
            </c:numLit>
          </c:yVal>
          <c:smooth val="0"/>
          <c:extLst>
            <c:ext xmlns:c16="http://schemas.microsoft.com/office/drawing/2014/chart" uri="{C3380CC4-5D6E-409C-BE32-E72D297353CC}">
              <c16:uniqueId val="{00000027-21C8-4265-8C74-3096BEE15578}"/>
            </c:ext>
          </c:extLst>
        </c:ser>
        <c:ser>
          <c:idx val="33"/>
          <c:order val="33"/>
          <c:tx>
            <c:v>x=0.0064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6.4000000000000003E-3</c:v>
              </c:pt>
              <c:pt idx="1">
                <c:v>6.4000000000000003E-3</c:v>
              </c:pt>
            </c:numLit>
          </c:yVal>
          <c:smooth val="0"/>
          <c:extLst>
            <c:ext xmlns:c16="http://schemas.microsoft.com/office/drawing/2014/chart" uri="{C3380CC4-5D6E-409C-BE32-E72D297353CC}">
              <c16:uniqueId val="{00000028-21C8-4265-8C74-3096BEE15578}"/>
            </c:ext>
          </c:extLst>
        </c:ser>
        <c:ser>
          <c:idx val="34"/>
          <c:order val="34"/>
          <c:tx>
            <c:v>x=0.0066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6.6E-3</c:v>
              </c:pt>
              <c:pt idx="1">
                <c:v>6.6E-3</c:v>
              </c:pt>
            </c:numLit>
          </c:yVal>
          <c:smooth val="0"/>
          <c:extLst>
            <c:ext xmlns:c16="http://schemas.microsoft.com/office/drawing/2014/chart" uri="{C3380CC4-5D6E-409C-BE32-E72D297353CC}">
              <c16:uniqueId val="{00000029-21C8-4265-8C74-3096BEE15578}"/>
            </c:ext>
          </c:extLst>
        </c:ser>
        <c:ser>
          <c:idx val="35"/>
          <c:order val="35"/>
          <c:tx>
            <c:v>x=0.0068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6.8000000000000005E-3</c:v>
              </c:pt>
              <c:pt idx="1">
                <c:v>6.8000000000000005E-3</c:v>
              </c:pt>
            </c:numLit>
          </c:yVal>
          <c:smooth val="0"/>
          <c:extLst>
            <c:ext xmlns:c16="http://schemas.microsoft.com/office/drawing/2014/chart" uri="{C3380CC4-5D6E-409C-BE32-E72D297353CC}">
              <c16:uniqueId val="{0000002A-21C8-4265-8C74-3096BEE15578}"/>
            </c:ext>
          </c:extLst>
        </c:ser>
        <c:ser>
          <c:idx val="36"/>
          <c:order val="36"/>
          <c:tx>
            <c:v>x=0.007</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0.007</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21C8-4265-8C74-3096BEE155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8.145222266401591</c:v>
              </c:pt>
              <c:pt idx="1">
                <c:v>50.8</c:v>
              </c:pt>
            </c:numLit>
          </c:xVal>
          <c:yVal>
            <c:numLit>
              <c:formatCode>General</c:formatCode>
              <c:ptCount val="2"/>
              <c:pt idx="0">
                <c:v>7.0000000000000001E-3</c:v>
              </c:pt>
              <c:pt idx="1">
                <c:v>7.0000000000000001E-3</c:v>
              </c:pt>
            </c:numLit>
          </c:yVal>
          <c:smooth val="0"/>
          <c:extLst>
            <c:ext xmlns:c16="http://schemas.microsoft.com/office/drawing/2014/chart" uri="{C3380CC4-5D6E-409C-BE32-E72D297353CC}">
              <c16:uniqueId val="{0000002C-21C8-4265-8C74-3096BEE15578}"/>
            </c:ext>
          </c:extLst>
        </c:ser>
        <c:ser>
          <c:idx val="37"/>
          <c:order val="37"/>
          <c:tx>
            <c:v>x=0.0072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7.2000000000000007E-3</c:v>
              </c:pt>
              <c:pt idx="1">
                <c:v>7.2000000000000007E-3</c:v>
              </c:pt>
            </c:numLit>
          </c:yVal>
          <c:smooth val="0"/>
          <c:extLst>
            <c:ext xmlns:c16="http://schemas.microsoft.com/office/drawing/2014/chart" uri="{C3380CC4-5D6E-409C-BE32-E72D297353CC}">
              <c16:uniqueId val="{0000002D-21C8-4265-8C74-3096BEE15578}"/>
            </c:ext>
          </c:extLst>
        </c:ser>
        <c:ser>
          <c:idx val="38"/>
          <c:order val="38"/>
          <c:tx>
            <c:v>x=0.0074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7.4000000000000003E-3</c:v>
              </c:pt>
              <c:pt idx="1">
                <c:v>7.4000000000000003E-3</c:v>
              </c:pt>
            </c:numLit>
          </c:yVal>
          <c:smooth val="0"/>
          <c:extLst>
            <c:ext xmlns:c16="http://schemas.microsoft.com/office/drawing/2014/chart" uri="{C3380CC4-5D6E-409C-BE32-E72D297353CC}">
              <c16:uniqueId val="{0000002E-21C8-4265-8C74-3096BEE15578}"/>
            </c:ext>
          </c:extLst>
        </c:ser>
        <c:ser>
          <c:idx val="39"/>
          <c:order val="39"/>
          <c:tx>
            <c:v>x=0.0076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7.6E-3</c:v>
              </c:pt>
              <c:pt idx="1">
                <c:v>7.6E-3</c:v>
              </c:pt>
            </c:numLit>
          </c:yVal>
          <c:smooth val="0"/>
          <c:extLst>
            <c:ext xmlns:c16="http://schemas.microsoft.com/office/drawing/2014/chart" uri="{C3380CC4-5D6E-409C-BE32-E72D297353CC}">
              <c16:uniqueId val="{0000002F-21C8-4265-8C74-3096BEE15578}"/>
            </c:ext>
          </c:extLst>
        </c:ser>
        <c:ser>
          <c:idx val="40"/>
          <c:order val="40"/>
          <c:tx>
            <c:v>x=0.0078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7.8000000000000005E-3</c:v>
              </c:pt>
              <c:pt idx="1">
                <c:v>7.8000000000000005E-3</c:v>
              </c:pt>
            </c:numLit>
          </c:yVal>
          <c:smooth val="0"/>
          <c:extLst>
            <c:ext xmlns:c16="http://schemas.microsoft.com/office/drawing/2014/chart" uri="{C3380CC4-5D6E-409C-BE32-E72D297353CC}">
              <c16:uniqueId val="{00000030-21C8-4265-8C74-3096BEE15578}"/>
            </c:ext>
          </c:extLst>
        </c:ser>
        <c:ser>
          <c:idx val="41"/>
          <c:order val="41"/>
          <c:tx>
            <c:v>x=0.008</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0.008</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1-21C8-4265-8C74-3096BEE155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10.057816302186881</c:v>
              </c:pt>
              <c:pt idx="1">
                <c:v>50.8</c:v>
              </c:pt>
            </c:numLit>
          </c:xVal>
          <c:yVal>
            <c:numLit>
              <c:formatCode>General</c:formatCode>
              <c:ptCount val="2"/>
              <c:pt idx="0">
                <c:v>8.0000000000000002E-3</c:v>
              </c:pt>
              <c:pt idx="1">
                <c:v>8.0000000000000002E-3</c:v>
              </c:pt>
            </c:numLit>
          </c:yVal>
          <c:smooth val="0"/>
          <c:extLst>
            <c:ext xmlns:c16="http://schemas.microsoft.com/office/drawing/2014/chart" uri="{C3380CC4-5D6E-409C-BE32-E72D297353CC}">
              <c16:uniqueId val="{00000032-21C8-4265-8C74-3096BEE15578}"/>
            </c:ext>
          </c:extLst>
        </c:ser>
        <c:ser>
          <c:idx val="42"/>
          <c:order val="42"/>
          <c:tx>
            <c:v>x=0.0082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8.2000000000000007E-3</c:v>
              </c:pt>
              <c:pt idx="1">
                <c:v>8.2000000000000007E-3</c:v>
              </c:pt>
            </c:numLit>
          </c:yVal>
          <c:smooth val="0"/>
          <c:extLst>
            <c:ext xmlns:c16="http://schemas.microsoft.com/office/drawing/2014/chart" uri="{C3380CC4-5D6E-409C-BE32-E72D297353CC}">
              <c16:uniqueId val="{00000033-21C8-4265-8C74-3096BEE15578}"/>
            </c:ext>
          </c:extLst>
        </c:ser>
        <c:ser>
          <c:idx val="43"/>
          <c:order val="43"/>
          <c:tx>
            <c:v>x=0.0084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8.4000000000000012E-3</c:v>
              </c:pt>
              <c:pt idx="1">
                <c:v>8.4000000000000012E-3</c:v>
              </c:pt>
            </c:numLit>
          </c:yVal>
          <c:smooth val="0"/>
          <c:extLst>
            <c:ext xmlns:c16="http://schemas.microsoft.com/office/drawing/2014/chart" uri="{C3380CC4-5D6E-409C-BE32-E72D297353CC}">
              <c16:uniqueId val="{00000034-21C8-4265-8C74-3096BEE15578}"/>
            </c:ext>
          </c:extLst>
        </c:ser>
        <c:ser>
          <c:idx val="44"/>
          <c:order val="44"/>
          <c:tx>
            <c:v>x=0.0086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8.6E-3</c:v>
              </c:pt>
              <c:pt idx="1">
                <c:v>8.6E-3</c:v>
              </c:pt>
            </c:numLit>
          </c:yVal>
          <c:smooth val="0"/>
          <c:extLst>
            <c:ext xmlns:c16="http://schemas.microsoft.com/office/drawing/2014/chart" uri="{C3380CC4-5D6E-409C-BE32-E72D297353CC}">
              <c16:uniqueId val="{00000035-21C8-4265-8C74-3096BEE15578}"/>
            </c:ext>
          </c:extLst>
        </c:ser>
        <c:ser>
          <c:idx val="45"/>
          <c:order val="45"/>
          <c:tx>
            <c:v>x=0.0088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8.8000000000000005E-3</c:v>
              </c:pt>
              <c:pt idx="1">
                <c:v>8.8000000000000005E-3</c:v>
              </c:pt>
            </c:numLit>
          </c:yVal>
          <c:smooth val="0"/>
          <c:extLst>
            <c:ext xmlns:c16="http://schemas.microsoft.com/office/drawing/2014/chart" uri="{C3380CC4-5D6E-409C-BE32-E72D297353CC}">
              <c16:uniqueId val="{00000036-21C8-4265-8C74-3096BEE15578}"/>
            </c:ext>
          </c:extLst>
        </c:ser>
        <c:ser>
          <c:idx val="46"/>
          <c:order val="46"/>
          <c:tx>
            <c:v>x=0.009</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0.009</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21C8-4265-8C74-3096BEE155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11.774330019880717</c:v>
              </c:pt>
              <c:pt idx="1">
                <c:v>50.8</c:v>
              </c:pt>
            </c:numLit>
          </c:xVal>
          <c:yVal>
            <c:numLit>
              <c:formatCode>General</c:formatCode>
              <c:ptCount val="2"/>
              <c:pt idx="0">
                <c:v>9.0000000000000011E-3</c:v>
              </c:pt>
              <c:pt idx="1">
                <c:v>9.0000000000000011E-3</c:v>
              </c:pt>
            </c:numLit>
          </c:yVal>
          <c:smooth val="0"/>
          <c:extLst>
            <c:ext xmlns:c16="http://schemas.microsoft.com/office/drawing/2014/chart" uri="{C3380CC4-5D6E-409C-BE32-E72D297353CC}">
              <c16:uniqueId val="{00000038-21C8-4265-8C74-3096BEE15578}"/>
            </c:ext>
          </c:extLst>
        </c:ser>
        <c:ser>
          <c:idx val="47"/>
          <c:order val="47"/>
          <c:tx>
            <c:v>x=0.0092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9.1999999999999998E-3</c:v>
              </c:pt>
              <c:pt idx="1">
                <c:v>9.1999999999999998E-3</c:v>
              </c:pt>
            </c:numLit>
          </c:yVal>
          <c:smooth val="0"/>
          <c:extLst>
            <c:ext xmlns:c16="http://schemas.microsoft.com/office/drawing/2014/chart" uri="{C3380CC4-5D6E-409C-BE32-E72D297353CC}">
              <c16:uniqueId val="{00000039-21C8-4265-8C74-3096BEE15578}"/>
            </c:ext>
          </c:extLst>
        </c:ser>
        <c:ser>
          <c:idx val="48"/>
          <c:order val="48"/>
          <c:tx>
            <c:v>x=0.0094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9.4000000000000004E-3</c:v>
              </c:pt>
              <c:pt idx="1">
                <c:v>9.4000000000000004E-3</c:v>
              </c:pt>
            </c:numLit>
          </c:yVal>
          <c:smooth val="0"/>
          <c:extLst>
            <c:ext xmlns:c16="http://schemas.microsoft.com/office/drawing/2014/chart" uri="{C3380CC4-5D6E-409C-BE32-E72D297353CC}">
              <c16:uniqueId val="{0000003A-21C8-4265-8C74-3096BEE15578}"/>
            </c:ext>
          </c:extLst>
        </c:ser>
        <c:ser>
          <c:idx val="49"/>
          <c:order val="49"/>
          <c:tx>
            <c:v>x=0.0096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9.6000000000000009E-3</c:v>
              </c:pt>
              <c:pt idx="1">
                <c:v>9.6000000000000009E-3</c:v>
              </c:pt>
            </c:numLit>
          </c:yVal>
          <c:smooth val="0"/>
          <c:extLst>
            <c:ext xmlns:c16="http://schemas.microsoft.com/office/drawing/2014/chart" uri="{C3380CC4-5D6E-409C-BE32-E72D297353CC}">
              <c16:uniqueId val="{0000003B-21C8-4265-8C74-3096BEE15578}"/>
            </c:ext>
          </c:extLst>
        </c:ser>
        <c:ser>
          <c:idx val="50"/>
          <c:order val="50"/>
          <c:tx>
            <c:v>x=0.0098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9.7999999999999997E-3</c:v>
              </c:pt>
              <c:pt idx="1">
                <c:v>9.7999999999999997E-3</c:v>
              </c:pt>
            </c:numLit>
          </c:yVal>
          <c:smooth val="0"/>
          <c:extLst>
            <c:ext xmlns:c16="http://schemas.microsoft.com/office/drawing/2014/chart" uri="{C3380CC4-5D6E-409C-BE32-E72D297353CC}">
              <c16:uniqueId val="{0000003C-21C8-4265-8C74-3096BEE15578}"/>
            </c:ext>
          </c:extLst>
        </c:ser>
        <c:ser>
          <c:idx val="51"/>
          <c:order val="51"/>
          <c:tx>
            <c:v>x=0.01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0.010</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D-21C8-4265-8C74-3096BEE155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13.314023856858848</c:v>
              </c:pt>
              <c:pt idx="1">
                <c:v>50.8</c:v>
              </c:pt>
            </c:numLit>
          </c:xVal>
          <c:yVal>
            <c:numLit>
              <c:formatCode>General</c:formatCode>
              <c:ptCount val="2"/>
              <c:pt idx="0">
                <c:v>0.01</c:v>
              </c:pt>
              <c:pt idx="1">
                <c:v>0.01</c:v>
              </c:pt>
            </c:numLit>
          </c:yVal>
          <c:smooth val="0"/>
          <c:extLst>
            <c:ext xmlns:c16="http://schemas.microsoft.com/office/drawing/2014/chart" uri="{C3380CC4-5D6E-409C-BE32-E72D297353CC}">
              <c16:uniqueId val="{0000003E-21C8-4265-8C74-3096BEE15578}"/>
            </c:ext>
          </c:extLst>
        </c:ser>
        <c:ser>
          <c:idx val="52"/>
          <c:order val="52"/>
          <c:tx>
            <c:v>x=0.0102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1.0200000000000001E-2</c:v>
              </c:pt>
              <c:pt idx="1">
                <c:v>1.0200000000000001E-2</c:v>
              </c:pt>
            </c:numLit>
          </c:yVal>
          <c:smooth val="0"/>
          <c:extLst>
            <c:ext xmlns:c16="http://schemas.microsoft.com/office/drawing/2014/chart" uri="{C3380CC4-5D6E-409C-BE32-E72D297353CC}">
              <c16:uniqueId val="{0000003F-21C8-4265-8C74-3096BEE15578}"/>
            </c:ext>
          </c:extLst>
        </c:ser>
        <c:ser>
          <c:idx val="53"/>
          <c:order val="53"/>
          <c:tx>
            <c:v>x=0.0104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1.0400000000000001E-2</c:v>
              </c:pt>
              <c:pt idx="1">
                <c:v>1.0400000000000001E-2</c:v>
              </c:pt>
            </c:numLit>
          </c:yVal>
          <c:smooth val="0"/>
          <c:extLst>
            <c:ext xmlns:c16="http://schemas.microsoft.com/office/drawing/2014/chart" uri="{C3380CC4-5D6E-409C-BE32-E72D297353CC}">
              <c16:uniqueId val="{00000040-21C8-4265-8C74-3096BEE15578}"/>
            </c:ext>
          </c:extLst>
        </c:ser>
        <c:ser>
          <c:idx val="54"/>
          <c:order val="54"/>
          <c:tx>
            <c:v>x=0.0106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1.06E-2</c:v>
              </c:pt>
              <c:pt idx="1">
                <c:v>1.06E-2</c:v>
              </c:pt>
            </c:numLit>
          </c:yVal>
          <c:smooth val="0"/>
          <c:extLst>
            <c:ext xmlns:c16="http://schemas.microsoft.com/office/drawing/2014/chart" uri="{C3380CC4-5D6E-409C-BE32-E72D297353CC}">
              <c16:uniqueId val="{00000041-21C8-4265-8C74-3096BEE15578}"/>
            </c:ext>
          </c:extLst>
        </c:ser>
        <c:ser>
          <c:idx val="55"/>
          <c:order val="55"/>
          <c:tx>
            <c:v>x=0.0108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1.0800000000000001E-2</c:v>
              </c:pt>
              <c:pt idx="1">
                <c:v>1.0800000000000001E-2</c:v>
              </c:pt>
            </c:numLit>
          </c:yVal>
          <c:smooth val="0"/>
          <c:extLst>
            <c:ext xmlns:c16="http://schemas.microsoft.com/office/drawing/2014/chart" uri="{C3380CC4-5D6E-409C-BE32-E72D297353CC}">
              <c16:uniqueId val="{00000042-21C8-4265-8C74-3096BEE15578}"/>
            </c:ext>
          </c:extLst>
        </c:ser>
        <c:ser>
          <c:idx val="56"/>
          <c:order val="56"/>
          <c:tx>
            <c:v>x=0.011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0.011</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3-21C8-4265-8C74-3096BEE155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14.726916302186879</c:v>
              </c:pt>
              <c:pt idx="1">
                <c:v>50.8</c:v>
              </c:pt>
            </c:numLit>
          </c:xVal>
          <c:yVal>
            <c:numLit>
              <c:formatCode>General</c:formatCode>
              <c:ptCount val="2"/>
              <c:pt idx="0">
                <c:v>1.1000000000000001E-2</c:v>
              </c:pt>
              <c:pt idx="1">
                <c:v>1.1000000000000001E-2</c:v>
              </c:pt>
            </c:numLit>
          </c:yVal>
          <c:smooth val="0"/>
          <c:extLst>
            <c:ext xmlns:c16="http://schemas.microsoft.com/office/drawing/2014/chart" uri="{C3380CC4-5D6E-409C-BE32-E72D297353CC}">
              <c16:uniqueId val="{00000044-21C8-4265-8C74-3096BEE15578}"/>
            </c:ext>
          </c:extLst>
        </c:ser>
        <c:ser>
          <c:idx val="57"/>
          <c:order val="57"/>
          <c:tx>
            <c:v>x=0.0112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1.12E-2</c:v>
              </c:pt>
              <c:pt idx="1">
                <c:v>1.12E-2</c:v>
              </c:pt>
            </c:numLit>
          </c:yVal>
          <c:smooth val="0"/>
          <c:extLst>
            <c:ext xmlns:c16="http://schemas.microsoft.com/office/drawing/2014/chart" uri="{C3380CC4-5D6E-409C-BE32-E72D297353CC}">
              <c16:uniqueId val="{00000045-21C8-4265-8C74-3096BEE15578}"/>
            </c:ext>
          </c:extLst>
        </c:ser>
        <c:ser>
          <c:idx val="58"/>
          <c:order val="58"/>
          <c:tx>
            <c:v>x=0.0114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1.14E-2</c:v>
              </c:pt>
              <c:pt idx="1">
                <c:v>1.14E-2</c:v>
              </c:pt>
            </c:numLit>
          </c:yVal>
          <c:smooth val="0"/>
          <c:extLst>
            <c:ext xmlns:c16="http://schemas.microsoft.com/office/drawing/2014/chart" uri="{C3380CC4-5D6E-409C-BE32-E72D297353CC}">
              <c16:uniqueId val="{00000046-21C8-4265-8C74-3096BEE15578}"/>
            </c:ext>
          </c:extLst>
        </c:ser>
        <c:ser>
          <c:idx val="59"/>
          <c:order val="59"/>
          <c:tx>
            <c:v>x=0.0116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1.1600000000000001E-2</c:v>
              </c:pt>
              <c:pt idx="1">
                <c:v>1.1600000000000001E-2</c:v>
              </c:pt>
            </c:numLit>
          </c:yVal>
          <c:smooth val="0"/>
          <c:extLst>
            <c:ext xmlns:c16="http://schemas.microsoft.com/office/drawing/2014/chart" uri="{C3380CC4-5D6E-409C-BE32-E72D297353CC}">
              <c16:uniqueId val="{00000047-21C8-4265-8C74-3096BEE15578}"/>
            </c:ext>
          </c:extLst>
        </c:ser>
        <c:ser>
          <c:idx val="60"/>
          <c:order val="60"/>
          <c:tx>
            <c:v>x=0.0118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1.18E-2</c:v>
              </c:pt>
              <c:pt idx="1">
                <c:v>1.18E-2</c:v>
              </c:pt>
            </c:numLit>
          </c:yVal>
          <c:smooth val="0"/>
          <c:extLst>
            <c:ext xmlns:c16="http://schemas.microsoft.com/office/drawing/2014/chart" uri="{C3380CC4-5D6E-409C-BE32-E72D297353CC}">
              <c16:uniqueId val="{00000048-21C8-4265-8C74-3096BEE15578}"/>
            </c:ext>
          </c:extLst>
        </c:ser>
        <c:ser>
          <c:idx val="61"/>
          <c:order val="61"/>
          <c:tx>
            <c:v>x=0.012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0.012</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9-21C8-4265-8C74-3096BEE155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16.032730019880717</c:v>
              </c:pt>
              <c:pt idx="1">
                <c:v>50.8</c:v>
              </c:pt>
            </c:numLit>
          </c:xVal>
          <c:yVal>
            <c:numLit>
              <c:formatCode>General</c:formatCode>
              <c:ptCount val="2"/>
              <c:pt idx="0">
                <c:v>1.2E-2</c:v>
              </c:pt>
              <c:pt idx="1">
                <c:v>1.2E-2</c:v>
              </c:pt>
            </c:numLit>
          </c:yVal>
          <c:smooth val="0"/>
          <c:extLst>
            <c:ext xmlns:c16="http://schemas.microsoft.com/office/drawing/2014/chart" uri="{C3380CC4-5D6E-409C-BE32-E72D297353CC}">
              <c16:uniqueId val="{0000004A-21C8-4265-8C74-3096BEE15578}"/>
            </c:ext>
          </c:extLst>
        </c:ser>
        <c:ser>
          <c:idx val="62"/>
          <c:order val="62"/>
          <c:tx>
            <c:v>x=0.0122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1.2200000000000001E-2</c:v>
              </c:pt>
              <c:pt idx="1">
                <c:v>1.2200000000000001E-2</c:v>
              </c:pt>
            </c:numLit>
          </c:yVal>
          <c:smooth val="0"/>
          <c:extLst>
            <c:ext xmlns:c16="http://schemas.microsoft.com/office/drawing/2014/chart" uri="{C3380CC4-5D6E-409C-BE32-E72D297353CC}">
              <c16:uniqueId val="{0000004B-21C8-4265-8C74-3096BEE15578}"/>
            </c:ext>
          </c:extLst>
        </c:ser>
        <c:ser>
          <c:idx val="63"/>
          <c:order val="63"/>
          <c:tx>
            <c:v>x=0.0124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1.2400000000000001E-2</c:v>
              </c:pt>
              <c:pt idx="1">
                <c:v>1.2400000000000001E-2</c:v>
              </c:pt>
            </c:numLit>
          </c:yVal>
          <c:smooth val="0"/>
          <c:extLst>
            <c:ext xmlns:c16="http://schemas.microsoft.com/office/drawing/2014/chart" uri="{C3380CC4-5D6E-409C-BE32-E72D297353CC}">
              <c16:uniqueId val="{0000004C-21C8-4265-8C74-3096BEE15578}"/>
            </c:ext>
          </c:extLst>
        </c:ser>
        <c:ser>
          <c:idx val="64"/>
          <c:order val="64"/>
          <c:tx>
            <c:v>x=0.0126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1.26E-2</c:v>
              </c:pt>
              <c:pt idx="1">
                <c:v>1.26E-2</c:v>
              </c:pt>
            </c:numLit>
          </c:yVal>
          <c:smooth val="0"/>
          <c:extLst>
            <c:ext xmlns:c16="http://schemas.microsoft.com/office/drawing/2014/chart" uri="{C3380CC4-5D6E-409C-BE32-E72D297353CC}">
              <c16:uniqueId val="{0000004D-21C8-4265-8C74-3096BEE15578}"/>
            </c:ext>
          </c:extLst>
        </c:ser>
        <c:ser>
          <c:idx val="65"/>
          <c:order val="65"/>
          <c:tx>
            <c:v>x=0.0128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1.2800000000000001E-2</c:v>
              </c:pt>
              <c:pt idx="1">
                <c:v>1.2800000000000001E-2</c:v>
              </c:pt>
            </c:numLit>
          </c:yVal>
          <c:smooth val="0"/>
          <c:extLst>
            <c:ext xmlns:c16="http://schemas.microsoft.com/office/drawing/2014/chart" uri="{C3380CC4-5D6E-409C-BE32-E72D297353CC}">
              <c16:uniqueId val="{0000004E-21C8-4265-8C74-3096BEE15578}"/>
            </c:ext>
          </c:extLst>
        </c:ser>
        <c:ser>
          <c:idx val="66"/>
          <c:order val="66"/>
          <c:tx>
            <c:v>x=0.013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0.013</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F-21C8-4265-8C74-3096BEE155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17.241095228628232</c:v>
              </c:pt>
              <c:pt idx="1">
                <c:v>50.8</c:v>
              </c:pt>
            </c:numLit>
          </c:xVal>
          <c:yVal>
            <c:numLit>
              <c:formatCode>General</c:formatCode>
              <c:ptCount val="2"/>
              <c:pt idx="0">
                <c:v>1.3000000000000001E-2</c:v>
              </c:pt>
              <c:pt idx="1">
                <c:v>1.3000000000000001E-2</c:v>
              </c:pt>
            </c:numLit>
          </c:yVal>
          <c:smooth val="0"/>
          <c:extLst>
            <c:ext xmlns:c16="http://schemas.microsoft.com/office/drawing/2014/chart" uri="{C3380CC4-5D6E-409C-BE32-E72D297353CC}">
              <c16:uniqueId val="{00000050-21C8-4265-8C74-3096BEE15578}"/>
            </c:ext>
          </c:extLst>
        </c:ser>
        <c:ser>
          <c:idx val="67"/>
          <c:order val="67"/>
          <c:tx>
            <c:v>x=0.0132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1.32E-2</c:v>
              </c:pt>
              <c:pt idx="1">
                <c:v>1.32E-2</c:v>
              </c:pt>
            </c:numLit>
          </c:yVal>
          <c:smooth val="0"/>
          <c:extLst>
            <c:ext xmlns:c16="http://schemas.microsoft.com/office/drawing/2014/chart" uri="{C3380CC4-5D6E-409C-BE32-E72D297353CC}">
              <c16:uniqueId val="{00000051-21C8-4265-8C74-3096BEE15578}"/>
            </c:ext>
          </c:extLst>
        </c:ser>
        <c:ser>
          <c:idx val="68"/>
          <c:order val="68"/>
          <c:tx>
            <c:v>x=0.0134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1.34E-2</c:v>
              </c:pt>
              <c:pt idx="1">
                <c:v>1.34E-2</c:v>
              </c:pt>
            </c:numLit>
          </c:yVal>
          <c:smooth val="0"/>
          <c:extLst>
            <c:ext xmlns:c16="http://schemas.microsoft.com/office/drawing/2014/chart" uri="{C3380CC4-5D6E-409C-BE32-E72D297353CC}">
              <c16:uniqueId val="{00000052-21C8-4265-8C74-3096BEE15578}"/>
            </c:ext>
          </c:extLst>
        </c:ser>
        <c:ser>
          <c:idx val="69"/>
          <c:order val="69"/>
          <c:tx>
            <c:v>x=0.0136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1.3600000000000001E-2</c:v>
              </c:pt>
              <c:pt idx="1">
                <c:v>1.3600000000000001E-2</c:v>
              </c:pt>
            </c:numLit>
          </c:yVal>
          <c:smooth val="0"/>
          <c:extLst>
            <c:ext xmlns:c16="http://schemas.microsoft.com/office/drawing/2014/chart" uri="{C3380CC4-5D6E-409C-BE32-E72D297353CC}">
              <c16:uniqueId val="{00000053-21C8-4265-8C74-3096BEE15578}"/>
            </c:ext>
          </c:extLst>
        </c:ser>
        <c:ser>
          <c:idx val="70"/>
          <c:order val="70"/>
          <c:tx>
            <c:v>x=0.0138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1.3800000000000002E-2</c:v>
              </c:pt>
              <c:pt idx="1">
                <c:v>1.3800000000000002E-2</c:v>
              </c:pt>
            </c:numLit>
          </c:yVal>
          <c:smooth val="0"/>
          <c:extLst>
            <c:ext xmlns:c16="http://schemas.microsoft.com/office/drawing/2014/chart" uri="{C3380CC4-5D6E-409C-BE32-E72D297353CC}">
              <c16:uniqueId val="{00000054-21C8-4265-8C74-3096BEE15578}"/>
            </c:ext>
          </c:extLst>
        </c:ser>
        <c:ser>
          <c:idx val="71"/>
          <c:order val="71"/>
          <c:tx>
            <c:v>x=0.014</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0.014</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5-21C8-4265-8C74-3096BEE155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18.371974950298213</c:v>
              </c:pt>
              <c:pt idx="1">
                <c:v>50.8</c:v>
              </c:pt>
            </c:numLit>
          </c:xVal>
          <c:yVal>
            <c:numLit>
              <c:formatCode>General</c:formatCode>
              <c:ptCount val="2"/>
              <c:pt idx="0">
                <c:v>1.4E-2</c:v>
              </c:pt>
              <c:pt idx="1">
                <c:v>1.4E-2</c:v>
              </c:pt>
            </c:numLit>
          </c:yVal>
          <c:smooth val="0"/>
          <c:extLst>
            <c:ext xmlns:c16="http://schemas.microsoft.com/office/drawing/2014/chart" uri="{C3380CC4-5D6E-409C-BE32-E72D297353CC}">
              <c16:uniqueId val="{00000056-21C8-4265-8C74-3096BEE15578}"/>
            </c:ext>
          </c:extLst>
        </c:ser>
        <c:ser>
          <c:idx val="72"/>
          <c:order val="72"/>
          <c:tx>
            <c:v>x=0.0142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1.4200000000000001E-2</c:v>
              </c:pt>
              <c:pt idx="1">
                <c:v>1.4200000000000001E-2</c:v>
              </c:pt>
            </c:numLit>
          </c:yVal>
          <c:smooth val="0"/>
          <c:extLst>
            <c:ext xmlns:c16="http://schemas.microsoft.com/office/drawing/2014/chart" uri="{C3380CC4-5D6E-409C-BE32-E72D297353CC}">
              <c16:uniqueId val="{00000057-21C8-4265-8C74-3096BEE15578}"/>
            </c:ext>
          </c:extLst>
        </c:ser>
        <c:ser>
          <c:idx val="73"/>
          <c:order val="73"/>
          <c:tx>
            <c:v>x=0.0144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1.4400000000000001E-2</c:v>
              </c:pt>
              <c:pt idx="1">
                <c:v>1.4400000000000001E-2</c:v>
              </c:pt>
            </c:numLit>
          </c:yVal>
          <c:smooth val="0"/>
          <c:extLst>
            <c:ext xmlns:c16="http://schemas.microsoft.com/office/drawing/2014/chart" uri="{C3380CC4-5D6E-409C-BE32-E72D297353CC}">
              <c16:uniqueId val="{00000058-21C8-4265-8C74-3096BEE15578}"/>
            </c:ext>
          </c:extLst>
        </c:ser>
        <c:ser>
          <c:idx val="74"/>
          <c:order val="74"/>
          <c:tx>
            <c:v>x=0.0146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1.46E-2</c:v>
              </c:pt>
              <c:pt idx="1">
                <c:v>1.46E-2</c:v>
              </c:pt>
            </c:numLit>
          </c:yVal>
          <c:smooth val="0"/>
          <c:extLst>
            <c:ext xmlns:c16="http://schemas.microsoft.com/office/drawing/2014/chart" uri="{C3380CC4-5D6E-409C-BE32-E72D297353CC}">
              <c16:uniqueId val="{00000059-21C8-4265-8C74-3096BEE15578}"/>
            </c:ext>
          </c:extLst>
        </c:ser>
        <c:ser>
          <c:idx val="75"/>
          <c:order val="75"/>
          <c:tx>
            <c:v>x=0.0148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1.4800000000000001E-2</c:v>
              </c:pt>
              <c:pt idx="1">
                <c:v>1.4800000000000001E-2</c:v>
              </c:pt>
            </c:numLit>
          </c:yVal>
          <c:smooth val="0"/>
          <c:extLst>
            <c:ext xmlns:c16="http://schemas.microsoft.com/office/drawing/2014/chart" uri="{C3380CC4-5D6E-409C-BE32-E72D297353CC}">
              <c16:uniqueId val="{0000005A-21C8-4265-8C74-3096BEE15578}"/>
            </c:ext>
          </c:extLst>
        </c:ser>
        <c:ser>
          <c:idx val="76"/>
          <c:order val="76"/>
          <c:tx>
            <c:v>x=0.015</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0.015</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B-21C8-4265-8C74-3096BEE155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19.435202783300202</c:v>
              </c:pt>
              <c:pt idx="1">
                <c:v>50.8</c:v>
              </c:pt>
            </c:numLit>
          </c:xVal>
          <c:yVal>
            <c:numLit>
              <c:formatCode>General</c:formatCode>
              <c:ptCount val="2"/>
              <c:pt idx="0">
                <c:v>1.5000000000000001E-2</c:v>
              </c:pt>
              <c:pt idx="1">
                <c:v>1.5000000000000001E-2</c:v>
              </c:pt>
            </c:numLit>
          </c:yVal>
          <c:smooth val="0"/>
          <c:extLst>
            <c:ext xmlns:c16="http://schemas.microsoft.com/office/drawing/2014/chart" uri="{C3380CC4-5D6E-409C-BE32-E72D297353CC}">
              <c16:uniqueId val="{0000005C-21C8-4265-8C74-3096BEE15578}"/>
            </c:ext>
          </c:extLst>
        </c:ser>
        <c:ser>
          <c:idx val="77"/>
          <c:order val="77"/>
          <c:tx>
            <c:v>x=0.0152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1.52E-2</c:v>
              </c:pt>
              <c:pt idx="1">
                <c:v>1.52E-2</c:v>
              </c:pt>
            </c:numLit>
          </c:yVal>
          <c:smooth val="0"/>
          <c:extLst>
            <c:ext xmlns:c16="http://schemas.microsoft.com/office/drawing/2014/chart" uri="{C3380CC4-5D6E-409C-BE32-E72D297353CC}">
              <c16:uniqueId val="{0000005D-21C8-4265-8C74-3096BEE15578}"/>
            </c:ext>
          </c:extLst>
        </c:ser>
        <c:ser>
          <c:idx val="78"/>
          <c:order val="78"/>
          <c:tx>
            <c:v>x=0.0154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1.54E-2</c:v>
              </c:pt>
              <c:pt idx="1">
                <c:v>1.54E-2</c:v>
              </c:pt>
            </c:numLit>
          </c:yVal>
          <c:smooth val="0"/>
          <c:extLst>
            <c:ext xmlns:c16="http://schemas.microsoft.com/office/drawing/2014/chart" uri="{C3380CC4-5D6E-409C-BE32-E72D297353CC}">
              <c16:uniqueId val="{0000005E-21C8-4265-8C74-3096BEE15578}"/>
            </c:ext>
          </c:extLst>
        </c:ser>
        <c:ser>
          <c:idx val="79"/>
          <c:order val="79"/>
          <c:tx>
            <c:v>x=0.0156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1.5600000000000001E-2</c:v>
              </c:pt>
              <c:pt idx="1">
                <c:v>1.5600000000000001E-2</c:v>
              </c:pt>
            </c:numLit>
          </c:yVal>
          <c:smooth val="0"/>
          <c:extLst>
            <c:ext xmlns:c16="http://schemas.microsoft.com/office/drawing/2014/chart" uri="{C3380CC4-5D6E-409C-BE32-E72D297353CC}">
              <c16:uniqueId val="{0000005F-21C8-4265-8C74-3096BEE15578}"/>
            </c:ext>
          </c:extLst>
        </c:ser>
        <c:ser>
          <c:idx val="80"/>
          <c:order val="80"/>
          <c:tx>
            <c:v>x=0.0158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1.5800000000000002E-2</c:v>
              </c:pt>
              <c:pt idx="1">
                <c:v>1.5800000000000002E-2</c:v>
              </c:pt>
            </c:numLit>
          </c:yVal>
          <c:smooth val="0"/>
          <c:extLst>
            <c:ext xmlns:c16="http://schemas.microsoft.com/office/drawing/2014/chart" uri="{C3380CC4-5D6E-409C-BE32-E72D297353CC}">
              <c16:uniqueId val="{00000060-21C8-4265-8C74-3096BEE15578}"/>
            </c:ext>
          </c:extLst>
        </c:ser>
        <c:ser>
          <c:idx val="81"/>
          <c:order val="81"/>
          <c:tx>
            <c:v>x=0.016</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0.016</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1-21C8-4265-8C74-3096BEE155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20.430390457256465</c:v>
              </c:pt>
              <c:pt idx="1">
                <c:v>50.8</c:v>
              </c:pt>
            </c:numLit>
          </c:xVal>
          <c:yVal>
            <c:numLit>
              <c:formatCode>General</c:formatCode>
              <c:ptCount val="2"/>
              <c:pt idx="0">
                <c:v>1.6E-2</c:v>
              </c:pt>
              <c:pt idx="1">
                <c:v>1.6E-2</c:v>
              </c:pt>
            </c:numLit>
          </c:yVal>
          <c:smooth val="0"/>
          <c:extLst>
            <c:ext xmlns:c16="http://schemas.microsoft.com/office/drawing/2014/chart" uri="{C3380CC4-5D6E-409C-BE32-E72D297353CC}">
              <c16:uniqueId val="{00000062-21C8-4265-8C74-3096BEE15578}"/>
            </c:ext>
          </c:extLst>
        </c:ser>
        <c:ser>
          <c:idx val="82"/>
          <c:order val="82"/>
          <c:tx>
            <c:v>x=0.0162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1.6199999999999999E-2</c:v>
              </c:pt>
              <c:pt idx="1">
                <c:v>1.6199999999999999E-2</c:v>
              </c:pt>
            </c:numLit>
          </c:yVal>
          <c:smooth val="0"/>
          <c:extLst>
            <c:ext xmlns:c16="http://schemas.microsoft.com/office/drawing/2014/chart" uri="{C3380CC4-5D6E-409C-BE32-E72D297353CC}">
              <c16:uniqueId val="{00000063-21C8-4265-8C74-3096BEE15578}"/>
            </c:ext>
          </c:extLst>
        </c:ser>
        <c:ser>
          <c:idx val="83"/>
          <c:order val="83"/>
          <c:tx>
            <c:v>x=0.0164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1.6400000000000001E-2</c:v>
              </c:pt>
              <c:pt idx="1">
                <c:v>1.6400000000000001E-2</c:v>
              </c:pt>
            </c:numLit>
          </c:yVal>
          <c:smooth val="0"/>
          <c:extLst>
            <c:ext xmlns:c16="http://schemas.microsoft.com/office/drawing/2014/chart" uri="{C3380CC4-5D6E-409C-BE32-E72D297353CC}">
              <c16:uniqueId val="{00000064-21C8-4265-8C74-3096BEE15578}"/>
            </c:ext>
          </c:extLst>
        </c:ser>
        <c:ser>
          <c:idx val="84"/>
          <c:order val="84"/>
          <c:tx>
            <c:v>x=0.0166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1.66E-2</c:v>
              </c:pt>
              <c:pt idx="1">
                <c:v>1.66E-2</c:v>
              </c:pt>
            </c:numLit>
          </c:yVal>
          <c:smooth val="0"/>
          <c:extLst>
            <c:ext xmlns:c16="http://schemas.microsoft.com/office/drawing/2014/chart" uri="{C3380CC4-5D6E-409C-BE32-E72D297353CC}">
              <c16:uniqueId val="{00000065-21C8-4265-8C74-3096BEE15578}"/>
            </c:ext>
          </c:extLst>
        </c:ser>
        <c:ser>
          <c:idx val="85"/>
          <c:order val="85"/>
          <c:tx>
            <c:v>x=0.0168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1.6800000000000002E-2</c:v>
              </c:pt>
              <c:pt idx="1">
                <c:v>1.6800000000000002E-2</c:v>
              </c:pt>
            </c:numLit>
          </c:yVal>
          <c:smooth val="0"/>
          <c:extLst>
            <c:ext xmlns:c16="http://schemas.microsoft.com/office/drawing/2014/chart" uri="{C3380CC4-5D6E-409C-BE32-E72D297353CC}">
              <c16:uniqueId val="{00000066-21C8-4265-8C74-3096BEE15578}"/>
            </c:ext>
          </c:extLst>
        </c:ser>
        <c:ser>
          <c:idx val="86"/>
          <c:order val="86"/>
          <c:tx>
            <c:v>x=0.017</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0.017</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7-21C8-4265-8C74-3096BEE155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21.377778330019879</c:v>
              </c:pt>
              <c:pt idx="1">
                <c:v>50.8</c:v>
              </c:pt>
            </c:numLit>
          </c:xVal>
          <c:yVal>
            <c:numLit>
              <c:formatCode>General</c:formatCode>
              <c:ptCount val="2"/>
              <c:pt idx="0">
                <c:v>1.7000000000000001E-2</c:v>
              </c:pt>
              <c:pt idx="1">
                <c:v>1.7000000000000001E-2</c:v>
              </c:pt>
            </c:numLit>
          </c:yVal>
          <c:smooth val="0"/>
          <c:extLst>
            <c:ext xmlns:c16="http://schemas.microsoft.com/office/drawing/2014/chart" uri="{C3380CC4-5D6E-409C-BE32-E72D297353CC}">
              <c16:uniqueId val="{00000068-21C8-4265-8C74-3096BEE15578}"/>
            </c:ext>
          </c:extLst>
        </c:ser>
        <c:ser>
          <c:idx val="87"/>
          <c:order val="87"/>
          <c:tx>
            <c:v>x=0.0172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1.72E-2</c:v>
              </c:pt>
              <c:pt idx="1">
                <c:v>1.72E-2</c:v>
              </c:pt>
            </c:numLit>
          </c:yVal>
          <c:smooth val="0"/>
          <c:extLst>
            <c:ext xmlns:c16="http://schemas.microsoft.com/office/drawing/2014/chart" uri="{C3380CC4-5D6E-409C-BE32-E72D297353CC}">
              <c16:uniqueId val="{00000069-21C8-4265-8C74-3096BEE15578}"/>
            </c:ext>
          </c:extLst>
        </c:ser>
        <c:ser>
          <c:idx val="88"/>
          <c:order val="88"/>
          <c:tx>
            <c:v>x=0.0174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1.7400000000000002E-2</c:v>
              </c:pt>
              <c:pt idx="1">
                <c:v>1.7400000000000002E-2</c:v>
              </c:pt>
            </c:numLit>
          </c:yVal>
          <c:smooth val="0"/>
          <c:extLst>
            <c:ext xmlns:c16="http://schemas.microsoft.com/office/drawing/2014/chart" uri="{C3380CC4-5D6E-409C-BE32-E72D297353CC}">
              <c16:uniqueId val="{0000006A-21C8-4265-8C74-3096BEE15578}"/>
            </c:ext>
          </c:extLst>
        </c:ser>
        <c:ser>
          <c:idx val="89"/>
          <c:order val="89"/>
          <c:tx>
            <c:v>x=0.0176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1.7600000000000001E-2</c:v>
              </c:pt>
              <c:pt idx="1">
                <c:v>1.7600000000000001E-2</c:v>
              </c:pt>
            </c:numLit>
          </c:yVal>
          <c:smooth val="0"/>
          <c:extLst>
            <c:ext xmlns:c16="http://schemas.microsoft.com/office/drawing/2014/chart" uri="{C3380CC4-5D6E-409C-BE32-E72D297353CC}">
              <c16:uniqueId val="{0000006B-21C8-4265-8C74-3096BEE15578}"/>
            </c:ext>
          </c:extLst>
        </c:ser>
        <c:ser>
          <c:idx val="90"/>
          <c:order val="90"/>
          <c:tx>
            <c:v>x=0.0178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1.78E-2</c:v>
              </c:pt>
              <c:pt idx="1">
                <c:v>1.78E-2</c:v>
              </c:pt>
            </c:numLit>
          </c:yVal>
          <c:smooth val="0"/>
          <c:extLst>
            <c:ext xmlns:c16="http://schemas.microsoft.com/office/drawing/2014/chart" uri="{C3380CC4-5D6E-409C-BE32-E72D297353CC}">
              <c16:uniqueId val="{0000006C-21C8-4265-8C74-3096BEE15578}"/>
            </c:ext>
          </c:extLst>
        </c:ser>
        <c:ser>
          <c:idx val="91"/>
          <c:order val="91"/>
          <c:tx>
            <c:v>x=0.018</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0.018</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D-21C8-4265-8C74-3096BEE155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22.266756262425449</c:v>
              </c:pt>
              <c:pt idx="1">
                <c:v>50.8</c:v>
              </c:pt>
            </c:numLit>
          </c:xVal>
          <c:yVal>
            <c:numLit>
              <c:formatCode>General</c:formatCode>
              <c:ptCount val="2"/>
              <c:pt idx="0">
                <c:v>1.8000000000000002E-2</c:v>
              </c:pt>
              <c:pt idx="1">
                <c:v>1.8000000000000002E-2</c:v>
              </c:pt>
            </c:numLit>
          </c:yVal>
          <c:smooth val="0"/>
          <c:extLst>
            <c:ext xmlns:c16="http://schemas.microsoft.com/office/drawing/2014/chart" uri="{C3380CC4-5D6E-409C-BE32-E72D297353CC}">
              <c16:uniqueId val="{0000006E-21C8-4265-8C74-3096BEE15578}"/>
            </c:ext>
          </c:extLst>
        </c:ser>
        <c:ser>
          <c:idx val="92"/>
          <c:order val="92"/>
          <c:tx>
            <c:v>x=0.0182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1.8200000000000001E-2</c:v>
              </c:pt>
              <c:pt idx="1">
                <c:v>1.8200000000000001E-2</c:v>
              </c:pt>
            </c:numLit>
          </c:yVal>
          <c:smooth val="0"/>
          <c:extLst>
            <c:ext xmlns:c16="http://schemas.microsoft.com/office/drawing/2014/chart" uri="{C3380CC4-5D6E-409C-BE32-E72D297353CC}">
              <c16:uniqueId val="{0000006F-21C8-4265-8C74-3096BEE15578}"/>
            </c:ext>
          </c:extLst>
        </c:ser>
        <c:ser>
          <c:idx val="93"/>
          <c:order val="93"/>
          <c:tx>
            <c:v>x=0.0184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1.84E-2</c:v>
              </c:pt>
              <c:pt idx="1">
                <c:v>1.84E-2</c:v>
              </c:pt>
            </c:numLit>
          </c:yVal>
          <c:smooth val="0"/>
          <c:extLst>
            <c:ext xmlns:c16="http://schemas.microsoft.com/office/drawing/2014/chart" uri="{C3380CC4-5D6E-409C-BE32-E72D297353CC}">
              <c16:uniqueId val="{00000070-21C8-4265-8C74-3096BEE15578}"/>
            </c:ext>
          </c:extLst>
        </c:ser>
        <c:ser>
          <c:idx val="94"/>
          <c:order val="94"/>
          <c:tx>
            <c:v>x=0.0186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1.8600000000000002E-2</c:v>
              </c:pt>
              <c:pt idx="1">
                <c:v>1.8600000000000002E-2</c:v>
              </c:pt>
            </c:numLit>
          </c:yVal>
          <c:smooth val="0"/>
          <c:extLst>
            <c:ext xmlns:c16="http://schemas.microsoft.com/office/drawing/2014/chart" uri="{C3380CC4-5D6E-409C-BE32-E72D297353CC}">
              <c16:uniqueId val="{00000071-21C8-4265-8C74-3096BEE15578}"/>
            </c:ext>
          </c:extLst>
        </c:ser>
        <c:ser>
          <c:idx val="95"/>
          <c:order val="95"/>
          <c:tx>
            <c:v>x=0.0188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1.8800000000000001E-2</c:v>
              </c:pt>
              <c:pt idx="1">
                <c:v>1.8800000000000001E-2</c:v>
              </c:pt>
            </c:numLit>
          </c:yVal>
          <c:smooth val="0"/>
          <c:extLst>
            <c:ext xmlns:c16="http://schemas.microsoft.com/office/drawing/2014/chart" uri="{C3380CC4-5D6E-409C-BE32-E72D297353CC}">
              <c16:uniqueId val="{00000072-21C8-4265-8C74-3096BEE15578}"/>
            </c:ext>
          </c:extLst>
        </c:ser>
        <c:ser>
          <c:idx val="96"/>
          <c:order val="96"/>
          <c:tx>
            <c:v>x=0.019</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0.019</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3-21C8-4265-8C74-3096BEE155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23.117694035785291</c:v>
              </c:pt>
              <c:pt idx="1">
                <c:v>50.8</c:v>
              </c:pt>
            </c:numLit>
          </c:xVal>
          <c:yVal>
            <c:numLit>
              <c:formatCode>General</c:formatCode>
              <c:ptCount val="2"/>
              <c:pt idx="0">
                <c:v>1.9E-2</c:v>
              </c:pt>
              <c:pt idx="1">
                <c:v>1.9E-2</c:v>
              </c:pt>
            </c:numLit>
          </c:yVal>
          <c:smooth val="0"/>
          <c:extLst>
            <c:ext xmlns:c16="http://schemas.microsoft.com/office/drawing/2014/chart" uri="{C3380CC4-5D6E-409C-BE32-E72D297353CC}">
              <c16:uniqueId val="{00000074-21C8-4265-8C74-3096BEE15578}"/>
            </c:ext>
          </c:extLst>
        </c:ser>
        <c:ser>
          <c:idx val="97"/>
          <c:order val="97"/>
          <c:tx>
            <c:v>x=0.0192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1.9200000000000002E-2</c:v>
              </c:pt>
              <c:pt idx="1">
                <c:v>1.9200000000000002E-2</c:v>
              </c:pt>
            </c:numLit>
          </c:yVal>
          <c:smooth val="0"/>
          <c:extLst>
            <c:ext xmlns:c16="http://schemas.microsoft.com/office/drawing/2014/chart" uri="{C3380CC4-5D6E-409C-BE32-E72D297353CC}">
              <c16:uniqueId val="{00000075-21C8-4265-8C74-3096BEE15578}"/>
            </c:ext>
          </c:extLst>
        </c:ser>
        <c:ser>
          <c:idx val="98"/>
          <c:order val="98"/>
          <c:tx>
            <c:v>x=0.0194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1.9400000000000001E-2</c:v>
              </c:pt>
              <c:pt idx="1">
                <c:v>1.9400000000000001E-2</c:v>
              </c:pt>
            </c:numLit>
          </c:yVal>
          <c:smooth val="0"/>
          <c:extLst>
            <c:ext xmlns:c16="http://schemas.microsoft.com/office/drawing/2014/chart" uri="{C3380CC4-5D6E-409C-BE32-E72D297353CC}">
              <c16:uniqueId val="{00000076-21C8-4265-8C74-3096BEE15578}"/>
            </c:ext>
          </c:extLst>
        </c:ser>
        <c:ser>
          <c:idx val="99"/>
          <c:order val="99"/>
          <c:tx>
            <c:v>x=0.0196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1.9599999999999999E-2</c:v>
              </c:pt>
              <c:pt idx="1">
                <c:v>1.9599999999999999E-2</c:v>
              </c:pt>
            </c:numLit>
          </c:yVal>
          <c:smooth val="0"/>
          <c:extLst>
            <c:ext xmlns:c16="http://schemas.microsoft.com/office/drawing/2014/chart" uri="{C3380CC4-5D6E-409C-BE32-E72D297353CC}">
              <c16:uniqueId val="{00000077-21C8-4265-8C74-3096BEE15578}"/>
            </c:ext>
          </c:extLst>
        </c:ser>
        <c:ser>
          <c:idx val="100"/>
          <c:order val="100"/>
          <c:tx>
            <c:v>x=0.0198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1.9800000000000002E-2</c:v>
              </c:pt>
              <c:pt idx="1">
                <c:v>1.9800000000000002E-2</c:v>
              </c:pt>
            </c:numLit>
          </c:yVal>
          <c:smooth val="0"/>
          <c:extLst>
            <c:ext xmlns:c16="http://schemas.microsoft.com/office/drawing/2014/chart" uri="{C3380CC4-5D6E-409C-BE32-E72D297353CC}">
              <c16:uniqueId val="{00000078-21C8-4265-8C74-3096BEE15578}"/>
            </c:ext>
          </c:extLst>
        </c:ser>
        <c:ser>
          <c:idx val="101"/>
          <c:order val="101"/>
          <c:tx>
            <c:v>x=0.02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0.020</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9-21C8-4265-8C74-3096BEE155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23.930369781312127</c:v>
              </c:pt>
              <c:pt idx="1">
                <c:v>50.8</c:v>
              </c:pt>
            </c:numLit>
          </c:xVal>
          <c:yVal>
            <c:numLit>
              <c:formatCode>General</c:formatCode>
              <c:ptCount val="2"/>
              <c:pt idx="0">
                <c:v>0.02</c:v>
              </c:pt>
              <c:pt idx="1">
                <c:v>0.02</c:v>
              </c:pt>
            </c:numLit>
          </c:yVal>
          <c:smooth val="0"/>
          <c:extLst>
            <c:ext xmlns:c16="http://schemas.microsoft.com/office/drawing/2014/chart" uri="{C3380CC4-5D6E-409C-BE32-E72D297353CC}">
              <c16:uniqueId val="{0000007A-21C8-4265-8C74-3096BEE15578}"/>
            </c:ext>
          </c:extLst>
        </c:ser>
        <c:ser>
          <c:idx val="102"/>
          <c:order val="102"/>
          <c:tx>
            <c:v>x=0.0202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2.0200000000000003E-2</c:v>
              </c:pt>
              <c:pt idx="1">
                <c:v>2.0200000000000003E-2</c:v>
              </c:pt>
            </c:numLit>
          </c:yVal>
          <c:smooth val="0"/>
          <c:extLst>
            <c:ext xmlns:c16="http://schemas.microsoft.com/office/drawing/2014/chart" uri="{C3380CC4-5D6E-409C-BE32-E72D297353CC}">
              <c16:uniqueId val="{0000007B-21C8-4265-8C74-3096BEE15578}"/>
            </c:ext>
          </c:extLst>
        </c:ser>
        <c:ser>
          <c:idx val="103"/>
          <c:order val="103"/>
          <c:tx>
            <c:v>x=0.0204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2.0400000000000001E-2</c:v>
              </c:pt>
              <c:pt idx="1">
                <c:v>2.0400000000000001E-2</c:v>
              </c:pt>
            </c:numLit>
          </c:yVal>
          <c:smooth val="0"/>
          <c:extLst>
            <c:ext xmlns:c16="http://schemas.microsoft.com/office/drawing/2014/chart" uri="{C3380CC4-5D6E-409C-BE32-E72D297353CC}">
              <c16:uniqueId val="{0000007C-21C8-4265-8C74-3096BEE15578}"/>
            </c:ext>
          </c:extLst>
        </c:ser>
        <c:ser>
          <c:idx val="104"/>
          <c:order val="104"/>
          <c:tx>
            <c:v>x=0.0206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2.06E-2</c:v>
              </c:pt>
              <c:pt idx="1">
                <c:v>2.06E-2</c:v>
              </c:pt>
            </c:numLit>
          </c:yVal>
          <c:smooth val="0"/>
          <c:extLst>
            <c:ext xmlns:c16="http://schemas.microsoft.com/office/drawing/2014/chart" uri="{C3380CC4-5D6E-409C-BE32-E72D297353CC}">
              <c16:uniqueId val="{0000007D-21C8-4265-8C74-3096BEE15578}"/>
            </c:ext>
          </c:extLst>
        </c:ser>
        <c:ser>
          <c:idx val="105"/>
          <c:order val="105"/>
          <c:tx>
            <c:v>x=0.0208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2.0800000000000003E-2</c:v>
              </c:pt>
              <c:pt idx="1">
                <c:v>2.0800000000000003E-2</c:v>
              </c:pt>
            </c:numLit>
          </c:yVal>
          <c:smooth val="0"/>
          <c:extLst>
            <c:ext xmlns:c16="http://schemas.microsoft.com/office/drawing/2014/chart" uri="{C3380CC4-5D6E-409C-BE32-E72D297353CC}">
              <c16:uniqueId val="{0000007E-21C8-4265-8C74-3096BEE15578}"/>
            </c:ext>
          </c:extLst>
        </c:ser>
        <c:ser>
          <c:idx val="106"/>
          <c:order val="106"/>
          <c:tx>
            <c:v>x=0.021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0.021</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F-21C8-4265-8C74-3096BEE155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24.714949900596423</c:v>
              </c:pt>
              <c:pt idx="1">
                <c:v>50.8</c:v>
              </c:pt>
            </c:numLit>
          </c:xVal>
          <c:yVal>
            <c:numLit>
              <c:formatCode>General</c:formatCode>
              <c:ptCount val="2"/>
              <c:pt idx="0">
                <c:v>2.1000000000000001E-2</c:v>
              </c:pt>
              <c:pt idx="1">
                <c:v>2.1000000000000001E-2</c:v>
              </c:pt>
            </c:numLit>
          </c:yVal>
          <c:smooth val="0"/>
          <c:extLst>
            <c:ext xmlns:c16="http://schemas.microsoft.com/office/drawing/2014/chart" uri="{C3380CC4-5D6E-409C-BE32-E72D297353CC}">
              <c16:uniqueId val="{00000080-21C8-4265-8C74-3096BEE15578}"/>
            </c:ext>
          </c:extLst>
        </c:ser>
        <c:ser>
          <c:idx val="107"/>
          <c:order val="107"/>
          <c:tx>
            <c:v>x=0.0212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2.12E-2</c:v>
              </c:pt>
              <c:pt idx="1">
                <c:v>2.12E-2</c:v>
              </c:pt>
            </c:numLit>
          </c:yVal>
          <c:smooth val="0"/>
          <c:extLst>
            <c:ext xmlns:c16="http://schemas.microsoft.com/office/drawing/2014/chart" uri="{C3380CC4-5D6E-409C-BE32-E72D297353CC}">
              <c16:uniqueId val="{00000081-21C8-4265-8C74-3096BEE15578}"/>
            </c:ext>
          </c:extLst>
        </c:ser>
        <c:ser>
          <c:idx val="108"/>
          <c:order val="108"/>
          <c:tx>
            <c:v>x=0.0214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2.1400000000000002E-2</c:v>
              </c:pt>
              <c:pt idx="1">
                <c:v>2.1400000000000002E-2</c:v>
              </c:pt>
            </c:numLit>
          </c:yVal>
          <c:smooth val="0"/>
          <c:extLst>
            <c:ext xmlns:c16="http://schemas.microsoft.com/office/drawing/2014/chart" uri="{C3380CC4-5D6E-409C-BE32-E72D297353CC}">
              <c16:uniqueId val="{00000082-21C8-4265-8C74-3096BEE15578}"/>
            </c:ext>
          </c:extLst>
        </c:ser>
        <c:ser>
          <c:idx val="109"/>
          <c:order val="109"/>
          <c:tx>
            <c:v>x=0.0216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2.1600000000000001E-2</c:v>
              </c:pt>
              <c:pt idx="1">
                <c:v>2.1600000000000001E-2</c:v>
              </c:pt>
            </c:numLit>
          </c:yVal>
          <c:smooth val="0"/>
          <c:extLst>
            <c:ext xmlns:c16="http://schemas.microsoft.com/office/drawing/2014/chart" uri="{C3380CC4-5D6E-409C-BE32-E72D297353CC}">
              <c16:uniqueId val="{00000083-21C8-4265-8C74-3096BEE15578}"/>
            </c:ext>
          </c:extLst>
        </c:ser>
        <c:ser>
          <c:idx val="110"/>
          <c:order val="110"/>
          <c:tx>
            <c:v>x=0.0218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2.18E-2</c:v>
              </c:pt>
              <c:pt idx="1">
                <c:v>2.18E-2</c:v>
              </c:pt>
            </c:numLit>
          </c:yVal>
          <c:smooth val="0"/>
          <c:extLst>
            <c:ext xmlns:c16="http://schemas.microsoft.com/office/drawing/2014/chart" uri="{C3380CC4-5D6E-409C-BE32-E72D297353CC}">
              <c16:uniqueId val="{00000084-21C8-4265-8C74-3096BEE15578}"/>
            </c:ext>
          </c:extLst>
        </c:ser>
        <c:ser>
          <c:idx val="111"/>
          <c:order val="111"/>
          <c:tx>
            <c:v>x=0.022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0.022</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5-21C8-4265-8C74-3096BEE155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25.460861232604376</c:v>
              </c:pt>
              <c:pt idx="1">
                <c:v>50.8</c:v>
              </c:pt>
            </c:numLit>
          </c:xVal>
          <c:yVal>
            <c:numLit>
              <c:formatCode>General</c:formatCode>
              <c:ptCount val="2"/>
              <c:pt idx="0">
                <c:v>2.2000000000000002E-2</c:v>
              </c:pt>
              <c:pt idx="1">
                <c:v>2.2000000000000002E-2</c:v>
              </c:pt>
            </c:numLit>
          </c:yVal>
          <c:smooth val="0"/>
          <c:extLst>
            <c:ext xmlns:c16="http://schemas.microsoft.com/office/drawing/2014/chart" uri="{C3380CC4-5D6E-409C-BE32-E72D297353CC}">
              <c16:uniqueId val="{00000086-21C8-4265-8C74-3096BEE15578}"/>
            </c:ext>
          </c:extLst>
        </c:ser>
        <c:ser>
          <c:idx val="112"/>
          <c:order val="112"/>
          <c:tx>
            <c:v>x=0.0222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2.2200000000000001E-2</c:v>
              </c:pt>
              <c:pt idx="1">
                <c:v>2.2200000000000001E-2</c:v>
              </c:pt>
            </c:numLit>
          </c:yVal>
          <c:smooth val="0"/>
          <c:extLst>
            <c:ext xmlns:c16="http://schemas.microsoft.com/office/drawing/2014/chart" uri="{C3380CC4-5D6E-409C-BE32-E72D297353CC}">
              <c16:uniqueId val="{00000087-21C8-4265-8C74-3096BEE15578}"/>
            </c:ext>
          </c:extLst>
        </c:ser>
        <c:ser>
          <c:idx val="113"/>
          <c:order val="113"/>
          <c:tx>
            <c:v>x=0.0224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2.24E-2</c:v>
              </c:pt>
              <c:pt idx="1">
                <c:v>2.24E-2</c:v>
              </c:pt>
            </c:numLit>
          </c:yVal>
          <c:smooth val="0"/>
          <c:extLst>
            <c:ext xmlns:c16="http://schemas.microsoft.com/office/drawing/2014/chart" uri="{C3380CC4-5D6E-409C-BE32-E72D297353CC}">
              <c16:uniqueId val="{00000088-21C8-4265-8C74-3096BEE15578}"/>
            </c:ext>
          </c:extLst>
        </c:ser>
        <c:ser>
          <c:idx val="114"/>
          <c:order val="114"/>
          <c:tx>
            <c:v>x=0.0226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2.2600000000000002E-2</c:v>
              </c:pt>
              <c:pt idx="1">
                <c:v>2.2600000000000002E-2</c:v>
              </c:pt>
            </c:numLit>
          </c:yVal>
          <c:smooth val="0"/>
          <c:extLst>
            <c:ext xmlns:c16="http://schemas.microsoft.com/office/drawing/2014/chart" uri="{C3380CC4-5D6E-409C-BE32-E72D297353CC}">
              <c16:uniqueId val="{00000089-21C8-4265-8C74-3096BEE15578}"/>
            </c:ext>
          </c:extLst>
        </c:ser>
        <c:ser>
          <c:idx val="115"/>
          <c:order val="115"/>
          <c:tx>
            <c:v>x=0.0228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2.2800000000000001E-2</c:v>
              </c:pt>
              <c:pt idx="1">
                <c:v>2.2800000000000001E-2</c:v>
              </c:pt>
            </c:numLit>
          </c:yVal>
          <c:smooth val="0"/>
          <c:extLst>
            <c:ext xmlns:c16="http://schemas.microsoft.com/office/drawing/2014/chart" uri="{C3380CC4-5D6E-409C-BE32-E72D297353CC}">
              <c16:uniqueId val="{0000008A-21C8-4265-8C74-3096BEE15578}"/>
            </c:ext>
          </c:extLst>
        </c:ser>
        <c:ser>
          <c:idx val="116"/>
          <c:order val="116"/>
          <c:tx>
            <c:v>x=0.023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0.023</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B-21C8-4265-8C74-3096BEE155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26.178307157057652</c:v>
              </c:pt>
              <c:pt idx="1">
                <c:v>50.8</c:v>
              </c:pt>
            </c:numLit>
          </c:xVal>
          <c:yVal>
            <c:numLit>
              <c:formatCode>General</c:formatCode>
              <c:ptCount val="2"/>
              <c:pt idx="0">
                <c:v>2.3E-2</c:v>
              </c:pt>
              <c:pt idx="1">
                <c:v>2.3E-2</c:v>
              </c:pt>
            </c:numLit>
          </c:yVal>
          <c:smooth val="0"/>
          <c:extLst>
            <c:ext xmlns:c16="http://schemas.microsoft.com/office/drawing/2014/chart" uri="{C3380CC4-5D6E-409C-BE32-E72D297353CC}">
              <c16:uniqueId val="{0000008C-21C8-4265-8C74-3096BEE15578}"/>
            </c:ext>
          </c:extLst>
        </c:ser>
        <c:ser>
          <c:idx val="117"/>
          <c:order val="117"/>
          <c:tx>
            <c:v>x=0.0232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2.3200000000000002E-2</c:v>
              </c:pt>
              <c:pt idx="1">
                <c:v>2.3200000000000002E-2</c:v>
              </c:pt>
            </c:numLit>
          </c:yVal>
          <c:smooth val="0"/>
          <c:extLst>
            <c:ext xmlns:c16="http://schemas.microsoft.com/office/drawing/2014/chart" uri="{C3380CC4-5D6E-409C-BE32-E72D297353CC}">
              <c16:uniqueId val="{0000008D-21C8-4265-8C74-3096BEE15578}"/>
            </c:ext>
          </c:extLst>
        </c:ser>
        <c:ser>
          <c:idx val="118"/>
          <c:order val="118"/>
          <c:tx>
            <c:v>x=0.0234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2.3400000000000001E-2</c:v>
              </c:pt>
              <c:pt idx="1">
                <c:v>2.3400000000000001E-2</c:v>
              </c:pt>
            </c:numLit>
          </c:yVal>
          <c:smooth val="0"/>
          <c:extLst>
            <c:ext xmlns:c16="http://schemas.microsoft.com/office/drawing/2014/chart" uri="{C3380CC4-5D6E-409C-BE32-E72D297353CC}">
              <c16:uniqueId val="{0000008E-21C8-4265-8C74-3096BEE15578}"/>
            </c:ext>
          </c:extLst>
        </c:ser>
        <c:ser>
          <c:idx val="119"/>
          <c:order val="119"/>
          <c:tx>
            <c:v>x=0.0236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2.3599999999999999E-2</c:v>
              </c:pt>
              <c:pt idx="1">
                <c:v>2.3599999999999999E-2</c:v>
              </c:pt>
            </c:numLit>
          </c:yVal>
          <c:smooth val="0"/>
          <c:extLst>
            <c:ext xmlns:c16="http://schemas.microsoft.com/office/drawing/2014/chart" uri="{C3380CC4-5D6E-409C-BE32-E72D297353CC}">
              <c16:uniqueId val="{0000008F-21C8-4265-8C74-3096BEE15578}"/>
            </c:ext>
          </c:extLst>
        </c:ser>
        <c:ser>
          <c:idx val="120"/>
          <c:order val="120"/>
          <c:tx>
            <c:v>x=0.0238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2.3800000000000002E-2</c:v>
              </c:pt>
              <c:pt idx="1">
                <c:v>2.3800000000000002E-2</c:v>
              </c:pt>
            </c:numLit>
          </c:yVal>
          <c:smooth val="0"/>
          <c:extLst>
            <c:ext xmlns:c16="http://schemas.microsoft.com/office/drawing/2014/chart" uri="{C3380CC4-5D6E-409C-BE32-E72D297353CC}">
              <c16:uniqueId val="{00000090-21C8-4265-8C74-3096BEE15578}"/>
            </c:ext>
          </c:extLst>
        </c:ser>
        <c:ser>
          <c:idx val="121"/>
          <c:order val="121"/>
          <c:tx>
            <c:v>x=0.024</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0.024</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1-21C8-4265-8C74-3096BEE155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26.867121272365807</c:v>
              </c:pt>
              <c:pt idx="1">
                <c:v>50.8</c:v>
              </c:pt>
            </c:numLit>
          </c:xVal>
          <c:yVal>
            <c:numLit>
              <c:formatCode>General</c:formatCode>
              <c:ptCount val="2"/>
              <c:pt idx="0">
                <c:v>2.4E-2</c:v>
              </c:pt>
              <c:pt idx="1">
                <c:v>2.4E-2</c:v>
              </c:pt>
            </c:numLit>
          </c:yVal>
          <c:smooth val="0"/>
          <c:extLst>
            <c:ext xmlns:c16="http://schemas.microsoft.com/office/drawing/2014/chart" uri="{C3380CC4-5D6E-409C-BE32-E72D297353CC}">
              <c16:uniqueId val="{00000092-21C8-4265-8C74-3096BEE15578}"/>
            </c:ext>
          </c:extLst>
        </c:ser>
        <c:ser>
          <c:idx val="122"/>
          <c:order val="122"/>
          <c:tx>
            <c:v>x=0.0242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2.4200000000000003E-2</c:v>
              </c:pt>
              <c:pt idx="1">
                <c:v>2.4200000000000003E-2</c:v>
              </c:pt>
            </c:numLit>
          </c:yVal>
          <c:smooth val="0"/>
          <c:extLst>
            <c:ext xmlns:c16="http://schemas.microsoft.com/office/drawing/2014/chart" uri="{C3380CC4-5D6E-409C-BE32-E72D297353CC}">
              <c16:uniqueId val="{00000093-21C8-4265-8C74-3096BEE15578}"/>
            </c:ext>
          </c:extLst>
        </c:ser>
        <c:ser>
          <c:idx val="123"/>
          <c:order val="123"/>
          <c:tx>
            <c:v>x=0.0244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2.4400000000000002E-2</c:v>
              </c:pt>
              <c:pt idx="1">
                <c:v>2.4400000000000002E-2</c:v>
              </c:pt>
            </c:numLit>
          </c:yVal>
          <c:smooth val="0"/>
          <c:extLst>
            <c:ext xmlns:c16="http://schemas.microsoft.com/office/drawing/2014/chart" uri="{C3380CC4-5D6E-409C-BE32-E72D297353CC}">
              <c16:uniqueId val="{00000094-21C8-4265-8C74-3096BEE15578}"/>
            </c:ext>
          </c:extLst>
        </c:ser>
        <c:ser>
          <c:idx val="124"/>
          <c:order val="124"/>
          <c:tx>
            <c:v>x=0.0246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2.46E-2</c:v>
              </c:pt>
              <c:pt idx="1">
                <c:v>2.46E-2</c:v>
              </c:pt>
            </c:numLit>
          </c:yVal>
          <c:smooth val="0"/>
          <c:extLst>
            <c:ext xmlns:c16="http://schemas.microsoft.com/office/drawing/2014/chart" uri="{C3380CC4-5D6E-409C-BE32-E72D297353CC}">
              <c16:uniqueId val="{00000095-21C8-4265-8C74-3096BEE15578}"/>
            </c:ext>
          </c:extLst>
        </c:ser>
        <c:ser>
          <c:idx val="125"/>
          <c:order val="125"/>
          <c:tx>
            <c:v>x=0.0248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2.4800000000000003E-2</c:v>
              </c:pt>
              <c:pt idx="1">
                <c:v>2.4800000000000003E-2</c:v>
              </c:pt>
            </c:numLit>
          </c:yVal>
          <c:smooth val="0"/>
          <c:extLst>
            <c:ext xmlns:c16="http://schemas.microsoft.com/office/drawing/2014/chart" uri="{C3380CC4-5D6E-409C-BE32-E72D297353CC}">
              <c16:uniqueId val="{00000096-21C8-4265-8C74-3096BEE15578}"/>
            </c:ext>
          </c:extLst>
        </c:ser>
        <c:ser>
          <c:idx val="126"/>
          <c:order val="126"/>
          <c:tx>
            <c:v>x=0.025</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0.025</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7-21C8-4265-8C74-3096BEE155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27.527137176938368</c:v>
              </c:pt>
              <c:pt idx="1">
                <c:v>50.8</c:v>
              </c:pt>
            </c:numLit>
          </c:xVal>
          <c:yVal>
            <c:numLit>
              <c:formatCode>General</c:formatCode>
              <c:ptCount val="2"/>
              <c:pt idx="0">
                <c:v>2.5000000000000001E-2</c:v>
              </c:pt>
              <c:pt idx="1">
                <c:v>2.5000000000000001E-2</c:v>
              </c:pt>
            </c:numLit>
          </c:yVal>
          <c:smooth val="0"/>
          <c:extLst>
            <c:ext xmlns:c16="http://schemas.microsoft.com/office/drawing/2014/chart" uri="{C3380CC4-5D6E-409C-BE32-E72D297353CC}">
              <c16:uniqueId val="{00000098-21C8-4265-8C74-3096BEE15578}"/>
            </c:ext>
          </c:extLst>
        </c:ser>
        <c:ser>
          <c:idx val="127"/>
          <c:order val="127"/>
          <c:tx>
            <c:v>x=0.0252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2.52E-2</c:v>
              </c:pt>
              <c:pt idx="1">
                <c:v>2.52E-2</c:v>
              </c:pt>
            </c:numLit>
          </c:yVal>
          <c:smooth val="0"/>
          <c:extLst>
            <c:ext xmlns:c16="http://schemas.microsoft.com/office/drawing/2014/chart" uri="{C3380CC4-5D6E-409C-BE32-E72D297353CC}">
              <c16:uniqueId val="{00000099-21C8-4265-8C74-3096BEE15578}"/>
            </c:ext>
          </c:extLst>
        </c:ser>
        <c:ser>
          <c:idx val="128"/>
          <c:order val="128"/>
          <c:tx>
            <c:v>x=0.0254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2.5400000000000002E-2</c:v>
              </c:pt>
              <c:pt idx="1">
                <c:v>2.5400000000000002E-2</c:v>
              </c:pt>
            </c:numLit>
          </c:yVal>
          <c:smooth val="0"/>
          <c:extLst>
            <c:ext xmlns:c16="http://schemas.microsoft.com/office/drawing/2014/chart" uri="{C3380CC4-5D6E-409C-BE32-E72D297353CC}">
              <c16:uniqueId val="{0000009A-21C8-4265-8C74-3096BEE15578}"/>
            </c:ext>
          </c:extLst>
        </c:ser>
        <c:ser>
          <c:idx val="129"/>
          <c:order val="129"/>
          <c:tx>
            <c:v>x=0.0256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2.5600000000000001E-2</c:v>
              </c:pt>
              <c:pt idx="1">
                <c:v>2.5600000000000001E-2</c:v>
              </c:pt>
            </c:numLit>
          </c:yVal>
          <c:smooth val="0"/>
          <c:extLst>
            <c:ext xmlns:c16="http://schemas.microsoft.com/office/drawing/2014/chart" uri="{C3380CC4-5D6E-409C-BE32-E72D297353CC}">
              <c16:uniqueId val="{0000009B-21C8-4265-8C74-3096BEE15578}"/>
            </c:ext>
          </c:extLst>
        </c:ser>
        <c:ser>
          <c:idx val="130"/>
          <c:order val="130"/>
          <c:tx>
            <c:v>x=0.0258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2.58E-2</c:v>
              </c:pt>
              <c:pt idx="1">
                <c:v>2.58E-2</c:v>
              </c:pt>
            </c:numLit>
          </c:yVal>
          <c:smooth val="0"/>
          <c:extLst>
            <c:ext xmlns:c16="http://schemas.microsoft.com/office/drawing/2014/chart" uri="{C3380CC4-5D6E-409C-BE32-E72D297353CC}">
              <c16:uniqueId val="{0000009C-21C8-4265-8C74-3096BEE15578}"/>
            </c:ext>
          </c:extLst>
        </c:ser>
        <c:ser>
          <c:idx val="131"/>
          <c:order val="131"/>
          <c:tx>
            <c:v>x=0.026</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0.026</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D-21C8-4265-8C74-3096BEE155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28.168669184890657</c:v>
              </c:pt>
              <c:pt idx="1">
                <c:v>50.8</c:v>
              </c:pt>
            </c:numLit>
          </c:xVal>
          <c:yVal>
            <c:numLit>
              <c:formatCode>General</c:formatCode>
              <c:ptCount val="2"/>
              <c:pt idx="0">
                <c:v>2.6000000000000002E-2</c:v>
              </c:pt>
              <c:pt idx="1">
                <c:v>2.6000000000000002E-2</c:v>
              </c:pt>
            </c:numLit>
          </c:yVal>
          <c:smooth val="0"/>
          <c:extLst>
            <c:ext xmlns:c16="http://schemas.microsoft.com/office/drawing/2014/chart" uri="{C3380CC4-5D6E-409C-BE32-E72D297353CC}">
              <c16:uniqueId val="{0000009E-21C8-4265-8C74-3096BEE15578}"/>
            </c:ext>
          </c:extLst>
        </c:ser>
        <c:ser>
          <c:idx val="132"/>
          <c:order val="132"/>
          <c:tx>
            <c:v>x=0.0262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2.6200000000000001E-2</c:v>
              </c:pt>
              <c:pt idx="1">
                <c:v>2.6200000000000001E-2</c:v>
              </c:pt>
            </c:numLit>
          </c:yVal>
          <c:smooth val="0"/>
          <c:extLst>
            <c:ext xmlns:c16="http://schemas.microsoft.com/office/drawing/2014/chart" uri="{C3380CC4-5D6E-409C-BE32-E72D297353CC}">
              <c16:uniqueId val="{0000009F-21C8-4265-8C74-3096BEE15578}"/>
            </c:ext>
          </c:extLst>
        </c:ser>
        <c:ser>
          <c:idx val="133"/>
          <c:order val="133"/>
          <c:tx>
            <c:v>x=0.0264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2.64E-2</c:v>
              </c:pt>
              <c:pt idx="1">
                <c:v>2.64E-2</c:v>
              </c:pt>
            </c:numLit>
          </c:yVal>
          <c:smooth val="0"/>
          <c:extLst>
            <c:ext xmlns:c16="http://schemas.microsoft.com/office/drawing/2014/chart" uri="{C3380CC4-5D6E-409C-BE32-E72D297353CC}">
              <c16:uniqueId val="{000000A0-21C8-4265-8C74-3096BEE15578}"/>
            </c:ext>
          </c:extLst>
        </c:ser>
        <c:ser>
          <c:idx val="134"/>
          <c:order val="134"/>
          <c:tx>
            <c:v>x=0.0266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2.6600000000000002E-2</c:v>
              </c:pt>
              <c:pt idx="1">
                <c:v>2.6600000000000002E-2</c:v>
              </c:pt>
            </c:numLit>
          </c:yVal>
          <c:smooth val="0"/>
          <c:extLst>
            <c:ext xmlns:c16="http://schemas.microsoft.com/office/drawing/2014/chart" uri="{C3380CC4-5D6E-409C-BE32-E72D297353CC}">
              <c16:uniqueId val="{000000A1-21C8-4265-8C74-3096BEE15578}"/>
            </c:ext>
          </c:extLst>
        </c:ser>
        <c:ser>
          <c:idx val="135"/>
          <c:order val="135"/>
          <c:tx>
            <c:v>x=0.0268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2.6800000000000001E-2</c:v>
              </c:pt>
              <c:pt idx="1">
                <c:v>2.6800000000000001E-2</c:v>
              </c:pt>
            </c:numLit>
          </c:yVal>
          <c:smooth val="0"/>
          <c:extLst>
            <c:ext xmlns:c16="http://schemas.microsoft.com/office/drawing/2014/chart" uri="{C3380CC4-5D6E-409C-BE32-E72D297353CC}">
              <c16:uniqueId val="{000000A2-21C8-4265-8C74-3096BEE15578}"/>
            </c:ext>
          </c:extLst>
        </c:ser>
        <c:ser>
          <c:idx val="136"/>
          <c:order val="136"/>
          <c:tx>
            <c:v>x=0.027</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0.027</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3-21C8-4265-8C74-3096BEE155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28.791606361829029</c:v>
              </c:pt>
              <c:pt idx="1">
                <c:v>50.8</c:v>
              </c:pt>
            </c:numLit>
          </c:xVal>
          <c:yVal>
            <c:numLit>
              <c:formatCode>General</c:formatCode>
              <c:ptCount val="2"/>
              <c:pt idx="0">
                <c:v>2.7E-2</c:v>
              </c:pt>
              <c:pt idx="1">
                <c:v>2.7E-2</c:v>
              </c:pt>
            </c:numLit>
          </c:yVal>
          <c:smooth val="0"/>
          <c:extLst>
            <c:ext xmlns:c16="http://schemas.microsoft.com/office/drawing/2014/chart" uri="{C3380CC4-5D6E-409C-BE32-E72D297353CC}">
              <c16:uniqueId val="{000000A4-21C8-4265-8C74-3096BEE15578}"/>
            </c:ext>
          </c:extLst>
        </c:ser>
        <c:ser>
          <c:idx val="137"/>
          <c:order val="137"/>
          <c:tx>
            <c:v>x=0.0272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2.7200000000000002E-2</c:v>
              </c:pt>
              <c:pt idx="1">
                <c:v>2.7200000000000002E-2</c:v>
              </c:pt>
            </c:numLit>
          </c:yVal>
          <c:smooth val="0"/>
          <c:extLst>
            <c:ext xmlns:c16="http://schemas.microsoft.com/office/drawing/2014/chart" uri="{C3380CC4-5D6E-409C-BE32-E72D297353CC}">
              <c16:uniqueId val="{000000A5-21C8-4265-8C74-3096BEE15578}"/>
            </c:ext>
          </c:extLst>
        </c:ser>
        <c:ser>
          <c:idx val="138"/>
          <c:order val="138"/>
          <c:tx>
            <c:v>x=0.0274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2.7400000000000001E-2</c:v>
              </c:pt>
              <c:pt idx="1">
                <c:v>2.7400000000000001E-2</c:v>
              </c:pt>
            </c:numLit>
          </c:yVal>
          <c:smooth val="0"/>
          <c:extLst>
            <c:ext xmlns:c16="http://schemas.microsoft.com/office/drawing/2014/chart" uri="{C3380CC4-5D6E-409C-BE32-E72D297353CC}">
              <c16:uniqueId val="{000000A6-21C8-4265-8C74-3096BEE15578}"/>
            </c:ext>
          </c:extLst>
        </c:ser>
        <c:ser>
          <c:idx val="139"/>
          <c:order val="139"/>
          <c:tx>
            <c:v>x=0.0276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2.7600000000000003E-2</c:v>
              </c:pt>
              <c:pt idx="1">
                <c:v>2.7600000000000003E-2</c:v>
              </c:pt>
            </c:numLit>
          </c:yVal>
          <c:smooth val="0"/>
          <c:extLst>
            <c:ext xmlns:c16="http://schemas.microsoft.com/office/drawing/2014/chart" uri="{C3380CC4-5D6E-409C-BE32-E72D297353CC}">
              <c16:uniqueId val="{000000A7-21C8-4265-8C74-3096BEE15578}"/>
            </c:ext>
          </c:extLst>
        </c:ser>
        <c:ser>
          <c:idx val="140"/>
          <c:order val="140"/>
          <c:tx>
            <c:v>x=0.0278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2.7800000000000002E-2</c:v>
              </c:pt>
              <c:pt idx="1">
                <c:v>2.7800000000000002E-2</c:v>
              </c:pt>
            </c:numLit>
          </c:yVal>
          <c:smooth val="0"/>
          <c:extLst>
            <c:ext xmlns:c16="http://schemas.microsoft.com/office/drawing/2014/chart" uri="{C3380CC4-5D6E-409C-BE32-E72D297353CC}">
              <c16:uniqueId val="{000000A8-21C8-4265-8C74-3096BEE15578}"/>
            </c:ext>
          </c:extLst>
        </c:ser>
        <c:ser>
          <c:idx val="141"/>
          <c:order val="141"/>
          <c:tx>
            <c:v>x=0.028</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0.028</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9-21C8-4265-8C74-3096BEE155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29.385320079522867</c:v>
              </c:pt>
              <c:pt idx="1">
                <c:v>50.8</c:v>
              </c:pt>
            </c:numLit>
          </c:xVal>
          <c:yVal>
            <c:numLit>
              <c:formatCode>General</c:formatCode>
              <c:ptCount val="2"/>
              <c:pt idx="0">
                <c:v>2.8000000000000001E-2</c:v>
              </c:pt>
              <c:pt idx="1">
                <c:v>2.8000000000000001E-2</c:v>
              </c:pt>
            </c:numLit>
          </c:yVal>
          <c:smooth val="0"/>
          <c:extLst>
            <c:ext xmlns:c16="http://schemas.microsoft.com/office/drawing/2014/chart" uri="{C3380CC4-5D6E-409C-BE32-E72D297353CC}">
              <c16:uniqueId val="{000000AA-21C8-4265-8C74-3096BEE15578}"/>
            </c:ext>
          </c:extLst>
        </c:ser>
        <c:ser>
          <c:idx val="142"/>
          <c:order val="142"/>
          <c:tx>
            <c:v>x=0.0282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2.8200000000000003E-2</c:v>
              </c:pt>
              <c:pt idx="1">
                <c:v>2.8200000000000003E-2</c:v>
              </c:pt>
            </c:numLit>
          </c:yVal>
          <c:smooth val="0"/>
          <c:extLst>
            <c:ext xmlns:c16="http://schemas.microsoft.com/office/drawing/2014/chart" uri="{C3380CC4-5D6E-409C-BE32-E72D297353CC}">
              <c16:uniqueId val="{000000AB-21C8-4265-8C74-3096BEE15578}"/>
            </c:ext>
          </c:extLst>
        </c:ser>
        <c:ser>
          <c:idx val="143"/>
          <c:order val="143"/>
          <c:tx>
            <c:v>x=0.0284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2.8400000000000002E-2</c:v>
              </c:pt>
              <c:pt idx="1">
                <c:v>2.8400000000000002E-2</c:v>
              </c:pt>
            </c:numLit>
          </c:yVal>
          <c:smooth val="0"/>
          <c:extLst>
            <c:ext xmlns:c16="http://schemas.microsoft.com/office/drawing/2014/chart" uri="{C3380CC4-5D6E-409C-BE32-E72D297353CC}">
              <c16:uniqueId val="{000000AC-21C8-4265-8C74-3096BEE15578}"/>
            </c:ext>
          </c:extLst>
        </c:ser>
        <c:ser>
          <c:idx val="144"/>
          <c:order val="144"/>
          <c:tx>
            <c:v>x=0.0286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2.86E-2</c:v>
              </c:pt>
              <c:pt idx="1">
                <c:v>2.86E-2</c:v>
              </c:pt>
            </c:numLit>
          </c:yVal>
          <c:smooth val="0"/>
          <c:extLst>
            <c:ext xmlns:c16="http://schemas.microsoft.com/office/drawing/2014/chart" uri="{C3380CC4-5D6E-409C-BE32-E72D297353CC}">
              <c16:uniqueId val="{000000AD-21C8-4265-8C74-3096BEE15578}"/>
            </c:ext>
          </c:extLst>
        </c:ser>
        <c:ser>
          <c:idx val="145"/>
          <c:order val="145"/>
          <c:tx>
            <c:v>x=0.0288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2.8800000000000003E-2</c:v>
              </c:pt>
              <c:pt idx="1">
                <c:v>2.8800000000000003E-2</c:v>
              </c:pt>
            </c:numLit>
          </c:yVal>
          <c:smooth val="0"/>
          <c:extLst>
            <c:ext xmlns:c16="http://schemas.microsoft.com/office/drawing/2014/chart" uri="{C3380CC4-5D6E-409C-BE32-E72D297353CC}">
              <c16:uniqueId val="{000000AE-21C8-4265-8C74-3096BEE15578}"/>
            </c:ext>
          </c:extLst>
        </c:ser>
        <c:ser>
          <c:idx val="146"/>
          <c:order val="146"/>
          <c:tx>
            <c:v>x=0.029</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0.029</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F-21C8-4265-8C74-3096BEE155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29.970716302186883</c:v>
              </c:pt>
              <c:pt idx="1">
                <c:v>50.8</c:v>
              </c:pt>
            </c:numLit>
          </c:xVal>
          <c:yVal>
            <c:numLit>
              <c:formatCode>General</c:formatCode>
              <c:ptCount val="2"/>
              <c:pt idx="0">
                <c:v>2.9000000000000001E-2</c:v>
              </c:pt>
              <c:pt idx="1">
                <c:v>2.9000000000000001E-2</c:v>
              </c:pt>
            </c:numLit>
          </c:yVal>
          <c:smooth val="0"/>
          <c:extLst>
            <c:ext xmlns:c16="http://schemas.microsoft.com/office/drawing/2014/chart" uri="{C3380CC4-5D6E-409C-BE32-E72D297353CC}">
              <c16:uniqueId val="{000000B0-21C8-4265-8C74-3096BEE15578}"/>
            </c:ext>
          </c:extLst>
        </c:ser>
        <c:ser>
          <c:idx val="147"/>
          <c:order val="147"/>
          <c:tx>
            <c:v>x=0.0292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2.92E-2</c:v>
              </c:pt>
              <c:pt idx="1">
                <c:v>2.92E-2</c:v>
              </c:pt>
            </c:numLit>
          </c:yVal>
          <c:smooth val="0"/>
          <c:extLst>
            <c:ext xmlns:c16="http://schemas.microsoft.com/office/drawing/2014/chart" uri="{C3380CC4-5D6E-409C-BE32-E72D297353CC}">
              <c16:uniqueId val="{000000B1-21C8-4265-8C74-3096BEE15578}"/>
            </c:ext>
          </c:extLst>
        </c:ser>
        <c:ser>
          <c:idx val="148"/>
          <c:order val="148"/>
          <c:tx>
            <c:v>x=0.0294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2.9400000000000003E-2</c:v>
              </c:pt>
              <c:pt idx="1">
                <c:v>2.9400000000000003E-2</c:v>
              </c:pt>
            </c:numLit>
          </c:yVal>
          <c:smooth val="0"/>
          <c:extLst>
            <c:ext xmlns:c16="http://schemas.microsoft.com/office/drawing/2014/chart" uri="{C3380CC4-5D6E-409C-BE32-E72D297353CC}">
              <c16:uniqueId val="{000000B2-21C8-4265-8C74-3096BEE15578}"/>
            </c:ext>
          </c:extLst>
        </c:ser>
        <c:ser>
          <c:idx val="149"/>
          <c:order val="149"/>
          <c:tx>
            <c:v>x=0.0296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2.9600000000000001E-2</c:v>
              </c:pt>
              <c:pt idx="1">
                <c:v>2.9600000000000001E-2</c:v>
              </c:pt>
            </c:numLit>
          </c:yVal>
          <c:smooth val="0"/>
          <c:extLst>
            <c:ext xmlns:c16="http://schemas.microsoft.com/office/drawing/2014/chart" uri="{C3380CC4-5D6E-409C-BE32-E72D297353CC}">
              <c16:uniqueId val="{000000B3-21C8-4265-8C74-3096BEE15578}"/>
            </c:ext>
          </c:extLst>
        </c:ser>
        <c:ser>
          <c:idx val="150"/>
          <c:order val="150"/>
          <c:tx>
            <c:v>x=0.0298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2.98E-2</c:v>
              </c:pt>
              <c:pt idx="1">
                <c:v>2.98E-2</c:v>
              </c:pt>
            </c:numLit>
          </c:yVal>
          <c:smooth val="0"/>
          <c:extLst>
            <c:ext xmlns:c16="http://schemas.microsoft.com/office/drawing/2014/chart" uri="{C3380CC4-5D6E-409C-BE32-E72D297353CC}">
              <c16:uniqueId val="{000000B4-21C8-4265-8C74-3096BEE15578}"/>
            </c:ext>
          </c:extLst>
        </c:ser>
        <c:ser>
          <c:idx val="151"/>
          <c:order val="151"/>
          <c:tx>
            <c:v>x=0.03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0.030</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5-21C8-4265-8C74-3096BEE155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30.537184890656061</c:v>
              </c:pt>
              <c:pt idx="1">
                <c:v>50.8</c:v>
              </c:pt>
            </c:numLit>
          </c:xVal>
          <c:yVal>
            <c:numLit>
              <c:formatCode>General</c:formatCode>
              <c:ptCount val="2"/>
              <c:pt idx="0">
                <c:v>3.0000000000000002E-2</c:v>
              </c:pt>
              <c:pt idx="1">
                <c:v>3.0000000000000002E-2</c:v>
              </c:pt>
            </c:numLit>
          </c:yVal>
          <c:smooth val="0"/>
          <c:extLst>
            <c:ext xmlns:c16="http://schemas.microsoft.com/office/drawing/2014/chart" uri="{C3380CC4-5D6E-409C-BE32-E72D297353CC}">
              <c16:uniqueId val="{000000B6-21C8-4265-8C74-3096BEE15578}"/>
            </c:ext>
          </c:extLst>
        </c:ser>
        <c:ser>
          <c:idx val="152"/>
          <c:order val="152"/>
          <c:tx>
            <c:v>x=0.0302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3.0200000000000001E-2</c:v>
              </c:pt>
              <c:pt idx="1">
                <c:v>3.0200000000000001E-2</c:v>
              </c:pt>
            </c:numLit>
          </c:yVal>
          <c:smooth val="0"/>
          <c:extLst>
            <c:ext xmlns:c16="http://schemas.microsoft.com/office/drawing/2014/chart" uri="{C3380CC4-5D6E-409C-BE32-E72D297353CC}">
              <c16:uniqueId val="{000000B7-21C8-4265-8C74-3096BEE15578}"/>
            </c:ext>
          </c:extLst>
        </c:ser>
        <c:ser>
          <c:idx val="153"/>
          <c:order val="153"/>
          <c:tx>
            <c:v>x=0.0304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3.04E-2</c:v>
              </c:pt>
              <c:pt idx="1">
                <c:v>3.04E-2</c:v>
              </c:pt>
            </c:numLit>
          </c:yVal>
          <c:smooth val="0"/>
          <c:extLst>
            <c:ext xmlns:c16="http://schemas.microsoft.com/office/drawing/2014/chart" uri="{C3380CC4-5D6E-409C-BE32-E72D297353CC}">
              <c16:uniqueId val="{000000B8-21C8-4265-8C74-3096BEE15578}"/>
            </c:ext>
          </c:extLst>
        </c:ser>
        <c:ser>
          <c:idx val="154"/>
          <c:order val="154"/>
          <c:tx>
            <c:v>x=0.0306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3.0600000000000002E-2</c:v>
              </c:pt>
              <c:pt idx="1">
                <c:v>3.0600000000000002E-2</c:v>
              </c:pt>
            </c:numLit>
          </c:yVal>
          <c:smooth val="0"/>
          <c:extLst>
            <c:ext xmlns:c16="http://schemas.microsoft.com/office/drawing/2014/chart" uri="{C3380CC4-5D6E-409C-BE32-E72D297353CC}">
              <c16:uniqueId val="{000000B9-21C8-4265-8C74-3096BEE15578}"/>
            </c:ext>
          </c:extLst>
        </c:ser>
        <c:ser>
          <c:idx val="155"/>
          <c:order val="155"/>
          <c:tx>
            <c:v>x=0.0308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3.0800000000000001E-2</c:v>
              </c:pt>
              <c:pt idx="1">
                <c:v>3.0800000000000001E-2</c:v>
              </c:pt>
            </c:numLit>
          </c:yVal>
          <c:smooth val="0"/>
          <c:extLst>
            <c:ext xmlns:c16="http://schemas.microsoft.com/office/drawing/2014/chart" uri="{C3380CC4-5D6E-409C-BE32-E72D297353CC}">
              <c16:uniqueId val="{000000BA-21C8-4265-8C74-3096BEE15578}"/>
            </c:ext>
          </c:extLst>
        </c:ser>
        <c:ser>
          <c:idx val="156"/>
          <c:order val="156"/>
          <c:tx>
            <c:v>x=0.031</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0.031</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B-21C8-4265-8C74-3096BEE155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31.084614910536782</c:v>
              </c:pt>
              <c:pt idx="1">
                <c:v>50.8</c:v>
              </c:pt>
            </c:numLit>
          </c:xVal>
          <c:yVal>
            <c:numLit>
              <c:formatCode>General</c:formatCode>
              <c:ptCount val="2"/>
              <c:pt idx="0">
                <c:v>3.1E-2</c:v>
              </c:pt>
              <c:pt idx="1">
                <c:v>3.1E-2</c:v>
              </c:pt>
            </c:numLit>
          </c:yVal>
          <c:smooth val="0"/>
          <c:extLst>
            <c:ext xmlns:c16="http://schemas.microsoft.com/office/drawing/2014/chart" uri="{C3380CC4-5D6E-409C-BE32-E72D297353CC}">
              <c16:uniqueId val="{000000BC-21C8-4265-8C74-3096BEE15578}"/>
            </c:ext>
          </c:extLst>
        </c:ser>
        <c:ser>
          <c:idx val="157"/>
          <c:order val="157"/>
          <c:tx>
            <c:v>x=0.0312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3.1200000000000002E-2</c:v>
              </c:pt>
              <c:pt idx="1">
                <c:v>3.1200000000000002E-2</c:v>
              </c:pt>
            </c:numLit>
          </c:yVal>
          <c:smooth val="0"/>
          <c:extLst>
            <c:ext xmlns:c16="http://schemas.microsoft.com/office/drawing/2014/chart" uri="{C3380CC4-5D6E-409C-BE32-E72D297353CC}">
              <c16:uniqueId val="{000000BD-21C8-4265-8C74-3096BEE15578}"/>
            </c:ext>
          </c:extLst>
        </c:ser>
        <c:ser>
          <c:idx val="158"/>
          <c:order val="158"/>
          <c:tx>
            <c:v>x=0.0314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3.1400000000000004E-2</c:v>
              </c:pt>
              <c:pt idx="1">
                <c:v>3.1400000000000004E-2</c:v>
              </c:pt>
            </c:numLit>
          </c:yVal>
          <c:smooth val="0"/>
          <c:extLst>
            <c:ext xmlns:c16="http://schemas.microsoft.com/office/drawing/2014/chart" uri="{C3380CC4-5D6E-409C-BE32-E72D297353CC}">
              <c16:uniqueId val="{000000BE-21C8-4265-8C74-3096BEE15578}"/>
            </c:ext>
          </c:extLst>
        </c:ser>
        <c:ser>
          <c:idx val="159"/>
          <c:order val="159"/>
          <c:tx>
            <c:v>x=0.0316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3.1600000000000003E-2</c:v>
              </c:pt>
              <c:pt idx="1">
                <c:v>3.1600000000000003E-2</c:v>
              </c:pt>
            </c:numLit>
          </c:yVal>
          <c:smooth val="0"/>
          <c:extLst>
            <c:ext xmlns:c16="http://schemas.microsoft.com/office/drawing/2014/chart" uri="{C3380CC4-5D6E-409C-BE32-E72D297353CC}">
              <c16:uniqueId val="{000000BF-21C8-4265-8C74-3096BEE15578}"/>
            </c:ext>
          </c:extLst>
        </c:ser>
        <c:ser>
          <c:idx val="160"/>
          <c:order val="160"/>
          <c:tx>
            <c:v>x=0.0318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3.1800000000000002E-2</c:v>
              </c:pt>
              <c:pt idx="1">
                <c:v>3.1800000000000002E-2</c:v>
              </c:pt>
            </c:numLit>
          </c:yVal>
          <c:smooth val="0"/>
          <c:extLst>
            <c:ext xmlns:c16="http://schemas.microsoft.com/office/drawing/2014/chart" uri="{C3380CC4-5D6E-409C-BE32-E72D297353CC}">
              <c16:uniqueId val="{000000C0-21C8-4265-8C74-3096BEE15578}"/>
            </c:ext>
          </c:extLst>
        </c:ser>
        <c:ser>
          <c:idx val="161"/>
          <c:order val="161"/>
          <c:tx>
            <c:v>x=0.032</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0.032</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1-21C8-4265-8C74-3096BEE155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31.623487077534794</c:v>
              </c:pt>
              <c:pt idx="1">
                <c:v>50.8</c:v>
              </c:pt>
            </c:numLit>
          </c:xVal>
          <c:yVal>
            <c:numLit>
              <c:formatCode>General</c:formatCode>
              <c:ptCount val="2"/>
              <c:pt idx="0">
                <c:v>3.2000000000000001E-2</c:v>
              </c:pt>
              <c:pt idx="1">
                <c:v>3.2000000000000001E-2</c:v>
              </c:pt>
            </c:numLit>
          </c:yVal>
          <c:smooth val="0"/>
          <c:extLst>
            <c:ext xmlns:c16="http://schemas.microsoft.com/office/drawing/2014/chart" uri="{C3380CC4-5D6E-409C-BE32-E72D297353CC}">
              <c16:uniqueId val="{000000C2-21C8-4265-8C74-3096BEE15578}"/>
            </c:ext>
          </c:extLst>
        </c:ser>
        <c:ser>
          <c:idx val="162"/>
          <c:order val="162"/>
          <c:tx>
            <c:v>x=0.0322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3.2199999999999999E-2</c:v>
              </c:pt>
              <c:pt idx="1">
                <c:v>3.2199999999999999E-2</c:v>
              </c:pt>
            </c:numLit>
          </c:yVal>
          <c:smooth val="0"/>
          <c:extLst>
            <c:ext xmlns:c16="http://schemas.microsoft.com/office/drawing/2014/chart" uri="{C3380CC4-5D6E-409C-BE32-E72D297353CC}">
              <c16:uniqueId val="{000000C3-21C8-4265-8C74-3096BEE15578}"/>
            </c:ext>
          </c:extLst>
        </c:ser>
        <c:ser>
          <c:idx val="163"/>
          <c:order val="163"/>
          <c:tx>
            <c:v>x=0.0324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3.2399999999999998E-2</c:v>
              </c:pt>
              <c:pt idx="1">
                <c:v>3.2399999999999998E-2</c:v>
              </c:pt>
            </c:numLit>
          </c:yVal>
          <c:smooth val="0"/>
          <c:extLst>
            <c:ext xmlns:c16="http://schemas.microsoft.com/office/drawing/2014/chart" uri="{C3380CC4-5D6E-409C-BE32-E72D297353CC}">
              <c16:uniqueId val="{000000C4-21C8-4265-8C74-3096BEE15578}"/>
            </c:ext>
          </c:extLst>
        </c:ser>
        <c:ser>
          <c:idx val="164"/>
          <c:order val="164"/>
          <c:tx>
            <c:v>x=0.0326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3.2600000000000004E-2</c:v>
              </c:pt>
              <c:pt idx="1">
                <c:v>3.2600000000000004E-2</c:v>
              </c:pt>
            </c:numLit>
          </c:yVal>
          <c:smooth val="0"/>
          <c:extLst>
            <c:ext xmlns:c16="http://schemas.microsoft.com/office/drawing/2014/chart" uri="{C3380CC4-5D6E-409C-BE32-E72D297353CC}">
              <c16:uniqueId val="{000000C5-21C8-4265-8C74-3096BEE15578}"/>
            </c:ext>
          </c:extLst>
        </c:ser>
        <c:ser>
          <c:idx val="165"/>
          <c:order val="165"/>
          <c:tx>
            <c:v>x=0.0328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3.2800000000000003E-2</c:v>
              </c:pt>
              <c:pt idx="1">
                <c:v>3.2800000000000003E-2</c:v>
              </c:pt>
            </c:numLit>
          </c:yVal>
          <c:smooth val="0"/>
          <c:extLst>
            <c:ext xmlns:c16="http://schemas.microsoft.com/office/drawing/2014/chart" uri="{C3380CC4-5D6E-409C-BE32-E72D297353CC}">
              <c16:uniqueId val="{000000C6-21C8-4265-8C74-3096BEE15578}"/>
            </c:ext>
          </c:extLst>
        </c:ser>
        <c:ser>
          <c:idx val="166"/>
          <c:order val="166"/>
          <c:tx>
            <c:v>x=0.033</c:v>
          </c:tx>
          <c:spPr>
            <a:ln w="3175">
              <a:solidFill>
                <a:srgbClr val="969696"/>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0.033</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7-21C8-4265-8C74-3096BEE155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32.143135785288273</c:v>
              </c:pt>
              <c:pt idx="1">
                <c:v>50.8</c:v>
              </c:pt>
            </c:numLit>
          </c:xVal>
          <c:yVal>
            <c:numLit>
              <c:formatCode>General</c:formatCode>
              <c:ptCount val="2"/>
              <c:pt idx="0">
                <c:v>3.3000000000000002E-2</c:v>
              </c:pt>
              <c:pt idx="1">
                <c:v>3.3000000000000002E-2</c:v>
              </c:pt>
            </c:numLit>
          </c:yVal>
          <c:smooth val="0"/>
          <c:extLst>
            <c:ext xmlns:c16="http://schemas.microsoft.com/office/drawing/2014/chart" uri="{C3380CC4-5D6E-409C-BE32-E72D297353CC}">
              <c16:uniqueId val="{000000C8-21C8-4265-8C74-3096BEE15578}"/>
            </c:ext>
          </c:extLst>
        </c:ser>
        <c:ser>
          <c:idx val="167"/>
          <c:order val="167"/>
          <c:tx>
            <c:v>x=0.0332</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3.32E-2</c:v>
              </c:pt>
              <c:pt idx="1">
                <c:v>3.32E-2</c:v>
              </c:pt>
            </c:numLit>
          </c:yVal>
          <c:smooth val="0"/>
          <c:extLst>
            <c:ext xmlns:c16="http://schemas.microsoft.com/office/drawing/2014/chart" uri="{C3380CC4-5D6E-409C-BE32-E72D297353CC}">
              <c16:uniqueId val="{000000C9-21C8-4265-8C74-3096BEE15578}"/>
            </c:ext>
          </c:extLst>
        </c:ser>
        <c:ser>
          <c:idx val="168"/>
          <c:order val="168"/>
          <c:tx>
            <c:v>x=0.0334</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3.3399999999999999E-2</c:v>
              </c:pt>
              <c:pt idx="1">
                <c:v>3.3399999999999999E-2</c:v>
              </c:pt>
            </c:numLit>
          </c:yVal>
          <c:smooth val="0"/>
          <c:extLst>
            <c:ext xmlns:c16="http://schemas.microsoft.com/office/drawing/2014/chart" uri="{C3380CC4-5D6E-409C-BE32-E72D297353CC}">
              <c16:uniqueId val="{000000CA-21C8-4265-8C74-3096BEE15578}"/>
            </c:ext>
          </c:extLst>
        </c:ser>
        <c:ser>
          <c:idx val="169"/>
          <c:order val="169"/>
          <c:tx>
            <c:v>x=0.0336</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3.3600000000000005E-2</c:v>
              </c:pt>
              <c:pt idx="1">
                <c:v>3.3600000000000005E-2</c:v>
              </c:pt>
            </c:numLit>
          </c:yVal>
          <c:smooth val="0"/>
          <c:extLst>
            <c:ext xmlns:c16="http://schemas.microsoft.com/office/drawing/2014/chart" uri="{C3380CC4-5D6E-409C-BE32-E72D297353CC}">
              <c16:uniqueId val="{000000CB-21C8-4265-8C74-3096BEE15578}"/>
            </c:ext>
          </c:extLst>
        </c:ser>
        <c:ser>
          <c:idx val="170"/>
          <c:order val="170"/>
          <c:tx>
            <c:v>x=0.0338</c:v>
          </c:tx>
          <c:spPr>
            <a:ln w="3175">
              <a:solidFill>
                <a:srgbClr val="969696"/>
              </a:solidFill>
              <a:prstDash val="solid"/>
            </a:ln>
          </c:spPr>
          <c:marker>
            <c:symbol val="none"/>
          </c:marker>
          <c:xVal>
            <c:numLit>
              <c:formatCode>General</c:formatCode>
              <c:ptCount val="2"/>
              <c:pt idx="0">
                <c:v>50.5</c:v>
              </c:pt>
              <c:pt idx="1">
                <c:v>50.8</c:v>
              </c:pt>
            </c:numLit>
          </c:xVal>
          <c:yVal>
            <c:numLit>
              <c:formatCode>General</c:formatCode>
              <c:ptCount val="2"/>
              <c:pt idx="0">
                <c:v>3.3800000000000004E-2</c:v>
              </c:pt>
              <c:pt idx="1">
                <c:v>3.3800000000000004E-2</c:v>
              </c:pt>
            </c:numLit>
          </c:yVal>
          <c:smooth val="0"/>
          <c:extLst>
            <c:ext xmlns:c16="http://schemas.microsoft.com/office/drawing/2014/chart" uri="{C3380CC4-5D6E-409C-BE32-E72D297353CC}">
              <c16:uniqueId val="{000000CC-21C8-4265-8C74-3096BEE15578}"/>
            </c:ext>
          </c:extLst>
        </c:ser>
        <c:ser>
          <c:idx val="171"/>
          <c:order val="171"/>
          <c:tx>
            <c:v>x=0.034</c:v>
          </c:tx>
          <c:spPr>
            <a:ln w="3175">
              <a:solidFill>
                <a:srgbClr val="000000"/>
              </a:solidFill>
              <a:prstDash val="solid"/>
            </a:ln>
          </c:spPr>
          <c:marker>
            <c:symbol val="none"/>
          </c:marker>
          <c:dLbls>
            <c:dLbl>
              <c:idx val="1"/>
              <c:tx>
                <c:rich>
                  <a:bodyPr rot="0" vert="horz" wrap="square" lIns="38100" tIns="19050" rIns="38100" bIns="19050" anchor="ctr">
                    <a:spAutoFit/>
                  </a:bodyPr>
                  <a:lstStyle/>
                  <a:p>
                    <a:pPr algn="r">
                      <a:defRPr altLang="ja-JP" sz="700" b="0" i="0" u="none" strike="noStrike" baseline="0">
                        <a:solidFill>
                          <a:srgbClr val="000000"/>
                        </a:solidFill>
                        <a:latin typeface="ＭＳ Ｐ明朝"/>
                        <a:ea typeface="ＭＳ Ｐ明朝"/>
                        <a:cs typeface="ＭＳ Ｐ明朝"/>
                      </a:defRPr>
                    </a:pPr>
                    <a:r>
                      <a:rPr lang="en-US"/>
                      <a:t>0.034</a:t>
                    </a:r>
                    <a:endParaRPr lang="en-US" altLang="ja-JP"/>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D-21C8-4265-8C74-3096BEE155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-10.178000000000001</c:v>
              </c:pt>
              <c:pt idx="1">
                <c:v>50.8</c:v>
              </c:pt>
            </c:numLit>
          </c:xVal>
          <c:yVal>
            <c:numLit>
              <c:formatCode>General</c:formatCode>
              <c:ptCount val="2"/>
              <c:pt idx="0">
                <c:v>3.4000000000000002E-2</c:v>
              </c:pt>
              <c:pt idx="1">
                <c:v>3.4000000000000002E-2</c:v>
              </c:pt>
            </c:numLit>
          </c:yVal>
          <c:smooth val="0"/>
          <c:extLst>
            <c:ext xmlns:c16="http://schemas.microsoft.com/office/drawing/2014/chart" uri="{C3380CC4-5D6E-409C-BE32-E72D297353CC}">
              <c16:uniqueId val="{000000CE-21C8-4265-8C74-3096BEE15578}"/>
            </c:ext>
          </c:extLst>
        </c:ser>
        <c:ser>
          <c:idx val="172"/>
          <c:order val="172"/>
          <c:tx>
            <c:v>絶対湿度座標軸ラベル</c:v>
          </c:tx>
          <c:spPr>
            <a:ln w="3175">
              <a:solidFill>
                <a:srgbClr val="000000"/>
              </a:solidFill>
              <a:prstDash val="solid"/>
            </a:ln>
          </c:spPr>
          <c:marker>
            <c:symbol val="none"/>
          </c:marker>
          <c:dLbls>
            <c:dLbl>
              <c:idx val="0"/>
              <c:layout>
                <c:manualLayout>
                  <c:x val="3.8194444444444448E-2"/>
                  <c:y val="0"/>
                </c:manualLayout>
              </c:layout>
              <c:tx>
                <c:rich>
                  <a:bodyPr rot="-540000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絶対湿度 </a:t>
                    </a:r>
                    <a:r>
                      <a:rPr lang="en-US"/>
                      <a:t>x[kg/kg(DA)]</a:t>
                    </a:r>
                  </a:p>
                </c:rich>
              </c:tx>
              <c:spPr>
                <a:solidFill>
                  <a:srgbClr val="FFFFFF"/>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CF-21C8-4265-8C74-3096BEE1557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50.8</c:v>
              </c:pt>
            </c:numLit>
          </c:xVal>
          <c:yVal>
            <c:numLit>
              <c:formatCode>General</c:formatCode>
              <c:ptCount val="1"/>
              <c:pt idx="0">
                <c:v>1.7000000000000001E-2</c:v>
              </c:pt>
            </c:numLit>
          </c:yVal>
          <c:smooth val="0"/>
          <c:extLst>
            <c:ext xmlns:c16="http://schemas.microsoft.com/office/drawing/2014/chart" uri="{C3380CC4-5D6E-409C-BE32-E72D297353CC}">
              <c16:uniqueId val="{000000D0-21C8-4265-8C74-3096BEE15578}"/>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E593-47C0-BD80-CBE25F05A847}"/>
            </c:ext>
          </c:extLst>
        </c:ser>
        <c:ser>
          <c:idx val="1"/>
          <c:order val="1"/>
          <c:spPr>
            <a:ln w="3175">
              <a:solidFill>
                <a:srgbClr val="000000"/>
              </a:solidFill>
              <a:prstDash val="solid"/>
            </a:ln>
          </c:spPr>
          <c:marker>
            <c:symbol val="none"/>
          </c:marker>
          <c:xVal>
            <c:numLit>
              <c:formatCode>General</c:formatCode>
              <c:ptCount val="2"/>
              <c:pt idx="0">
                <c:v>-3.758</c:v>
              </c:pt>
              <c:pt idx="1">
                <c:v>-4.3579999999999997</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01-E593-47C0-BD80-CBE25F05A847}"/>
            </c:ext>
          </c:extLst>
        </c:ser>
        <c:ser>
          <c:idx val="2"/>
          <c:order val="2"/>
          <c:spPr>
            <a:ln w="3175">
              <a:solidFill>
                <a:srgbClr val="000000"/>
              </a:solidFill>
              <a:prstDash val="solid"/>
            </a:ln>
          </c:spPr>
          <c:marker>
            <c:symbol val="none"/>
          </c:marker>
          <c:dLbls>
            <c:dLbl>
              <c:idx val="0"/>
              <c:tx>
                <c:rich>
                  <a:bodyPr rot="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593-47C0-BD80-CBE25F05A84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-5.1180000000000012</c:v>
              </c:pt>
            </c:numLit>
          </c:xVal>
          <c:yVal>
            <c:numLit>
              <c:formatCode>General</c:formatCode>
              <c:ptCount val="1"/>
              <c:pt idx="0">
                <c:v>2.0930000000000001E-2</c:v>
              </c:pt>
            </c:numLit>
          </c:yVal>
          <c:smooth val="0"/>
          <c:extLst>
            <c:ext xmlns:c16="http://schemas.microsoft.com/office/drawing/2014/chart" uri="{C3380CC4-5D6E-409C-BE32-E72D297353CC}">
              <c16:uniqueId val="{00000003-E593-47C0-BD80-CBE25F05A847}"/>
            </c:ext>
          </c:extLst>
        </c:ser>
        <c:ser>
          <c:idx val="3"/>
          <c:order val="3"/>
          <c:spPr>
            <a:ln w="3175">
              <a:solidFill>
                <a:srgbClr val="000000"/>
              </a:solidFill>
              <a:prstDash val="solid"/>
            </a:ln>
          </c:spPr>
          <c:marker>
            <c:symbol val="none"/>
          </c:marker>
          <c:xVal>
            <c:numLit>
              <c:formatCode>General</c:formatCode>
              <c:ptCount val="2"/>
              <c:pt idx="0">
                <c:v>-3.7573164307647193</c:v>
              </c:pt>
              <c:pt idx="1">
                <c:v>-4.0572985496633294</c:v>
              </c:pt>
            </c:numLit>
          </c:xVal>
          <c:yVal>
            <c:numLit>
              <c:formatCode>General</c:formatCode>
              <c:ptCount val="2"/>
              <c:pt idx="0">
                <c:v>2.0838150344721491E-2</c:v>
              </c:pt>
              <c:pt idx="1">
                <c:v>2.0835727619644421E-2</c:v>
              </c:pt>
            </c:numLit>
          </c:yVal>
          <c:smooth val="0"/>
          <c:extLst>
            <c:ext xmlns:c16="http://schemas.microsoft.com/office/drawing/2014/chart" uri="{C3380CC4-5D6E-409C-BE32-E72D297353CC}">
              <c16:uniqueId val="{00000004-E593-47C0-BD80-CBE25F05A847}"/>
            </c:ext>
          </c:extLst>
        </c:ser>
        <c:ser>
          <c:idx val="4"/>
          <c:order val="4"/>
          <c:spPr>
            <a:ln w="3175">
              <a:solidFill>
                <a:srgbClr val="000000"/>
              </a:solidFill>
              <a:prstDash val="solid"/>
            </a:ln>
          </c:spPr>
          <c:marker>
            <c:symbol val="none"/>
          </c:marker>
          <c:xVal>
            <c:numLit>
              <c:formatCode>General</c:formatCode>
              <c:ptCount val="2"/>
              <c:pt idx="0">
                <c:v>-3.7551514284703731</c:v>
              </c:pt>
              <c:pt idx="1">
                <c:v>-4.0550769139387679</c:v>
              </c:pt>
            </c:numLit>
          </c:xVal>
          <c:yVal>
            <c:numLit>
              <c:formatCode>General</c:formatCode>
              <c:ptCount val="2"/>
              <c:pt idx="0">
                <c:v>2.0742509615122581E-2</c:v>
              </c:pt>
              <c:pt idx="1">
                <c:v>2.0737564151791284E-2</c:v>
              </c:pt>
            </c:numLit>
          </c:yVal>
          <c:smooth val="0"/>
          <c:extLst>
            <c:ext xmlns:c16="http://schemas.microsoft.com/office/drawing/2014/chart" uri="{C3380CC4-5D6E-409C-BE32-E72D297353CC}">
              <c16:uniqueId val="{00000005-E593-47C0-BD80-CBE25F05A847}"/>
            </c:ext>
          </c:extLst>
        </c:ser>
        <c:ser>
          <c:idx val="5"/>
          <c:order val="5"/>
          <c:spPr>
            <a:ln w="3175">
              <a:solidFill>
                <a:srgbClr val="000000"/>
              </a:solidFill>
              <a:prstDash val="solid"/>
            </a:ln>
          </c:spPr>
          <c:marker>
            <c:symbol val="none"/>
          </c:marker>
          <c:xVal>
            <c:numLit>
              <c:formatCode>General</c:formatCode>
              <c:ptCount val="2"/>
              <c:pt idx="0">
                <c:v>-3.7513184851597101</c:v>
              </c:pt>
              <c:pt idx="1">
                <c:v>-4.0511437048590233</c:v>
              </c:pt>
            </c:numLit>
          </c:xVal>
          <c:yVal>
            <c:numLit>
              <c:formatCode>General</c:formatCode>
              <c:ptCount val="2"/>
              <c:pt idx="0">
                <c:v>2.0642878308754005E-2</c:v>
              </c:pt>
              <c:pt idx="1">
                <c:v>2.0635304812162952E-2</c:v>
              </c:pt>
            </c:numLit>
          </c:yVal>
          <c:smooth val="0"/>
          <c:extLst>
            <c:ext xmlns:c16="http://schemas.microsoft.com/office/drawing/2014/chart" uri="{C3380CC4-5D6E-409C-BE32-E72D297353CC}">
              <c16:uniqueId val="{00000006-E593-47C0-BD80-CBE25F05A847}"/>
            </c:ext>
          </c:extLst>
        </c:ser>
        <c:ser>
          <c:idx val="6"/>
          <c:order val="6"/>
          <c:spPr>
            <a:ln w="3175">
              <a:solidFill>
                <a:srgbClr val="000000"/>
              </a:solidFill>
              <a:prstDash val="solid"/>
            </a:ln>
          </c:spPr>
          <c:marker>
            <c:symbol val="none"/>
          </c:marker>
          <c:xVal>
            <c:numLit>
              <c:formatCode>General</c:formatCode>
              <c:ptCount val="2"/>
              <c:pt idx="0">
                <c:v>-3.7456091126033786</c:v>
              </c:pt>
              <c:pt idx="1">
                <c:v>-4.0452849779513329</c:v>
              </c:pt>
            </c:numLit>
          </c:xVal>
          <c:yVal>
            <c:numLit>
              <c:formatCode>General</c:formatCode>
              <c:ptCount val="2"/>
              <c:pt idx="0">
                <c:v>2.0539046809061261E-2</c:v>
              </c:pt>
              <c:pt idx="1">
                <c:v>2.0528734430821465E-2</c:v>
              </c:pt>
            </c:numLit>
          </c:yVal>
          <c:smooth val="0"/>
          <c:extLst>
            <c:ext xmlns:c16="http://schemas.microsoft.com/office/drawing/2014/chart" uri="{C3380CC4-5D6E-409C-BE32-E72D297353CC}">
              <c16:uniqueId val="{00000007-E593-47C0-BD80-CBE25F05A847}"/>
            </c:ext>
          </c:extLst>
        </c:ser>
        <c:ser>
          <c:idx val="7"/>
          <c:order val="7"/>
          <c:spPr>
            <a:ln w="3175">
              <a:solidFill>
                <a:srgbClr val="000000"/>
              </a:solidFill>
              <a:prstDash val="solid"/>
            </a:ln>
          </c:spPr>
          <c:marker>
            <c:symbol val="none"/>
          </c:marker>
          <c:xVal>
            <c:numLit>
              <c:formatCode>General</c:formatCode>
              <c:ptCount val="2"/>
              <c:pt idx="0">
                <c:v>-3.7377902586290985</c:v>
              </c:pt>
              <c:pt idx="1">
                <c:v>-4.3367333533434707</c:v>
              </c:pt>
            </c:numLit>
          </c:xVal>
          <c:yVal>
            <c:numLit>
              <c:formatCode>General</c:formatCode>
              <c:ptCount val="2"/>
              <c:pt idx="0">
                <c:v>2.0430795350641542E-2</c:v>
              </c:pt>
              <c:pt idx="1">
                <c:v>2.0404465069727713E-2</c:v>
              </c:pt>
            </c:numLit>
          </c:yVal>
          <c:smooth val="0"/>
          <c:extLst>
            <c:ext xmlns:c16="http://schemas.microsoft.com/office/drawing/2014/chart" uri="{C3380CC4-5D6E-409C-BE32-E72D297353CC}">
              <c16:uniqueId val="{00000008-E593-47C0-BD80-CBE25F05A847}"/>
            </c:ext>
          </c:extLst>
        </c:ser>
        <c:ser>
          <c:idx val="8"/>
          <c:order val="8"/>
          <c:spPr>
            <a:ln w="3175">
              <a:solidFill>
                <a:srgbClr val="000000"/>
              </a:solidFill>
              <a:prstDash val="solid"/>
            </a:ln>
          </c:spPr>
          <c:marker>
            <c:symbol val="none"/>
          </c:marker>
          <c:dLbls>
            <c:dLbl>
              <c:idx val="0"/>
              <c:tx>
                <c:rich>
                  <a:bodyPr rot="-1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0.90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593-47C0-BD80-CBE25F05A84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-5.0953971933505686</c:v>
              </c:pt>
            </c:numLit>
          </c:xVal>
          <c:yVal>
            <c:numLit>
              <c:formatCode>General</c:formatCode>
              <c:ptCount val="1"/>
              <c:pt idx="0">
                <c:v>2.037114545104227E-2</c:v>
              </c:pt>
            </c:numLit>
          </c:yVal>
          <c:smooth val="0"/>
          <c:extLst>
            <c:ext xmlns:c16="http://schemas.microsoft.com/office/drawing/2014/chart" uri="{C3380CC4-5D6E-409C-BE32-E72D297353CC}">
              <c16:uniqueId val="{0000000A-E593-47C0-BD80-CBE25F05A847}"/>
            </c:ext>
          </c:extLst>
        </c:ser>
        <c:ser>
          <c:idx val="9"/>
          <c:order val="9"/>
          <c:spPr>
            <a:ln w="3175">
              <a:solidFill>
                <a:srgbClr val="000000"/>
              </a:solidFill>
              <a:prstDash val="solid"/>
            </a:ln>
          </c:spPr>
          <c:marker>
            <c:symbol val="none"/>
          </c:marker>
          <c:xVal>
            <c:numLit>
              <c:formatCode>General</c:formatCode>
              <c:ptCount val="2"/>
              <c:pt idx="0">
                <c:v>-3.7276014439375182</c:v>
              </c:pt>
              <c:pt idx="1">
                <c:v>-4.0268062128221214</c:v>
              </c:pt>
            </c:numLit>
          </c:xVal>
          <c:yVal>
            <c:numLit>
              <c:formatCode>General</c:formatCode>
              <c:ptCount val="2"/>
              <c:pt idx="0">
                <c:v>2.0317894135552732E-2</c:v>
              </c:pt>
              <c:pt idx="1">
                <c:v>2.0301747870289474E-2</c:v>
              </c:pt>
            </c:numLit>
          </c:yVal>
          <c:smooth val="0"/>
          <c:extLst>
            <c:ext xmlns:c16="http://schemas.microsoft.com/office/drawing/2014/chart" uri="{C3380CC4-5D6E-409C-BE32-E72D297353CC}">
              <c16:uniqueId val="{0000000B-E593-47C0-BD80-CBE25F05A847}"/>
            </c:ext>
          </c:extLst>
        </c:ser>
        <c:ser>
          <c:idx val="10"/>
          <c:order val="10"/>
          <c:spPr>
            <a:ln w="3175">
              <a:solidFill>
                <a:srgbClr val="000000"/>
              </a:solidFill>
              <a:prstDash val="solid"/>
            </a:ln>
          </c:spPr>
          <c:marker>
            <c:symbol val="none"/>
          </c:marker>
          <c:xVal>
            <c:numLit>
              <c:formatCode>General</c:formatCode>
              <c:ptCount val="2"/>
              <c:pt idx="0">
                <c:v>-3.7147516008544463</c:v>
              </c:pt>
              <c:pt idx="1">
                <c:v>-4.0136201835408292</c:v>
              </c:pt>
            </c:numLit>
          </c:xVal>
          <c:yVal>
            <c:numLit>
              <c:formatCode>General</c:formatCode>
              <c:ptCount val="2"/>
              <c:pt idx="0">
                <c:v>2.0200103644625281E-2</c:v>
              </c:pt>
              <c:pt idx="1">
                <c:v>2.0180849913089945E-2</c:v>
              </c:pt>
            </c:numLit>
          </c:yVal>
          <c:smooth val="0"/>
          <c:extLst>
            <c:ext xmlns:c16="http://schemas.microsoft.com/office/drawing/2014/chart" uri="{C3380CC4-5D6E-409C-BE32-E72D297353CC}">
              <c16:uniqueId val="{0000000C-E593-47C0-BD80-CBE25F05A847}"/>
            </c:ext>
          </c:extLst>
        </c:ser>
        <c:ser>
          <c:idx val="11"/>
          <c:order val="11"/>
          <c:spPr>
            <a:ln w="3175">
              <a:solidFill>
                <a:srgbClr val="000000"/>
              </a:solidFill>
              <a:prstDash val="solid"/>
            </a:ln>
          </c:spPr>
          <c:marker>
            <c:symbol val="none"/>
          </c:marker>
          <c:xVal>
            <c:numLit>
              <c:formatCode>General</c:formatCode>
              <c:ptCount val="2"/>
              <c:pt idx="0">
                <c:v>-3.6989155989247418</c:v>
              </c:pt>
              <c:pt idx="1">
                <c:v>-3.9973698432209668</c:v>
              </c:pt>
            </c:numLit>
          </c:xVal>
          <c:yVal>
            <c:numLit>
              <c:formatCode>General</c:formatCode>
              <c:ptCount val="2"/>
              <c:pt idx="0">
                <c:v>2.0077175197246788E-2</c:v>
              </c:pt>
              <c:pt idx="1">
                <c:v>2.0054678249479638E-2</c:v>
              </c:pt>
            </c:numLit>
          </c:yVal>
          <c:smooth val="0"/>
          <c:extLst>
            <c:ext xmlns:c16="http://schemas.microsoft.com/office/drawing/2014/chart" uri="{C3380CC4-5D6E-409C-BE32-E72D297353CC}">
              <c16:uniqueId val="{0000000D-E593-47C0-BD80-CBE25F05A847}"/>
            </c:ext>
          </c:extLst>
        </c:ser>
        <c:ser>
          <c:idx val="12"/>
          <c:order val="12"/>
          <c:spPr>
            <a:ln w="3175">
              <a:solidFill>
                <a:srgbClr val="000000"/>
              </a:solidFill>
              <a:prstDash val="solid"/>
            </a:ln>
          </c:spPr>
          <c:marker>
            <c:symbol val="none"/>
          </c:marker>
          <c:xVal>
            <c:numLit>
              <c:formatCode>General</c:formatCode>
              <c:ptCount val="2"/>
              <c:pt idx="0">
                <c:v>-3.6797304479524238</c:v>
              </c:pt>
              <c:pt idx="1">
                <c:v>-3.9776826867646431</c:v>
              </c:pt>
            </c:numLit>
          </c:xVal>
          <c:yVal>
            <c:numLit>
              <c:formatCode>General</c:formatCode>
              <c:ptCount val="2"/>
              <c:pt idx="0">
                <c:v>1.9948851824198272E-2</c:v>
              </c:pt>
              <c:pt idx="1">
                <c:v>1.9922969066463295E-2</c:v>
              </c:pt>
            </c:numLit>
          </c:yVal>
          <c:smooth val="0"/>
          <c:extLst>
            <c:ext xmlns:c16="http://schemas.microsoft.com/office/drawing/2014/chart" uri="{C3380CC4-5D6E-409C-BE32-E72D297353CC}">
              <c16:uniqueId val="{0000000E-E593-47C0-BD80-CBE25F05A847}"/>
            </c:ext>
          </c:extLst>
        </c:ser>
        <c:ser>
          <c:idx val="13"/>
          <c:order val="13"/>
          <c:spPr>
            <a:ln w="3175">
              <a:solidFill>
                <a:srgbClr val="000000"/>
              </a:solidFill>
              <a:prstDash val="solid"/>
            </a:ln>
          </c:spPr>
          <c:marker>
            <c:symbol val="none"/>
          </c:marker>
          <c:xVal>
            <c:numLit>
              <c:formatCode>General</c:formatCode>
              <c:ptCount val="2"/>
              <c:pt idx="0">
                <c:v>-3.6567911778075404</c:v>
              </c:pt>
              <c:pt idx="1">
                <c:v>-4.2514973042485202</c:v>
              </c:pt>
            </c:numLit>
          </c:xVal>
          <c:yVal>
            <c:numLit>
              <c:formatCode>General</c:formatCode>
              <c:ptCount val="2"/>
              <c:pt idx="0">
                <c:v>1.9814869530917118E-2</c:v>
              </c:pt>
              <c:pt idx="1">
                <c:v>1.9756045431995016E-2</c:v>
              </c:pt>
            </c:numLit>
          </c:yVal>
          <c:smooth val="0"/>
          <c:extLst>
            <c:ext xmlns:c16="http://schemas.microsoft.com/office/drawing/2014/chart" uri="{C3380CC4-5D6E-409C-BE32-E72D297353CC}">
              <c16:uniqueId val="{0000000F-E593-47C0-BD80-CBE25F05A847}"/>
            </c:ext>
          </c:extLst>
        </c:ser>
        <c:ser>
          <c:idx val="14"/>
          <c:order val="14"/>
          <c:spPr>
            <a:ln w="3175">
              <a:solidFill>
                <a:srgbClr val="000000"/>
              </a:solidFill>
              <a:prstDash val="solid"/>
            </a:ln>
          </c:spPr>
          <c:marker>
            <c:symbol val="none"/>
          </c:marker>
          <c:dLbls>
            <c:dLbl>
              <c:idx val="0"/>
              <c:tx>
                <c:rich>
                  <a:bodyPr rot="-4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0.80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593-47C0-BD80-CBE25F05A84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-5.0048045482834356</c:v>
              </c:pt>
            </c:numLit>
          </c:xVal>
          <c:yVal>
            <c:numLit>
              <c:formatCode>General</c:formatCode>
              <c:ptCount val="1"/>
              <c:pt idx="0">
                <c:v>1.9681605533496679E-2</c:v>
              </c:pt>
            </c:numLit>
          </c:yVal>
          <c:smooth val="0"/>
          <c:extLst>
            <c:ext xmlns:c16="http://schemas.microsoft.com/office/drawing/2014/chart" uri="{C3380CC4-5D6E-409C-BE32-E72D297353CC}">
              <c16:uniqueId val="{00000011-E593-47C0-BD80-CBE25F05A847}"/>
            </c:ext>
          </c:extLst>
        </c:ser>
        <c:ser>
          <c:idx val="15"/>
          <c:order val="15"/>
          <c:spPr>
            <a:ln w="3175">
              <a:solidFill>
                <a:srgbClr val="000000"/>
              </a:solidFill>
              <a:prstDash val="solid"/>
            </a:ln>
          </c:spPr>
          <c:marker>
            <c:symbol val="none"/>
          </c:marker>
          <c:xVal>
            <c:numLit>
              <c:formatCode>General</c:formatCode>
              <c:ptCount val="2"/>
              <c:pt idx="0">
                <c:v>-3.6296464070240311</c:v>
              </c:pt>
              <c:pt idx="1">
                <c:v>-3.9262879289068784</c:v>
              </c:pt>
            </c:numLit>
          </c:xVal>
          <c:yVal>
            <c:numLit>
              <c:formatCode>General</c:formatCode>
              <c:ptCount val="2"/>
              <c:pt idx="0">
                <c:v>1.9674959043059544E-2</c:v>
              </c:pt>
              <c:pt idx="1">
                <c:v>1.9641848560224669E-2</c:v>
              </c:pt>
            </c:numLit>
          </c:yVal>
          <c:smooth val="0"/>
          <c:extLst>
            <c:ext xmlns:c16="http://schemas.microsoft.com/office/drawing/2014/chart" uri="{C3380CC4-5D6E-409C-BE32-E72D297353CC}">
              <c16:uniqueId val="{00000012-E593-47C0-BD80-CBE25F05A847}"/>
            </c:ext>
          </c:extLst>
        </c:ser>
        <c:ser>
          <c:idx val="16"/>
          <c:order val="16"/>
          <c:spPr>
            <a:ln w="3175">
              <a:solidFill>
                <a:srgbClr val="000000"/>
              </a:solidFill>
              <a:prstDash val="solid"/>
            </a:ln>
          </c:spPr>
          <c:marker>
            <c:symbol val="none"/>
          </c:marker>
          <c:xVal>
            <c:numLit>
              <c:formatCode>General</c:formatCode>
              <c:ptCount val="2"/>
              <c:pt idx="0">
                <c:v>-3.5977936301001021</c:v>
              </c:pt>
              <c:pt idx="1">
                <c:v>-3.8936014035493267</c:v>
              </c:pt>
            </c:numLit>
          </c:xVal>
          <c:yVal>
            <c:numLit>
              <c:formatCode>General</c:formatCode>
              <c:ptCount val="2"/>
              <c:pt idx="0">
                <c:v>1.9528848142313003E-2</c:v>
              </c:pt>
              <c:pt idx="1">
                <c:v>1.9491881254637813E-2</c:v>
              </c:pt>
            </c:numLit>
          </c:yVal>
          <c:smooth val="0"/>
          <c:extLst>
            <c:ext xmlns:c16="http://schemas.microsoft.com/office/drawing/2014/chart" uri="{C3380CC4-5D6E-409C-BE32-E72D297353CC}">
              <c16:uniqueId val="{00000013-E593-47C0-BD80-CBE25F05A847}"/>
            </c:ext>
          </c:extLst>
        </c:ser>
        <c:ser>
          <c:idx val="17"/>
          <c:order val="17"/>
          <c:spPr>
            <a:ln w="3175">
              <a:solidFill>
                <a:srgbClr val="000000"/>
              </a:solidFill>
              <a:prstDash val="solid"/>
            </a:ln>
          </c:spPr>
          <c:marker>
            <c:symbol val="none"/>
          </c:marker>
          <c:xVal>
            <c:numLit>
              <c:formatCode>General</c:formatCode>
              <c:ptCount val="2"/>
              <c:pt idx="0">
                <c:v>-3.5606742779232401</c:v>
              </c:pt>
              <c:pt idx="1">
                <c:v>-3.8555103033006843</c:v>
              </c:pt>
            </c:numLit>
          </c:xVal>
          <c:yVal>
            <c:numLit>
              <c:formatCode>General</c:formatCode>
              <c:ptCount val="2"/>
              <c:pt idx="0">
                <c:v>1.9376264717732728E-2</c:v>
              </c:pt>
              <c:pt idx="1">
                <c:v>1.9335269988825475E-2</c:v>
              </c:pt>
            </c:numLit>
          </c:yVal>
          <c:smooth val="0"/>
          <c:extLst>
            <c:ext xmlns:c16="http://schemas.microsoft.com/office/drawing/2014/chart" uri="{C3380CC4-5D6E-409C-BE32-E72D297353CC}">
              <c16:uniqueId val="{00000014-E593-47C0-BD80-CBE25F05A847}"/>
            </c:ext>
          </c:extLst>
        </c:ser>
        <c:ser>
          <c:idx val="18"/>
          <c:order val="18"/>
          <c:spPr>
            <a:ln w="3175">
              <a:solidFill>
                <a:srgbClr val="000000"/>
              </a:solidFill>
              <a:prstDash val="solid"/>
            </a:ln>
          </c:spPr>
          <c:marker>
            <c:symbol val="none"/>
          </c:marker>
          <c:xVal>
            <c:numLit>
              <c:formatCode>General</c:formatCode>
              <c:ptCount val="2"/>
              <c:pt idx="0">
                <c:v>-3.517668638557927</c:v>
              </c:pt>
              <c:pt idx="1">
                <c:v>-3.8113786218780392</c:v>
              </c:pt>
            </c:numLit>
          </c:xVal>
          <c:yVal>
            <c:numLit>
              <c:formatCode>General</c:formatCode>
              <c:ptCount val="2"/>
              <c:pt idx="0">
                <c:v>1.921694067579767E-2</c:v>
              </c:pt>
              <c:pt idx="1">
                <c:v>1.917173944071374E-2</c:v>
              </c:pt>
            </c:numLit>
          </c:yVal>
          <c:smooth val="0"/>
          <c:extLst>
            <c:ext xmlns:c16="http://schemas.microsoft.com/office/drawing/2014/chart" uri="{C3380CC4-5D6E-409C-BE32-E72D297353CC}">
              <c16:uniqueId val="{00000015-E593-47C0-BD80-CBE25F05A847}"/>
            </c:ext>
          </c:extLst>
        </c:ser>
        <c:ser>
          <c:idx val="19"/>
          <c:order val="19"/>
          <c:spPr>
            <a:ln w="3175">
              <a:solidFill>
                <a:srgbClr val="000000"/>
              </a:solidFill>
              <a:prstDash val="solid"/>
            </a:ln>
          </c:spPr>
          <c:marker>
            <c:symbol val="none"/>
          </c:marker>
          <c:xVal>
            <c:numLit>
              <c:formatCode>General</c:formatCode>
              <c:ptCount val="2"/>
              <c:pt idx="0">
                <c:v>-3.4680907686435161</c:v>
              </c:pt>
              <c:pt idx="1">
                <c:v>-4.0529202023993429</c:v>
              </c:pt>
            </c:numLit>
          </c:xVal>
          <c:yVal>
            <c:numLit>
              <c:formatCode>General</c:formatCode>
              <c:ptCount val="2"/>
              <c:pt idx="0">
                <c:v>1.905061686979987E-2</c:v>
              </c:pt>
              <c:pt idx="1">
                <c:v>1.8951450076302702E-2</c:v>
              </c:pt>
            </c:numLit>
          </c:yVal>
          <c:smooth val="0"/>
          <c:extLst>
            <c:ext xmlns:c16="http://schemas.microsoft.com/office/drawing/2014/chart" uri="{C3380CC4-5D6E-409C-BE32-E72D297353CC}">
              <c16:uniqueId val="{00000016-E593-47C0-BD80-CBE25F05A847}"/>
            </c:ext>
          </c:extLst>
        </c:ser>
        <c:ser>
          <c:idx val="20"/>
          <c:order val="20"/>
          <c:spPr>
            <a:ln w="3175">
              <a:solidFill>
                <a:srgbClr val="000000"/>
              </a:solidFill>
              <a:prstDash val="solid"/>
            </a:ln>
          </c:spPr>
          <c:marker>
            <c:symbol val="none"/>
          </c:marker>
          <c:dLbls>
            <c:dLbl>
              <c:idx val="0"/>
              <c:tx>
                <c:rich>
                  <a:bodyPr rot="-7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0.70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593-47C0-BD80-CBE25F05A84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-4.7937399600325126</c:v>
              </c:pt>
            </c:numLit>
          </c:xVal>
          <c:yVal>
            <c:numLit>
              <c:formatCode>General</c:formatCode>
              <c:ptCount val="1"/>
              <c:pt idx="0">
                <c:v>1.8825953904367372E-2</c:v>
              </c:pt>
            </c:numLit>
          </c:yVal>
          <c:smooth val="0"/>
          <c:extLst>
            <c:ext xmlns:c16="http://schemas.microsoft.com/office/drawing/2014/chart" uri="{C3380CC4-5D6E-409C-BE32-E72D297353CC}">
              <c16:uniqueId val="{00000018-E593-47C0-BD80-CBE25F05A847}"/>
            </c:ext>
          </c:extLst>
        </c:ser>
        <c:ser>
          <c:idx val="21"/>
          <c:order val="21"/>
          <c:spPr>
            <a:ln w="3175">
              <a:solidFill>
                <a:srgbClr val="000000"/>
              </a:solidFill>
              <a:prstDash val="solid"/>
            </a:ln>
          </c:spPr>
          <c:marker>
            <c:symbol val="none"/>
          </c:marker>
          <c:xVal>
            <c:numLit>
              <c:formatCode>General</c:formatCode>
              <c:ptCount val="2"/>
              <c:pt idx="0">
                <c:v>-3.4406035633560976</c:v>
              </c:pt>
              <c:pt idx="1">
                <c:v>-3.7322951803470819</c:v>
              </c:pt>
            </c:numLit>
          </c:xVal>
          <c:yVal>
            <c:numLit>
              <c:formatCode>General</c:formatCode>
              <c:ptCount val="2"/>
              <c:pt idx="0">
                <c:v>1.8964752998040003E-2</c:v>
              </c:pt>
              <c:pt idx="1">
                <c:v>1.891289174648661E-2</c:v>
              </c:pt>
            </c:numLit>
          </c:yVal>
          <c:smooth val="0"/>
          <c:extLst>
            <c:ext xmlns:c16="http://schemas.microsoft.com/office/drawing/2014/chart" uri="{C3380CC4-5D6E-409C-BE32-E72D297353CC}">
              <c16:uniqueId val="{00000019-E593-47C0-BD80-CBE25F05A847}"/>
            </c:ext>
          </c:extLst>
        </c:ser>
        <c:ser>
          <c:idx val="22"/>
          <c:order val="22"/>
          <c:spPr>
            <a:ln w="3175">
              <a:solidFill>
                <a:srgbClr val="000000"/>
              </a:solidFill>
              <a:prstDash val="solid"/>
            </a:ln>
          </c:spPr>
          <c:marker>
            <c:symbol val="none"/>
          </c:marker>
          <c:xVal>
            <c:numLit>
              <c:formatCode>General</c:formatCode>
              <c:ptCount val="2"/>
              <c:pt idx="0">
                <c:v>-3.4111835808515791</c:v>
              </c:pt>
              <c:pt idx="1">
                <c:v>-3.7021044990194212</c:v>
              </c:pt>
            </c:numLit>
          </c:xVal>
          <c:yVal>
            <c:numLit>
              <c:formatCode>General</c:formatCode>
              <c:ptCount val="2"/>
              <c:pt idx="0">
                <c:v>1.8877049224379265E-2</c:v>
              </c:pt>
              <c:pt idx="1">
                <c:v>1.8822871269990157E-2</c:v>
              </c:pt>
            </c:numLit>
          </c:yVal>
          <c:smooth val="0"/>
          <c:extLst>
            <c:ext xmlns:c16="http://schemas.microsoft.com/office/drawing/2014/chart" uri="{C3380CC4-5D6E-409C-BE32-E72D297353CC}">
              <c16:uniqueId val="{0000001A-E593-47C0-BD80-CBE25F05A847}"/>
            </c:ext>
          </c:extLst>
        </c:ser>
        <c:ser>
          <c:idx val="23"/>
          <c:order val="23"/>
          <c:spPr>
            <a:ln w="3175">
              <a:solidFill>
                <a:srgbClr val="000000"/>
              </a:solidFill>
              <a:prstDash val="solid"/>
            </a:ln>
          </c:spPr>
          <c:marker>
            <c:symbol val="none"/>
          </c:marker>
          <c:xVal>
            <c:numLit>
              <c:formatCode>General</c:formatCode>
              <c:ptCount val="2"/>
              <c:pt idx="0">
                <c:v>-3.3797243325935047</c:v>
              </c:pt>
              <c:pt idx="1">
                <c:v>-3.6698210225191046</c:v>
              </c:pt>
            </c:numLit>
          </c:xVal>
          <c:yVal>
            <c:numLit>
              <c:formatCode>General</c:formatCode>
              <c:ptCount val="2"/>
              <c:pt idx="0">
                <c:v>1.8787478625185268E-2</c:v>
              </c:pt>
              <c:pt idx="1">
                <c:v>1.8730934348336725E-2</c:v>
              </c:pt>
            </c:numLit>
          </c:yVal>
          <c:smooth val="0"/>
          <c:extLst>
            <c:ext xmlns:c16="http://schemas.microsoft.com/office/drawing/2014/chart" uri="{C3380CC4-5D6E-409C-BE32-E72D297353CC}">
              <c16:uniqueId val="{0000001B-E593-47C0-BD80-CBE25F05A847}"/>
            </c:ext>
          </c:extLst>
        </c:ser>
        <c:ser>
          <c:idx val="24"/>
          <c:order val="24"/>
          <c:spPr>
            <a:ln w="3175">
              <a:solidFill>
                <a:srgbClr val="000000"/>
              </a:solidFill>
              <a:prstDash val="solid"/>
            </a:ln>
          </c:spPr>
          <c:marker>
            <c:symbol val="none"/>
          </c:marker>
          <c:xVal>
            <c:numLit>
              <c:formatCode>General</c:formatCode>
              <c:ptCount val="2"/>
              <c:pt idx="0">
                <c:v>-3.3461143621710736</c:v>
              </c:pt>
              <c:pt idx="1">
                <c:v>-3.6353303523381379</c:v>
              </c:pt>
            </c:numLit>
          </c:xVal>
          <c:yVal>
            <c:numLit>
              <c:formatCode>General</c:formatCode>
              <c:ptCount val="2"/>
              <c:pt idx="0">
                <c:v>1.8696016241449256E-2</c:v>
              </c:pt>
              <c:pt idx="1">
                <c:v>1.8637055329613312E-2</c:v>
              </c:pt>
            </c:numLit>
          </c:yVal>
          <c:smooth val="0"/>
          <c:extLst>
            <c:ext xmlns:c16="http://schemas.microsoft.com/office/drawing/2014/chart" uri="{C3380CC4-5D6E-409C-BE32-E72D297353CC}">
              <c16:uniqueId val="{0000001C-E593-47C0-BD80-CBE25F05A847}"/>
            </c:ext>
          </c:extLst>
        </c:ser>
        <c:ser>
          <c:idx val="25"/>
          <c:order val="25"/>
          <c:spPr>
            <a:ln w="3175">
              <a:solidFill>
                <a:srgbClr val="000000"/>
              </a:solidFill>
              <a:prstDash val="solid"/>
            </a:ln>
          </c:spPr>
          <c:marker>
            <c:symbol val="none"/>
          </c:marker>
          <c:xVal>
            <c:numLit>
              <c:formatCode>General</c:formatCode>
              <c:ptCount val="2"/>
              <c:pt idx="0">
                <c:v>-3.3102371536754234</c:v>
              </c:pt>
              <c:pt idx="1">
                <c:v>-3.8867980751786924</c:v>
              </c:pt>
            </c:numLit>
          </c:xVal>
          <c:yVal>
            <c:numLit>
              <c:formatCode>General</c:formatCode>
              <c:ptCount val="2"/>
              <c:pt idx="0">
                <c:v>1.8602639402078635E-2</c:v>
              </c:pt>
              <c:pt idx="1">
                <c:v>1.8479806553120048E-2</c:v>
              </c:pt>
            </c:numLit>
          </c:yVal>
          <c:smooth val="0"/>
          <c:extLst>
            <c:ext xmlns:c16="http://schemas.microsoft.com/office/drawing/2014/chart" uri="{C3380CC4-5D6E-409C-BE32-E72D297353CC}">
              <c16:uniqueId val="{0000001D-E593-47C0-BD80-CBE25F05A847}"/>
            </c:ext>
          </c:extLst>
        </c:ser>
        <c:ser>
          <c:idx val="26"/>
          <c:order val="26"/>
          <c:spPr>
            <a:ln w="3175">
              <a:solidFill>
                <a:srgbClr val="000000"/>
              </a:solidFill>
              <a:prstDash val="solid"/>
            </a:ln>
          </c:spPr>
          <c:marker>
            <c:symbol val="none"/>
          </c:marker>
          <c:xVal>
            <c:numLit>
              <c:formatCode>General</c:formatCode>
              <c:ptCount val="2"/>
              <c:pt idx="0">
                <c:v>-3.2719710627580656</c:v>
              </c:pt>
              <c:pt idx="1">
                <c:v>-3.5592437900382992</c:v>
              </c:pt>
            </c:numLit>
          </c:xVal>
          <c:yVal>
            <c:numLit>
              <c:formatCode>General</c:formatCode>
              <c:ptCount val="2"/>
              <c:pt idx="0">
                <c:v>1.85073280758347E-2</c:v>
              </c:pt>
              <c:pt idx="1">
                <c:v>1.8443380483584921E-2</c:v>
              </c:pt>
            </c:numLit>
          </c:yVal>
          <c:smooth val="0"/>
          <c:extLst>
            <c:ext xmlns:c16="http://schemas.microsoft.com/office/drawing/2014/chart" uri="{C3380CC4-5D6E-409C-BE32-E72D297353CC}">
              <c16:uniqueId val="{0000001E-E593-47C0-BD80-CBE25F05A847}"/>
            </c:ext>
          </c:extLst>
        </c:ser>
        <c:ser>
          <c:idx val="27"/>
          <c:order val="27"/>
          <c:spPr>
            <a:ln w="3175">
              <a:solidFill>
                <a:srgbClr val="000000"/>
              </a:solidFill>
              <a:prstDash val="solid"/>
            </a:ln>
          </c:spPr>
          <c:marker>
            <c:symbol val="none"/>
          </c:marker>
          <c:xVal>
            <c:numLit>
              <c:formatCode>General</c:formatCode>
              <c:ptCount val="2"/>
              <c:pt idx="0">
                <c:v>-3.2311892749519693</c:v>
              </c:pt>
              <c:pt idx="1">
                <c:v>-3.5173928687057834</c:v>
              </c:pt>
            </c:numLit>
          </c:xVal>
          <c:yVal>
            <c:numLit>
              <c:formatCode>General</c:formatCode>
              <c:ptCount val="2"/>
              <c:pt idx="0">
                <c:v>1.8410065253019303E-2</c:v>
              </c:pt>
              <c:pt idx="1">
                <c:v>1.8343546556689797E-2</c:v>
              </c:pt>
            </c:numLit>
          </c:yVal>
          <c:smooth val="0"/>
          <c:extLst>
            <c:ext xmlns:c16="http://schemas.microsoft.com/office/drawing/2014/chart" uri="{C3380CC4-5D6E-409C-BE32-E72D297353CC}">
              <c16:uniqueId val="{0000001F-E593-47C0-BD80-CBE25F05A847}"/>
            </c:ext>
          </c:extLst>
        </c:ser>
        <c:ser>
          <c:idx val="28"/>
          <c:order val="28"/>
          <c:spPr>
            <a:ln w="3175">
              <a:solidFill>
                <a:srgbClr val="000000"/>
              </a:solidFill>
              <a:prstDash val="solid"/>
            </a:ln>
          </c:spPr>
          <c:marker>
            <c:symbol val="none"/>
          </c:marker>
          <c:xVal>
            <c:numLit>
              <c:formatCode>General</c:formatCode>
              <c:ptCount val="2"/>
              <c:pt idx="0">
                <c:v>-3.1877597963437578</c:v>
              </c:pt>
              <c:pt idx="1">
                <c:v>-3.4728246421453663</c:v>
              </c:pt>
            </c:numLit>
          </c:xVal>
          <c:yVal>
            <c:numLit>
              <c:formatCode>General</c:formatCode>
              <c:ptCount val="2"/>
              <c:pt idx="0">
                <c:v>1.8310837357796605E-2</c:v>
              </c:pt>
              <c:pt idx="1">
                <c:v>1.8241695148370509E-2</c:v>
              </c:pt>
            </c:numLit>
          </c:yVal>
          <c:smooth val="0"/>
          <c:extLst>
            <c:ext xmlns:c16="http://schemas.microsoft.com/office/drawing/2014/chart" uri="{C3380CC4-5D6E-409C-BE32-E72D297353CC}">
              <c16:uniqueId val="{00000020-E593-47C0-BD80-CBE25F05A847}"/>
            </c:ext>
          </c:extLst>
        </c:ser>
        <c:ser>
          <c:idx val="29"/>
          <c:order val="29"/>
          <c:spPr>
            <a:ln w="3175">
              <a:solidFill>
                <a:srgbClr val="000000"/>
              </a:solidFill>
              <a:prstDash val="solid"/>
            </a:ln>
          </c:spPr>
          <c:marker>
            <c:symbol val="none"/>
          </c:marker>
          <c:xVal>
            <c:numLit>
              <c:formatCode>General</c:formatCode>
              <c:ptCount val="2"/>
              <c:pt idx="0">
                <c:v>-3.1415454822086812</c:v>
              </c:pt>
              <c:pt idx="1">
                <c:v>-3.4253983312720453</c:v>
              </c:pt>
            </c:numLit>
          </c:xVal>
          <c:yVal>
            <c:numLit>
              <c:formatCode>General</c:formatCode>
              <c:ptCount val="2"/>
              <c:pt idx="0">
                <c:v>1.820963469175254E-2</c:v>
              </c:pt>
              <c:pt idx="1">
                <c:v>1.8137816256964326E-2</c:v>
              </c:pt>
            </c:numLit>
          </c:yVal>
          <c:smooth val="0"/>
          <c:extLst>
            <c:ext xmlns:c16="http://schemas.microsoft.com/office/drawing/2014/chart" uri="{C3380CC4-5D6E-409C-BE32-E72D297353CC}">
              <c16:uniqueId val="{00000021-E593-47C0-BD80-CBE25F05A847}"/>
            </c:ext>
          </c:extLst>
        </c:ser>
        <c:ser>
          <c:idx val="30"/>
          <c:order val="30"/>
          <c:spPr>
            <a:ln w="3175">
              <a:solidFill>
                <a:srgbClr val="000000"/>
              </a:solidFill>
              <a:prstDash val="solid"/>
            </a:ln>
          </c:spPr>
          <c:marker>
            <c:symbol val="none"/>
          </c:marker>
          <c:xVal>
            <c:numLit>
              <c:formatCode>General</c:formatCode>
              <c:ptCount val="2"/>
              <c:pt idx="0">
                <c:v>-3.0924041097491268</c:v>
              </c:pt>
              <c:pt idx="1">
                <c:v>-3.6575453920736818</c:v>
              </c:pt>
            </c:numLit>
          </c:xVal>
          <c:yVal>
            <c:numLit>
              <c:formatCode>General</c:formatCode>
              <c:ptCount val="2"/>
              <c:pt idx="0">
                <c:v>1.8106451908935582E-2</c:v>
              </c:pt>
              <c:pt idx="1">
                <c:v>1.7957384915551974E-2</c:v>
              </c:pt>
            </c:numLit>
          </c:yVal>
          <c:smooth val="0"/>
          <c:extLst>
            <c:ext xmlns:c16="http://schemas.microsoft.com/office/drawing/2014/chart" uri="{C3380CC4-5D6E-409C-BE32-E72D297353CC}">
              <c16:uniqueId val="{00000022-E593-47C0-BD80-CBE25F05A847}"/>
            </c:ext>
          </c:extLst>
        </c:ser>
        <c:ser>
          <c:idx val="31"/>
          <c:order val="31"/>
          <c:spPr>
            <a:ln w="3175">
              <a:solidFill>
                <a:srgbClr val="000000"/>
              </a:solidFill>
              <a:prstDash val="solid"/>
            </a:ln>
          </c:spPr>
          <c:marker>
            <c:symbol val="none"/>
          </c:marker>
          <c:dLbls>
            <c:dLbl>
              <c:idx val="0"/>
              <c:tx>
                <c:rich>
                  <a:bodyPr rot="-12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0.60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3-E593-47C0-BD80-CBE25F05A84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-4.3734691487420454</c:v>
              </c:pt>
            </c:numLit>
          </c:xVal>
          <c:yVal>
            <c:numLit>
              <c:formatCode>General</c:formatCode>
              <c:ptCount val="1"/>
              <c:pt idx="0">
                <c:v>1.7768728173225303E-2</c:v>
              </c:pt>
            </c:numLit>
          </c:yVal>
          <c:smooth val="0"/>
          <c:extLst>
            <c:ext xmlns:c16="http://schemas.microsoft.com/office/drawing/2014/chart" uri="{C3380CC4-5D6E-409C-BE32-E72D297353CC}">
              <c16:uniqueId val="{00000024-E593-47C0-BD80-CBE25F05A847}"/>
            </c:ext>
          </c:extLst>
        </c:ser>
        <c:ser>
          <c:idx val="32"/>
          <c:order val="32"/>
          <c:spPr>
            <a:ln w="3175">
              <a:solidFill>
                <a:srgbClr val="000000"/>
              </a:solidFill>
              <a:prstDash val="solid"/>
            </a:ln>
          </c:spPr>
          <c:marker>
            <c:symbol val="none"/>
          </c:marker>
          <c:xVal>
            <c:numLit>
              <c:formatCode>General</c:formatCode>
              <c:ptCount val="2"/>
              <c:pt idx="0">
                <c:v>-3.0401885016002286</c:v>
              </c:pt>
              <c:pt idx="1">
                <c:v>-3.3213823853739761</c:v>
              </c:pt>
            </c:numLit>
          </c:xVal>
          <c:yVal>
            <c:numLit>
              <c:formatCode>General</c:formatCode>
              <c:ptCount val="2"/>
              <c:pt idx="0">
                <c:v>1.8001288522178398E-2</c:v>
              </c:pt>
              <c:pt idx="1">
                <c:v>1.79239588608462E-2</c:v>
              </c:pt>
            </c:numLit>
          </c:yVal>
          <c:smooth val="0"/>
          <c:extLst>
            <c:ext xmlns:c16="http://schemas.microsoft.com/office/drawing/2014/chart" uri="{C3380CC4-5D6E-409C-BE32-E72D297353CC}">
              <c16:uniqueId val="{00000025-E593-47C0-BD80-CBE25F05A847}"/>
            </c:ext>
          </c:extLst>
        </c:ser>
        <c:ser>
          <c:idx val="33"/>
          <c:order val="33"/>
          <c:spPr>
            <a:ln w="3175">
              <a:solidFill>
                <a:srgbClr val="000000"/>
              </a:solidFill>
              <a:prstDash val="solid"/>
            </a:ln>
          </c:spPr>
          <c:marker>
            <c:symbol val="none"/>
          </c:marker>
          <c:xVal>
            <c:numLit>
              <c:formatCode>General</c:formatCode>
              <c:ptCount val="2"/>
              <c:pt idx="0">
                <c:v>-2.9847467072668263</c:v>
              </c:pt>
              <c:pt idx="1">
                <c:v>-3.2644856755106595</c:v>
              </c:pt>
            </c:numLit>
          </c:xVal>
          <c:yVal>
            <c:numLit>
              <c:formatCode>General</c:formatCode>
              <c:ptCount val="2"/>
              <c:pt idx="0">
                <c:v>1.7894149439960622E-2</c:v>
              </c:pt>
              <c:pt idx="1">
                <c:v>1.7813984785902574E-2</c:v>
              </c:pt>
            </c:numLit>
          </c:yVal>
          <c:smooth val="0"/>
          <c:extLst>
            <c:ext xmlns:c16="http://schemas.microsoft.com/office/drawing/2014/chart" uri="{C3380CC4-5D6E-409C-BE32-E72D297353CC}">
              <c16:uniqueId val="{00000026-E593-47C0-BD80-CBE25F05A847}"/>
            </c:ext>
          </c:extLst>
        </c:ser>
        <c:ser>
          <c:idx val="34"/>
          <c:order val="34"/>
          <c:spPr>
            <a:ln w="3175">
              <a:solidFill>
                <a:srgbClr val="000000"/>
              </a:solidFill>
              <a:prstDash val="solid"/>
            </a:ln>
          </c:spPr>
          <c:marker>
            <c:symbol val="none"/>
          </c:marker>
          <c:xVal>
            <c:numLit>
              <c:formatCode>General</c:formatCode>
              <c:ptCount val="2"/>
              <c:pt idx="0">
                <c:v>-2.9259222501155961</c:v>
              </c:pt>
              <c:pt idx="1">
                <c:v>-3.2041171702836717</c:v>
              </c:pt>
            </c:numLit>
          </c:xVal>
          <c:yVal>
            <c:numLit>
              <c:formatCode>General</c:formatCode>
              <c:ptCount val="2"/>
              <c:pt idx="0">
                <c:v>1.7785045532430037E-2</c:v>
              </c:pt>
              <c:pt idx="1">
                <c:v>1.7701993219551154E-2</c:v>
              </c:pt>
            </c:numLit>
          </c:yVal>
          <c:smooth val="0"/>
          <c:extLst>
            <c:ext xmlns:c16="http://schemas.microsoft.com/office/drawing/2014/chart" uri="{C3380CC4-5D6E-409C-BE32-E72D297353CC}">
              <c16:uniqueId val="{00000027-E593-47C0-BD80-CBE25F05A847}"/>
            </c:ext>
          </c:extLst>
        </c:ser>
        <c:ser>
          <c:idx val="35"/>
          <c:order val="35"/>
          <c:spPr>
            <a:ln w="3175">
              <a:solidFill>
                <a:srgbClr val="000000"/>
              </a:solidFill>
              <a:prstDash val="solid"/>
            </a:ln>
          </c:spPr>
          <c:marker>
            <c:symbol val="none"/>
          </c:marker>
          <c:xVal>
            <c:numLit>
              <c:formatCode>General</c:formatCode>
              <c:ptCount val="2"/>
              <c:pt idx="0">
                <c:v>-2.8635544479409476</c:v>
              </c:pt>
              <c:pt idx="1">
                <c:v>-3.1401119058801523</c:v>
              </c:pt>
            </c:numLit>
          </c:xVal>
          <c:yVal>
            <c:numLit>
              <c:formatCode>General</c:formatCode>
              <c:ptCount val="2"/>
              <c:pt idx="0">
                <c:v>1.7673994224443108E-2</c:v>
              </c:pt>
              <c:pt idx="1">
                <c:v>1.7588001986049255E-2</c:v>
              </c:pt>
            </c:numLit>
          </c:yVal>
          <c:smooth val="0"/>
          <c:extLst>
            <c:ext xmlns:c16="http://schemas.microsoft.com/office/drawing/2014/chart" uri="{C3380CC4-5D6E-409C-BE32-E72D297353CC}">
              <c16:uniqueId val="{00000028-E593-47C0-BD80-CBE25F05A847}"/>
            </c:ext>
          </c:extLst>
        </c:ser>
        <c:ser>
          <c:idx val="36"/>
          <c:order val="36"/>
          <c:spPr>
            <a:ln w="3175">
              <a:solidFill>
                <a:srgbClr val="000000"/>
              </a:solidFill>
              <a:prstDash val="solid"/>
            </a:ln>
          </c:spPr>
          <c:marker>
            <c:symbol val="none"/>
          </c:marker>
          <c:xVal>
            <c:numLit>
              <c:formatCode>General</c:formatCode>
              <c:ptCount val="2"/>
              <c:pt idx="0">
                <c:v>-2.7974788154258228</c:v>
              </c:pt>
              <c:pt idx="1">
                <c:v>-3.347142064510721</c:v>
              </c:pt>
            </c:numLit>
          </c:xVal>
          <c:yVal>
            <c:numLit>
              <c:formatCode>General</c:formatCode>
              <c:ptCount val="2"/>
              <c:pt idx="0">
                <c:v>1.7561020112610893E-2</c:v>
              </c:pt>
              <c:pt idx="1">
                <c:v>1.7383084173262529E-2</c:v>
              </c:pt>
            </c:numLit>
          </c:yVal>
          <c:smooth val="0"/>
          <c:extLst>
            <c:ext xmlns:c16="http://schemas.microsoft.com/office/drawing/2014/chart" uri="{C3380CC4-5D6E-409C-BE32-E72D297353CC}">
              <c16:uniqueId val="{00000029-E593-47C0-BD80-CBE25F05A847}"/>
            </c:ext>
          </c:extLst>
        </c:ser>
        <c:ser>
          <c:idx val="37"/>
          <c:order val="37"/>
          <c:spPr>
            <a:ln w="3175">
              <a:solidFill>
                <a:srgbClr val="000000"/>
              </a:solidFill>
              <a:prstDash val="solid"/>
            </a:ln>
          </c:spPr>
          <c:marker>
            <c:symbol val="none"/>
          </c:marker>
          <c:xVal>
            <c:numLit>
              <c:formatCode>General</c:formatCode>
              <c:ptCount val="2"/>
              <c:pt idx="0">
                <c:v>-2.7275275569962796</c:v>
              </c:pt>
              <c:pt idx="1">
                <c:v>-3.000512197277649</c:v>
              </c:pt>
            </c:numLit>
          </c:xVal>
          <c:yVal>
            <c:numLit>
              <c:formatCode>General</c:formatCode>
              <c:ptCount val="2"/>
              <c:pt idx="0">
                <c:v>1.7446155602337338E-2</c:v>
              </c:pt>
              <c:pt idx="1">
                <c:v>1.7354129262755674E-2</c:v>
              </c:pt>
            </c:numLit>
          </c:yVal>
          <c:smooth val="0"/>
          <c:extLst>
            <c:ext xmlns:c16="http://schemas.microsoft.com/office/drawing/2014/chart" uri="{C3380CC4-5D6E-409C-BE32-E72D297353CC}">
              <c16:uniqueId val="{0000002A-E593-47C0-BD80-CBE25F05A847}"/>
            </c:ext>
          </c:extLst>
        </c:ser>
        <c:ser>
          <c:idx val="38"/>
          <c:order val="38"/>
          <c:spPr>
            <a:ln w="3175">
              <a:solidFill>
                <a:srgbClr val="000000"/>
              </a:solidFill>
              <a:prstDash val="solid"/>
            </a:ln>
          </c:spPr>
          <c:marker>
            <c:symbol val="none"/>
          </c:marker>
          <c:xVal>
            <c:numLit>
              <c:formatCode>General</c:formatCode>
              <c:ptCount val="2"/>
              <c:pt idx="0">
                <c:v>-2.6535301585852245</c:v>
              </c:pt>
              <c:pt idx="1">
                <c:v>-2.9245703956378155</c:v>
              </c:pt>
            </c:numLit>
          </c:xVal>
          <c:yVal>
            <c:numLit>
              <c:formatCode>General</c:formatCode>
              <c:ptCount val="2"/>
              <c:pt idx="0">
                <c:v>1.7329441559713527E-2</c:v>
              </c:pt>
              <c:pt idx="1">
                <c:v>1.7234322847302124E-2</c:v>
              </c:pt>
            </c:numLit>
          </c:yVal>
          <c:smooth val="0"/>
          <c:extLst>
            <c:ext xmlns:c16="http://schemas.microsoft.com/office/drawing/2014/chart" uri="{C3380CC4-5D6E-409C-BE32-E72D297353CC}">
              <c16:uniqueId val="{0000002B-E593-47C0-BD80-CBE25F05A847}"/>
            </c:ext>
          </c:extLst>
        </c:ser>
        <c:ser>
          <c:idx val="39"/>
          <c:order val="39"/>
          <c:spPr>
            <a:ln w="3175">
              <a:solidFill>
                <a:srgbClr val="000000"/>
              </a:solidFill>
              <a:prstDash val="solid"/>
            </a:ln>
          </c:spPr>
          <c:marker>
            <c:symbol val="none"/>
          </c:marker>
          <c:xVal>
            <c:numLit>
              <c:formatCode>General</c:formatCode>
              <c:ptCount val="2"/>
              <c:pt idx="0">
                <c:v>-2.575314086634803</c:v>
              </c:pt>
              <c:pt idx="1">
                <c:v>-2.8442984434997114</c:v>
              </c:pt>
            </c:numLit>
          </c:xVal>
          <c:yVal>
            <c:numLit>
              <c:formatCode>General</c:formatCode>
              <c:ptCount val="2"/>
              <c:pt idx="0">
                <c:v>1.7210927971887027E-2</c:v>
              </c:pt>
              <c:pt idx="1">
                <c:v>1.7112668261044767E-2</c:v>
              </c:pt>
            </c:numLit>
          </c:yVal>
          <c:smooth val="0"/>
          <c:extLst>
            <c:ext xmlns:c16="http://schemas.microsoft.com/office/drawing/2014/chart" uri="{C3380CC4-5D6E-409C-BE32-E72D297353CC}">
              <c16:uniqueId val="{0000002C-E593-47C0-BD80-CBE25F05A847}"/>
            </c:ext>
          </c:extLst>
        </c:ser>
        <c:ser>
          <c:idx val="40"/>
          <c:order val="40"/>
          <c:spPr>
            <a:ln w="3175">
              <a:solidFill>
                <a:srgbClr val="000000"/>
              </a:solidFill>
              <a:prstDash val="solid"/>
            </a:ln>
          </c:spPr>
          <c:marker>
            <c:symbol val="none"/>
          </c:marker>
          <c:xVal>
            <c:numLit>
              <c:formatCode>General</c:formatCode>
              <c:ptCount val="2"/>
              <c:pt idx="0">
                <c:v>-2.4927056022343019</c:v>
              </c:pt>
              <c:pt idx="1">
                <c:v>-2.7595179345950451</c:v>
              </c:pt>
            </c:numLit>
          </c:xVal>
          <c:yVal>
            <c:numLit>
              <c:formatCode>General</c:formatCode>
              <c:ptCount val="2"/>
              <c:pt idx="0">
                <c:v>1.7090674608169102E-2</c:v>
              </c:pt>
              <c:pt idx="1">
                <c:v>1.6989226782600338E-2</c:v>
              </c:pt>
            </c:numLit>
          </c:yVal>
          <c:smooth val="0"/>
          <c:extLst>
            <c:ext xmlns:c16="http://schemas.microsoft.com/office/drawing/2014/chart" uri="{C3380CC4-5D6E-409C-BE32-E72D297353CC}">
              <c16:uniqueId val="{0000002D-E593-47C0-BD80-CBE25F05A847}"/>
            </c:ext>
          </c:extLst>
        </c:ser>
        <c:ser>
          <c:idx val="41"/>
          <c:order val="41"/>
          <c:spPr>
            <a:ln w="3175">
              <a:solidFill>
                <a:srgbClr val="000000"/>
              </a:solidFill>
              <a:prstDash val="solid"/>
            </a:ln>
          </c:spPr>
          <c:marker>
            <c:symbol val="none"/>
          </c:marker>
          <c:xVal>
            <c:numLit>
              <c:formatCode>General</c:formatCode>
              <c:ptCount val="2"/>
              <c:pt idx="0">
                <c:v>-2.4055306975638757</c:v>
              </c:pt>
              <c:pt idx="1">
                <c:v>-2.9345947649926489</c:v>
              </c:pt>
            </c:numLit>
          </c:xVal>
          <c:yVal>
            <c:numLit>
              <c:formatCode>General</c:formatCode>
              <c:ptCount val="2"/>
              <c:pt idx="0">
                <c:v>1.6968751672690126E-2</c:v>
              </c:pt>
              <c:pt idx="1">
                <c:v>1.6759423705491334E-2</c:v>
              </c:pt>
            </c:numLit>
          </c:yVal>
          <c:smooth val="0"/>
          <c:extLst>
            <c:ext xmlns:c16="http://schemas.microsoft.com/office/drawing/2014/chart" uri="{C3380CC4-5D6E-409C-BE32-E72D297353CC}">
              <c16:uniqueId val="{0000002E-E593-47C0-BD80-CBE25F05A847}"/>
            </c:ext>
          </c:extLst>
        </c:ser>
        <c:ser>
          <c:idx val="42"/>
          <c:order val="42"/>
          <c:spPr>
            <a:ln w="3175">
              <a:solidFill>
                <a:srgbClr val="000000"/>
              </a:solidFill>
              <a:prstDash val="solid"/>
            </a:ln>
          </c:spPr>
          <c:marker>
            <c:symbol val="none"/>
          </c:marker>
          <c:dLbls>
            <c:dLbl>
              <c:idx val="0"/>
              <c:tx>
                <c:rich>
                  <a:bodyPr rot="-16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0.50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F-E593-47C0-BD80-CBE25F05A84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-3.6048866411471585</c:v>
              </c:pt>
            </c:numLit>
          </c:xVal>
          <c:yVal>
            <c:numLit>
              <c:formatCode>General</c:formatCode>
              <c:ptCount val="1"/>
              <c:pt idx="0">
                <c:v>1.649447339505386E-2</c:v>
              </c:pt>
            </c:numLit>
          </c:yVal>
          <c:smooth val="0"/>
          <c:extLst>
            <c:ext xmlns:c16="http://schemas.microsoft.com/office/drawing/2014/chart" uri="{C3380CC4-5D6E-409C-BE32-E72D297353CC}">
              <c16:uniqueId val="{00000030-E593-47C0-BD80-CBE25F05A847}"/>
            </c:ext>
          </c:extLst>
        </c:ser>
        <c:ser>
          <c:idx val="43"/>
          <c:order val="43"/>
          <c:spPr>
            <a:ln w="3175">
              <a:solidFill>
                <a:srgbClr val="000000"/>
              </a:solidFill>
              <a:prstDash val="solid"/>
            </a:ln>
          </c:spPr>
          <c:marker>
            <c:symbol val="none"/>
          </c:marker>
          <c:xVal>
            <c:numLit>
              <c:formatCode>General</c:formatCode>
              <c:ptCount val="2"/>
              <c:pt idx="0">
                <c:v>-2.313616160746133</c:v>
              </c:pt>
              <c:pt idx="1">
                <c:v>-2.5757172835089825</c:v>
              </c:pt>
            </c:numLit>
          </c:xVal>
          <c:yVal>
            <c:numLit>
              <c:formatCode>General</c:formatCode>
              <c:ptCount val="2"/>
              <c:pt idx="0">
                <c:v>1.6845240437890034E-2</c:v>
              </c:pt>
              <c:pt idx="1">
                <c:v>1.6737282465345154E-2</c:v>
              </c:pt>
            </c:numLit>
          </c:yVal>
          <c:smooth val="0"/>
          <c:extLst>
            <c:ext xmlns:c16="http://schemas.microsoft.com/office/drawing/2014/chart" uri="{C3380CC4-5D6E-409C-BE32-E72D297353CC}">
              <c16:uniqueId val="{00000031-E593-47C0-BD80-CBE25F05A847}"/>
            </c:ext>
          </c:extLst>
        </c:ser>
        <c:ser>
          <c:idx val="44"/>
          <c:order val="44"/>
          <c:spPr>
            <a:ln w="3175">
              <a:solidFill>
                <a:srgbClr val="000000"/>
              </a:solidFill>
              <a:prstDash val="solid"/>
            </a:ln>
          </c:spPr>
          <c:marker>
            <c:symbol val="none"/>
          </c:marker>
          <c:xVal>
            <c:numLit>
              <c:formatCode>General</c:formatCode>
              <c:ptCount val="2"/>
              <c:pt idx="0">
                <c:v>-2.216790773750446</c:v>
              </c:pt>
              <c:pt idx="1">
                <c:v>-2.4763434048290445</c:v>
              </c:pt>
            </c:numLit>
          </c:xVal>
          <c:yVal>
            <c:numLit>
              <c:formatCode>General</c:formatCode>
              <c:ptCount val="2"/>
              <c:pt idx="0">
                <c:v>1.6720233846569021E-2</c:v>
              </c:pt>
              <c:pt idx="1">
                <c:v>1.6608958306105915E-2</c:v>
              </c:pt>
            </c:numLit>
          </c:yVal>
          <c:smooth val="0"/>
          <c:extLst>
            <c:ext xmlns:c16="http://schemas.microsoft.com/office/drawing/2014/chart" uri="{C3380CC4-5D6E-409C-BE32-E72D297353CC}">
              <c16:uniqueId val="{00000032-E593-47C0-BD80-CBE25F05A847}"/>
            </c:ext>
          </c:extLst>
        </c:ser>
        <c:ser>
          <c:idx val="45"/>
          <c:order val="45"/>
          <c:spPr>
            <a:ln w="3175">
              <a:solidFill>
                <a:srgbClr val="000000"/>
              </a:solidFill>
              <a:prstDash val="solid"/>
            </a:ln>
          </c:spPr>
          <c:marker>
            <c:symbol val="none"/>
          </c:marker>
          <c:xVal>
            <c:numLit>
              <c:formatCode>General</c:formatCode>
              <c:ptCount val="2"/>
              <c:pt idx="0">
                <c:v>-2.1148866461057976</c:v>
              </c:pt>
              <c:pt idx="1">
                <c:v>-2.3717560940296778</c:v>
              </c:pt>
            </c:numLit>
          </c:xVal>
          <c:yVal>
            <c:numLit>
              <c:formatCode>General</c:formatCode>
              <c:ptCount val="2"/>
              <c:pt idx="0">
                <c:v>1.6593837068668817E-2</c:v>
              </c:pt>
              <c:pt idx="1">
                <c:v>1.6479205804989291E-2</c:v>
              </c:pt>
            </c:numLit>
          </c:yVal>
          <c:smooth val="0"/>
          <c:extLst>
            <c:ext xmlns:c16="http://schemas.microsoft.com/office/drawing/2014/chart" uri="{C3380CC4-5D6E-409C-BE32-E72D297353CC}">
              <c16:uniqueId val="{00000033-E593-47C0-BD80-CBE25F05A847}"/>
            </c:ext>
          </c:extLst>
        </c:ser>
        <c:ser>
          <c:idx val="46"/>
          <c:order val="46"/>
          <c:spPr>
            <a:ln w="3175">
              <a:solidFill>
                <a:srgbClr val="000000"/>
              </a:solidFill>
              <a:prstDash val="solid"/>
            </a:ln>
          </c:spPr>
          <c:marker>
            <c:symbol val="none"/>
          </c:marker>
          <c:xVal>
            <c:numLit>
              <c:formatCode>General</c:formatCode>
              <c:ptCount val="2"/>
              <c:pt idx="0">
                <c:v>-2.0077406848213544</c:v>
              </c:pt>
              <c:pt idx="1">
                <c:v>-2.2617878171027579</c:v>
              </c:pt>
            </c:numLit>
          </c:xVal>
          <c:yVal>
            <c:numLit>
              <c:formatCode>General</c:formatCode>
              <c:ptCount val="2"/>
              <c:pt idx="0">
                <c:v>1.6466167997462634E-2</c:v>
              </c:pt>
              <c:pt idx="1">
                <c:v>1.6348145906530984E-2</c:v>
              </c:pt>
            </c:numLit>
          </c:yVal>
          <c:smooth val="0"/>
          <c:extLst>
            <c:ext xmlns:c16="http://schemas.microsoft.com/office/drawing/2014/chart" uri="{C3380CC4-5D6E-409C-BE32-E72D297353CC}">
              <c16:uniqueId val="{00000034-E593-47C0-BD80-CBE25F05A847}"/>
            </c:ext>
          </c:extLst>
        </c:ser>
        <c:ser>
          <c:idx val="47"/>
          <c:order val="47"/>
          <c:spPr>
            <a:ln w="3175">
              <a:solidFill>
                <a:srgbClr val="000000"/>
              </a:solidFill>
              <a:prstDash val="solid"/>
            </a:ln>
          </c:spPr>
          <c:marker>
            <c:symbol val="none"/>
          </c:marker>
          <c:xVal>
            <c:numLit>
              <c:formatCode>General</c:formatCode>
              <c:ptCount val="2"/>
              <c:pt idx="0">
                <c:v>-1.8951961980647147</c:v>
              </c:pt>
              <c:pt idx="1">
                <c:v>-2.3973910482134464</c:v>
              </c:pt>
            </c:numLit>
          </c:xVal>
          <c:yVal>
            <c:numLit>
              <c:formatCode>General</c:formatCode>
              <c:ptCount val="2"/>
              <c:pt idx="0">
                <c:v>1.6337357668468857E-2</c:v>
              </c:pt>
              <c:pt idx="1">
                <c:v>1.6094504538306124E-2</c:v>
              </c:pt>
            </c:numLit>
          </c:yVal>
          <c:smooth val="0"/>
          <c:extLst>
            <c:ext xmlns:c16="http://schemas.microsoft.com/office/drawing/2014/chart" uri="{C3380CC4-5D6E-409C-BE32-E72D297353CC}">
              <c16:uniqueId val="{00000035-E593-47C0-BD80-CBE25F05A847}"/>
            </c:ext>
          </c:extLst>
        </c:ser>
        <c:ser>
          <c:idx val="48"/>
          <c:order val="48"/>
          <c:spPr>
            <a:ln w="3175">
              <a:solidFill>
                <a:srgbClr val="000000"/>
              </a:solidFill>
              <a:prstDash val="solid"/>
            </a:ln>
          </c:spPr>
          <c:marker>
            <c:symbol val="none"/>
          </c:marker>
          <c:xVal>
            <c:numLit>
              <c:formatCode>General</c:formatCode>
              <c:ptCount val="2"/>
              <c:pt idx="0">
                <c:v>-1.7771046267974688</c:v>
              </c:pt>
              <c:pt idx="1">
                <c:v>-2.0250727985773351</c:v>
              </c:pt>
            </c:numLit>
          </c:xVal>
          <c:yVal>
            <c:numLit>
              <c:formatCode>General</c:formatCode>
              <c:ptCount val="2"/>
              <c:pt idx="0">
                <c:v>1.6207550583249328E-2</c:v>
              </c:pt>
              <c:pt idx="1">
                <c:v>1.60826554977502E-2</c:v>
              </c:pt>
            </c:numLit>
          </c:yVal>
          <c:smooth val="0"/>
          <c:extLst>
            <c:ext xmlns:c16="http://schemas.microsoft.com/office/drawing/2014/chart" uri="{C3380CC4-5D6E-409C-BE32-E72D297353CC}">
              <c16:uniqueId val="{00000036-E593-47C0-BD80-CBE25F05A847}"/>
            </c:ext>
          </c:extLst>
        </c:ser>
        <c:ser>
          <c:idx val="49"/>
          <c:order val="49"/>
          <c:spPr>
            <a:ln w="3175">
              <a:solidFill>
                <a:srgbClr val="000000"/>
              </a:solidFill>
              <a:prstDash val="solid"/>
            </a:ln>
          </c:spPr>
          <c:marker>
            <c:symbol val="none"/>
          </c:marker>
          <c:xVal>
            <c:numLit>
              <c:formatCode>General</c:formatCode>
              <c:ptCount val="2"/>
              <c:pt idx="0">
                <c:v>-1.6533273947279199</c:v>
              </c:pt>
              <c:pt idx="1">
                <c:v>-1.8980310127626514</c:v>
              </c:pt>
            </c:numLit>
          </c:xVal>
          <c:yVal>
            <c:numLit>
              <c:formatCode>General</c:formatCode>
              <c:ptCount val="2"/>
              <c:pt idx="0">
                <c:v>1.6076904919395639E-2</c:v>
              </c:pt>
              <c:pt idx="1">
                <c:v>1.5948535562537603E-2</c:v>
              </c:pt>
            </c:numLit>
          </c:yVal>
          <c:smooth val="0"/>
          <c:extLst>
            <c:ext xmlns:c16="http://schemas.microsoft.com/office/drawing/2014/chart" uri="{C3380CC4-5D6E-409C-BE32-E72D297353CC}">
              <c16:uniqueId val="{00000037-E593-47C0-BD80-CBE25F05A847}"/>
            </c:ext>
          </c:extLst>
        </c:ser>
        <c:ser>
          <c:idx val="50"/>
          <c:order val="50"/>
          <c:spPr>
            <a:ln w="3175">
              <a:solidFill>
                <a:srgbClr val="000000"/>
              </a:solidFill>
              <a:prstDash val="solid"/>
            </a:ln>
          </c:spPr>
          <c:marker>
            <c:symbol val="none"/>
          </c:marker>
          <c:xVal>
            <c:numLit>
              <c:formatCode>General</c:formatCode>
              <c:ptCount val="2"/>
              <c:pt idx="0">
                <c:v>-1.5237378626491505</c:v>
              </c:pt>
              <c:pt idx="1">
                <c:v>-1.7650220780229187</c:v>
              </c:pt>
            </c:numLit>
          </c:xVal>
          <c:yVal>
            <c:numLit>
              <c:formatCode>General</c:formatCode>
              <c:ptCount val="2"/>
              <c:pt idx="0">
                <c:v>1.5945592607543146E-2</c:v>
              </c:pt>
              <c:pt idx="1">
                <c:v>1.5813729677496932E-2</c:v>
              </c:pt>
            </c:numLit>
          </c:yVal>
          <c:smooth val="0"/>
          <c:extLst>
            <c:ext xmlns:c16="http://schemas.microsoft.com/office/drawing/2014/chart" uri="{C3380CC4-5D6E-409C-BE32-E72D297353CC}">
              <c16:uniqueId val="{00000038-E593-47C0-BD80-CBE25F05A847}"/>
            </c:ext>
          </c:extLst>
        </c:ser>
        <c:ser>
          <c:idx val="51"/>
          <c:order val="51"/>
          <c:spPr>
            <a:ln w="3175">
              <a:solidFill>
                <a:srgbClr val="000000"/>
              </a:solidFill>
              <a:prstDash val="solid"/>
            </a:ln>
          </c:spPr>
          <c:marker>
            <c:symbol val="none"/>
          </c:marker>
          <c:xVal>
            <c:numLit>
              <c:formatCode>General</c:formatCode>
              <c:ptCount val="2"/>
              <c:pt idx="0">
                <c:v>-1.388223368555124</c:v>
              </c:pt>
              <c:pt idx="1">
                <c:v>-1.6259301677145295</c:v>
              </c:pt>
            </c:numLit>
          </c:xVal>
          <c:yVal>
            <c:numLit>
              <c:formatCode>General</c:formatCode>
              <c:ptCount val="2"/>
              <c:pt idx="0">
                <c:v>1.5813799256283002E-2</c:v>
              </c:pt>
              <c:pt idx="1">
                <c:v>1.5678428325744984E-2</c:v>
              </c:pt>
            </c:numLit>
          </c:yVal>
          <c:smooth val="0"/>
          <c:extLst>
            <c:ext xmlns:c16="http://schemas.microsoft.com/office/drawing/2014/chart" uri="{C3380CC4-5D6E-409C-BE32-E72D297353CC}">
              <c16:uniqueId val="{00000039-E593-47C0-BD80-CBE25F05A847}"/>
            </c:ext>
          </c:extLst>
        </c:ser>
        <c:ser>
          <c:idx val="52"/>
          <c:order val="52"/>
          <c:spPr>
            <a:ln w="3175">
              <a:solidFill>
                <a:srgbClr val="000000"/>
              </a:solidFill>
              <a:prstDash val="solid"/>
            </a:ln>
          </c:spPr>
          <c:marker>
            <c:symbol val="none"/>
          </c:marker>
          <c:xVal>
            <c:numLit>
              <c:formatCode>General</c:formatCode>
              <c:ptCount val="2"/>
              <c:pt idx="0">
                <c:v>-1.2466873299709398</c:v>
              </c:pt>
              <c:pt idx="1">
                <c:v>-1.7146635892116067</c:v>
              </c:pt>
            </c:numLit>
          </c:xVal>
          <c:yVal>
            <c:numLit>
              <c:formatCode>General</c:formatCode>
              <c:ptCount val="2"/>
              <c:pt idx="0">
                <c:v>1.5681723906468353E-2</c:v>
              </c:pt>
              <c:pt idx="1">
                <c:v>1.540398349013896E-2</c:v>
              </c:pt>
            </c:numLit>
          </c:yVal>
          <c:smooth val="0"/>
          <c:extLst>
            <c:ext xmlns:c16="http://schemas.microsoft.com/office/drawing/2014/chart" uri="{C3380CC4-5D6E-409C-BE32-E72D297353CC}">
              <c16:uniqueId val="{0000003A-E593-47C0-BD80-CBE25F05A847}"/>
            </c:ext>
          </c:extLst>
        </c:ser>
        <c:ser>
          <c:idx val="53"/>
          <c:order val="53"/>
          <c:spPr>
            <a:ln w="3175">
              <a:solidFill>
                <a:srgbClr val="000000"/>
              </a:solidFill>
              <a:prstDash val="solid"/>
            </a:ln>
          </c:spPr>
          <c:marker>
            <c:symbol val="none"/>
          </c:marker>
          <c:dLbls>
            <c:dLbl>
              <c:idx val="0"/>
              <c:tx>
                <c:rich>
                  <a:bodyPr rot="-23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0.40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B-E593-47C0-BD80-CBE25F05A84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-2.3076574148248494</c:v>
              </c:pt>
            </c:numLit>
          </c:xVal>
          <c:yVal>
            <c:numLit>
              <c:formatCode>General</c:formatCode>
              <c:ptCount val="1"/>
              <c:pt idx="0">
                <c:v>1.5052384582440575E-2</c:v>
              </c:pt>
            </c:numLit>
          </c:yVal>
          <c:smooth val="0"/>
          <c:extLst>
            <c:ext xmlns:c16="http://schemas.microsoft.com/office/drawing/2014/chart" uri="{C3380CC4-5D6E-409C-BE32-E72D297353CC}">
              <c16:uniqueId val="{0000003C-E593-47C0-BD80-CBE25F05A847}"/>
            </c:ext>
          </c:extLst>
        </c:ser>
        <c:ser>
          <c:idx val="54"/>
          <c:order val="54"/>
          <c:spPr>
            <a:ln w="3175">
              <a:solidFill>
                <a:srgbClr val="000000"/>
              </a:solidFill>
              <a:prstDash val="solid"/>
            </a:ln>
          </c:spPr>
          <c:marker>
            <c:symbol val="none"/>
          </c:marker>
          <c:xVal>
            <c:numLit>
              <c:formatCode>General</c:formatCode>
              <c:ptCount val="2"/>
              <c:pt idx="0">
                <c:v>-1.0990513798353114</c:v>
              </c:pt>
              <c:pt idx="1">
                <c:v>-1.3291187844030128</c:v>
              </c:pt>
            </c:numLit>
          </c:xVal>
          <c:yVal>
            <c:numLit>
              <c:formatCode>General</c:formatCode>
              <c:ptCount val="2"/>
              <c:pt idx="0">
                <c:v>1.5549578597725369E-2</c:v>
              </c:pt>
              <c:pt idx="1">
                <c:v>1.5407169702183561E-2</c:v>
              </c:pt>
            </c:numLit>
          </c:yVal>
          <c:smooth val="0"/>
          <c:extLst>
            <c:ext xmlns:c16="http://schemas.microsoft.com/office/drawing/2014/chart" uri="{C3380CC4-5D6E-409C-BE32-E72D297353CC}">
              <c16:uniqueId val="{0000003D-E593-47C0-BD80-CBE25F05A847}"/>
            </c:ext>
          </c:extLst>
        </c:ser>
        <c:ser>
          <c:idx val="55"/>
          <c:order val="55"/>
          <c:spPr>
            <a:ln w="3175">
              <a:solidFill>
                <a:srgbClr val="000000"/>
              </a:solidFill>
              <a:prstDash val="solid"/>
            </a:ln>
          </c:spPr>
          <c:marker>
            <c:symbol val="none"/>
          </c:marker>
          <c:xVal>
            <c:numLit>
              <c:formatCode>General</c:formatCode>
              <c:ptCount val="2"/>
              <c:pt idx="0">
                <c:v>-0.94525750221214544</c:v>
              </c:pt>
              <c:pt idx="1">
                <c:v>-1.171258910076004</c:v>
              </c:pt>
            </c:numLit>
          </c:xVal>
          <c:yVal>
            <c:numLit>
              <c:formatCode>General</c:formatCode>
              <c:ptCount val="2"/>
              <c:pt idx="0">
                <c:v>1.5417587732063727E-2</c:v>
              </c:pt>
              <c:pt idx="1">
                <c:v>1.5271660405463735E-2</c:v>
              </c:pt>
            </c:numLit>
          </c:yVal>
          <c:smooth val="0"/>
          <c:extLst>
            <c:ext xmlns:c16="http://schemas.microsoft.com/office/drawing/2014/chart" uri="{C3380CC4-5D6E-409C-BE32-E72D297353CC}">
              <c16:uniqueId val="{0000003E-E593-47C0-BD80-CBE25F05A847}"/>
            </c:ext>
          </c:extLst>
        </c:ser>
        <c:ser>
          <c:idx val="56"/>
          <c:order val="56"/>
          <c:spPr>
            <a:ln w="3175">
              <a:solidFill>
                <a:srgbClr val="000000"/>
              </a:solidFill>
              <a:prstDash val="solid"/>
            </a:ln>
          </c:spPr>
          <c:marker>
            <c:symbol val="none"/>
          </c:marker>
          <c:xVal>
            <c:numLit>
              <c:formatCode>General</c:formatCode>
              <c:ptCount val="2"/>
              <c:pt idx="0">
                <c:v>-0.78527012929796181</c:v>
              </c:pt>
              <c:pt idx="1">
                <c:v>-1.0070396059342881</c:v>
              </c:pt>
            </c:numLit>
          </c:xVal>
          <c:yVal>
            <c:numLit>
              <c:formatCode>General</c:formatCode>
              <c:ptCount val="2"/>
              <c:pt idx="0">
                <c:v>1.5285987222392702E-2</c:v>
              </c:pt>
              <c:pt idx="1">
                <c:v>1.5136550067768871E-2</c:v>
              </c:pt>
            </c:numLit>
          </c:yVal>
          <c:smooth val="0"/>
          <c:extLst>
            <c:ext xmlns:c16="http://schemas.microsoft.com/office/drawing/2014/chart" uri="{C3380CC4-5D6E-409C-BE32-E72D297353CC}">
              <c16:uniqueId val="{0000003F-E593-47C0-BD80-CBE25F05A847}"/>
            </c:ext>
          </c:extLst>
        </c:ser>
        <c:ser>
          <c:idx val="57"/>
          <c:order val="57"/>
          <c:spPr>
            <a:ln w="3175">
              <a:solidFill>
                <a:srgbClr val="000000"/>
              </a:solidFill>
              <a:prstDash val="solid"/>
            </a:ln>
          </c:spPr>
          <c:marker>
            <c:symbol val="none"/>
          </c:marker>
          <c:xVal>
            <c:numLit>
              <c:formatCode>General</c:formatCode>
              <c:ptCount val="2"/>
              <c:pt idx="0">
                <c:v>-0.61907815687851919</c:v>
              </c:pt>
              <c:pt idx="1">
                <c:v>-0.83644925897128908</c:v>
              </c:pt>
            </c:numLit>
          </c:xVal>
          <c:yVal>
            <c:numLit>
              <c:formatCode>General</c:formatCode>
              <c:ptCount val="2"/>
              <c:pt idx="0">
                <c:v>1.5155023417515526E-2</c:v>
              </c:pt>
              <c:pt idx="1">
                <c:v>1.5002091586488069E-2</c:v>
              </c:pt>
            </c:numLit>
          </c:yVal>
          <c:smooth val="0"/>
          <c:extLst>
            <c:ext xmlns:c16="http://schemas.microsoft.com/office/drawing/2014/chart" uri="{C3380CC4-5D6E-409C-BE32-E72D297353CC}">
              <c16:uniqueId val="{00000040-E593-47C0-BD80-CBE25F05A847}"/>
            </c:ext>
          </c:extLst>
        </c:ser>
        <c:ser>
          <c:idx val="58"/>
          <c:order val="58"/>
          <c:spPr>
            <a:ln w="3175">
              <a:solidFill>
                <a:srgbClr val="000000"/>
              </a:solidFill>
              <a:prstDash val="solid"/>
            </a:ln>
          </c:spPr>
          <c:marker>
            <c:symbol val="none"/>
          </c:marker>
          <c:xVal>
            <c:numLit>
              <c:formatCode>General</c:formatCode>
              <c:ptCount val="2"/>
              <c:pt idx="0">
                <c:v>-0.44669683184065456</c:v>
              </c:pt>
              <c:pt idx="1">
                <c:v>-0.87235472792758506</c:v>
              </c:pt>
            </c:numLit>
          </c:xVal>
          <c:yVal>
            <c:numLit>
              <c:formatCode>General</c:formatCode>
              <c:ptCount val="2"/>
              <c:pt idx="0">
                <c:v>1.5024951799785189E-2</c:v>
              </c:pt>
              <c:pt idx="1">
                <c:v>1.4712176032084051E-2</c:v>
              </c:pt>
            </c:numLit>
          </c:yVal>
          <c:smooth val="0"/>
          <c:extLst>
            <c:ext xmlns:c16="http://schemas.microsoft.com/office/drawing/2014/chart" uri="{C3380CC4-5D6E-409C-BE32-E72D297353CC}">
              <c16:uniqueId val="{00000041-E593-47C0-BD80-CBE25F05A847}"/>
            </c:ext>
          </c:extLst>
        </c:ser>
        <c:ser>
          <c:idx val="59"/>
          <c:order val="59"/>
          <c:spPr>
            <a:ln w="3175">
              <a:solidFill>
                <a:srgbClr val="000000"/>
              </a:solidFill>
              <a:prstDash val="solid"/>
            </a:ln>
          </c:spPr>
          <c:marker>
            <c:symbol val="none"/>
          </c:marker>
          <c:xVal>
            <c:numLit>
              <c:formatCode>General</c:formatCode>
              <c:ptCount val="2"/>
              <c:pt idx="0">
                <c:v>-0.26816946284299165</c:v>
              </c:pt>
              <c:pt idx="1">
                <c:v>-0.47624598722283679</c:v>
              </c:pt>
            </c:numLit>
          </c:xVal>
          <c:yVal>
            <c:numLit>
              <c:formatCode>General</c:formatCode>
              <c:ptCount val="2"/>
              <c:pt idx="0">
                <c:v>1.4896035457000568E-2</c:v>
              </c:pt>
              <c:pt idx="1">
                <c:v>1.4736187176696662E-2</c:v>
              </c:pt>
            </c:numLit>
          </c:yVal>
          <c:smooth val="0"/>
          <c:extLst>
            <c:ext xmlns:c16="http://schemas.microsoft.com/office/drawing/2014/chart" uri="{C3380CC4-5D6E-409C-BE32-E72D297353CC}">
              <c16:uniqueId val="{00000042-E593-47C0-BD80-CBE25F05A847}"/>
            </c:ext>
          </c:extLst>
        </c:ser>
        <c:ser>
          <c:idx val="60"/>
          <c:order val="60"/>
          <c:spPr>
            <a:ln w="3175">
              <a:solidFill>
                <a:srgbClr val="000000"/>
              </a:solidFill>
              <a:prstDash val="solid"/>
            </a:ln>
          </c:spPr>
          <c:marker>
            <c:symbol val="none"/>
          </c:marker>
          <c:xVal>
            <c:numLit>
              <c:formatCode>General</c:formatCode>
              <c:ptCount val="2"/>
              <c:pt idx="0">
                <c:v>-8.3568904066706209E-2</c:v>
              </c:pt>
              <c:pt idx="1">
                <c:v>-0.28675188305885801</c:v>
              </c:pt>
            </c:numLit>
          </c:xVal>
          <c:yVal>
            <c:numLit>
              <c:formatCode>General</c:formatCode>
              <c:ptCount val="2"/>
              <c:pt idx="0">
                <c:v>1.4768543336192361E-2</c:v>
              </c:pt>
              <c:pt idx="1">
                <c:v>1.4605287509683575E-2</c:v>
              </c:pt>
            </c:numLit>
          </c:yVal>
          <c:smooth val="0"/>
          <c:extLst>
            <c:ext xmlns:c16="http://schemas.microsoft.com/office/drawing/2014/chart" uri="{C3380CC4-5D6E-409C-BE32-E72D297353CC}">
              <c16:uniqueId val="{00000043-E593-47C0-BD80-CBE25F05A847}"/>
            </c:ext>
          </c:extLst>
        </c:ser>
        <c:ser>
          <c:idx val="61"/>
          <c:order val="61"/>
          <c:spPr>
            <a:ln w="3175">
              <a:solidFill>
                <a:srgbClr val="000000"/>
              </a:solidFill>
              <a:prstDash val="solid"/>
            </a:ln>
          </c:spPr>
          <c:marker>
            <c:symbol val="none"/>
          </c:marker>
          <c:xVal>
            <c:numLit>
              <c:formatCode>General</c:formatCode>
              <c:ptCount val="2"/>
              <c:pt idx="0">
                <c:v>0.10700123764518008</c:v>
              </c:pt>
              <c:pt idx="1">
                <c:v>-9.1127145974432305E-2</c:v>
              </c:pt>
            </c:numLit>
          </c:xVal>
          <c:yVal>
            <c:numLit>
              <c:formatCode>General</c:formatCode>
              <c:ptCount val="2"/>
              <c:pt idx="0">
                <c:v>1.4642748293527812E-2</c:v>
              </c:pt>
              <c:pt idx="1">
                <c:v>1.4476128428781763E-2</c:v>
              </c:pt>
            </c:numLit>
          </c:yVal>
          <c:smooth val="0"/>
          <c:extLst>
            <c:ext xmlns:c16="http://schemas.microsoft.com/office/drawing/2014/chart" uri="{C3380CC4-5D6E-409C-BE32-E72D297353CC}">
              <c16:uniqueId val="{00000044-E593-47C0-BD80-CBE25F05A847}"/>
            </c:ext>
          </c:extLst>
        </c:ser>
        <c:ser>
          <c:idx val="62"/>
          <c:order val="62"/>
          <c:spPr>
            <a:ln w="3175">
              <a:solidFill>
                <a:srgbClr val="000000"/>
              </a:solidFill>
              <a:prstDash val="solid"/>
            </a:ln>
          </c:spPr>
          <c:marker>
            <c:symbol val="none"/>
          </c:marker>
          <c:xVal>
            <c:numLit>
              <c:formatCode>General</c:formatCode>
              <c:ptCount val="2"/>
              <c:pt idx="0">
                <c:v>0.30340571978893238</c:v>
              </c:pt>
              <c:pt idx="1">
                <c:v>0.11048958435157942</c:v>
              </c:pt>
            </c:numLit>
          </c:xVal>
          <c:yVal>
            <c:numLit>
              <c:formatCode>General</c:formatCode>
              <c:ptCount val="2"/>
              <c:pt idx="0">
                <c:v>1.4518924961431453E-2</c:v>
              </c:pt>
              <c:pt idx="1">
                <c:v>1.4348991954383022E-2</c:v>
              </c:pt>
            </c:numLit>
          </c:yVal>
          <c:smooth val="0"/>
          <c:extLst>
            <c:ext xmlns:c16="http://schemas.microsoft.com/office/drawing/2014/chart" uri="{C3380CC4-5D6E-409C-BE32-E72D297353CC}">
              <c16:uniqueId val="{00000045-E593-47C0-BD80-CBE25F05A847}"/>
            </c:ext>
          </c:extLst>
        </c:ser>
        <c:ser>
          <c:idx val="63"/>
          <c:order val="63"/>
          <c:spPr>
            <a:ln w="3175">
              <a:solidFill>
                <a:srgbClr val="000000"/>
              </a:solidFill>
              <a:prstDash val="solid"/>
            </a:ln>
          </c:spPr>
          <c:marker>
            <c:symbol val="none"/>
          </c:marker>
          <c:xVal>
            <c:numLit>
              <c:formatCode>General</c:formatCode>
              <c:ptCount val="2"/>
              <c:pt idx="0">
                <c:v>0.5054771487943629</c:v>
              </c:pt>
              <c:pt idx="1">
                <c:v>0.13032764032617034</c:v>
              </c:pt>
            </c:numLit>
          </c:xVal>
          <c:yVal>
            <c:numLit>
              <c:formatCode>General</c:formatCode>
              <c:ptCount val="2"/>
              <c:pt idx="0">
                <c:v>1.439734746090714E-2</c:v>
              </c:pt>
              <c:pt idx="1">
                <c:v>1.4051000367389811E-2</c:v>
              </c:pt>
            </c:numLit>
          </c:yVal>
          <c:smooth val="0"/>
          <c:extLst>
            <c:ext xmlns:c16="http://schemas.microsoft.com/office/drawing/2014/chart" uri="{C3380CC4-5D6E-409C-BE32-E72D297353CC}">
              <c16:uniqueId val="{00000046-E593-47C0-BD80-CBE25F05A847}"/>
            </c:ext>
          </c:extLst>
        </c:ser>
        <c:ser>
          <c:idx val="64"/>
          <c:order val="64"/>
          <c:spPr>
            <a:ln w="3175">
              <a:solidFill>
                <a:srgbClr val="000000"/>
              </a:solidFill>
              <a:prstDash val="solid"/>
            </a:ln>
          </c:spPr>
          <c:marker>
            <c:symbol val="none"/>
          </c:marker>
          <c:dLbls>
            <c:dLbl>
              <c:idx val="0"/>
              <c:tx>
                <c:rich>
                  <a:bodyPr rot="-31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0.30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7-E593-47C0-BD80-CBE25F05A847}"/>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-0.34514016993581637</c:v>
              </c:pt>
            </c:numLit>
          </c:xVal>
          <c:yVal>
            <c:numLit>
              <c:formatCode>General</c:formatCode>
              <c:ptCount val="1"/>
              <c:pt idx="0">
                <c:v>1.3612458427713661E-2</c:v>
              </c:pt>
            </c:numLit>
          </c:yVal>
          <c:smooth val="0"/>
          <c:extLst>
            <c:ext xmlns:c16="http://schemas.microsoft.com/office/drawing/2014/chart" uri="{C3380CC4-5D6E-409C-BE32-E72D297353CC}">
              <c16:uniqueId val="{00000048-E593-47C0-BD80-CBE25F05A847}"/>
            </c:ext>
          </c:extLst>
        </c:ser>
        <c:ser>
          <c:idx val="65"/>
          <c:order val="65"/>
          <c:spPr>
            <a:ln w="3175">
              <a:solidFill>
                <a:srgbClr val="000000"/>
              </a:solidFill>
              <a:prstDash val="solid"/>
            </a:ln>
          </c:spPr>
          <c:marker>
            <c:symbol val="none"/>
          </c:marker>
          <c:xVal>
            <c:numLit>
              <c:formatCode>General</c:formatCode>
              <c:ptCount val="56"/>
              <c:pt idx="0">
                <c:v>-3.758</c:v>
              </c:pt>
              <c:pt idx="1">
                <c:v>-3.7573164307647193</c:v>
              </c:pt>
              <c:pt idx="2">
                <c:v>-3.7551514284703731</c:v>
              </c:pt>
              <c:pt idx="3">
                <c:v>-3.7513184851597101</c:v>
              </c:pt>
              <c:pt idx="4">
                <c:v>-3.7456091126033786</c:v>
              </c:pt>
              <c:pt idx="5">
                <c:v>-3.7377902586290985</c:v>
              </c:pt>
              <c:pt idx="6">
                <c:v>-3.7276014439375182</c:v>
              </c:pt>
              <c:pt idx="7">
                <c:v>-3.7147516008544463</c:v>
              </c:pt>
              <c:pt idx="8">
                <c:v>-3.6989155989247418</c:v>
              </c:pt>
              <c:pt idx="9">
                <c:v>-3.6797304479524238</c:v>
              </c:pt>
              <c:pt idx="10">
                <c:v>-3.6567911778075404</c:v>
              </c:pt>
              <c:pt idx="11">
                <c:v>-3.6296464070240311</c:v>
              </c:pt>
              <c:pt idx="12">
                <c:v>-3.5977936301001021</c:v>
              </c:pt>
              <c:pt idx="13">
                <c:v>-3.5606742779232401</c:v>
              </c:pt>
              <c:pt idx="14">
                <c:v>-3.517668638557927</c:v>
              </c:pt>
              <c:pt idx="15">
                <c:v>-3.4680907686435161</c:v>
              </c:pt>
              <c:pt idx="16">
                <c:v>-3.4406035633560976</c:v>
              </c:pt>
              <c:pt idx="17">
                <c:v>-3.4111835808515791</c:v>
              </c:pt>
              <c:pt idx="18">
                <c:v>-3.3797243325935047</c:v>
              </c:pt>
              <c:pt idx="19">
                <c:v>-3.3461143621710736</c:v>
              </c:pt>
              <c:pt idx="20">
                <c:v>-3.3102371536754234</c:v>
              </c:pt>
              <c:pt idx="21">
                <c:v>-3.2719710627580656</c:v>
              </c:pt>
              <c:pt idx="22">
                <c:v>-3.2311892749519693</c:v>
              </c:pt>
              <c:pt idx="23">
                <c:v>-3.1877597963437578</c:v>
              </c:pt>
              <c:pt idx="24">
                <c:v>-3.1415454822086812</c:v>
              </c:pt>
              <c:pt idx="25">
                <c:v>-3.0924041097491268</c:v>
              </c:pt>
              <c:pt idx="26">
                <c:v>-3.0401885016002286</c:v>
              </c:pt>
              <c:pt idx="27">
                <c:v>-2.9847467072668263</c:v>
              </c:pt>
              <c:pt idx="28">
                <c:v>-2.9259222501155961</c:v>
              </c:pt>
              <c:pt idx="29">
                <c:v>-2.8635544479409476</c:v>
              </c:pt>
              <c:pt idx="30">
                <c:v>-2.7974788154258228</c:v>
              </c:pt>
              <c:pt idx="31">
                <c:v>-2.7275275569962796</c:v>
              </c:pt>
              <c:pt idx="32">
                <c:v>-2.6535301585852245</c:v>
              </c:pt>
              <c:pt idx="33">
                <c:v>-2.575314086634803</c:v>
              </c:pt>
              <c:pt idx="34">
                <c:v>-2.4927056022343019</c:v>
              </c:pt>
              <c:pt idx="35">
                <c:v>-2.4055306975638757</c:v>
              </c:pt>
              <c:pt idx="36">
                <c:v>-2.313616160746133</c:v>
              </c:pt>
              <c:pt idx="37">
                <c:v>-2.216790773750446</c:v>
              </c:pt>
              <c:pt idx="38">
                <c:v>-2.1148866461057976</c:v>
              </c:pt>
              <c:pt idx="39">
                <c:v>-2.0077406848213544</c:v>
              </c:pt>
              <c:pt idx="40">
                <c:v>-1.8951961980647147</c:v>
              </c:pt>
              <c:pt idx="41">
                <c:v>-1.7771046267974688</c:v>
              </c:pt>
              <c:pt idx="42">
                <c:v>-1.6533273947279199</c:v>
              </c:pt>
              <c:pt idx="43">
                <c:v>-1.5237378626491505</c:v>
              </c:pt>
              <c:pt idx="44">
                <c:v>-1.388223368555124</c:v>
              </c:pt>
              <c:pt idx="45">
                <c:v>-1.2466873299709398</c:v>
              </c:pt>
              <c:pt idx="46">
                <c:v>-1.0990513798353114</c:v>
              </c:pt>
              <c:pt idx="47">
                <c:v>-0.94525750221214544</c:v>
              </c:pt>
              <c:pt idx="48">
                <c:v>-0.78527012929796181</c:v>
              </c:pt>
              <c:pt idx="49">
                <c:v>-0.61907815687851919</c:v>
              </c:pt>
              <c:pt idx="50">
                <c:v>-0.44669683184065456</c:v>
              </c:pt>
              <c:pt idx="51">
                <c:v>-0.26816946284299165</c:v>
              </c:pt>
              <c:pt idx="52">
                <c:v>-8.3568904066706209E-2</c:v>
              </c:pt>
              <c:pt idx="53">
                <c:v>0.10700123764518008</c:v>
              </c:pt>
              <c:pt idx="54">
                <c:v>0.30340571978893238</c:v>
              </c:pt>
              <c:pt idx="55">
                <c:v>0.5054771487943629</c:v>
              </c:pt>
            </c:numLit>
          </c:xVal>
          <c:yVal>
            <c:numLit>
              <c:formatCode>General</c:formatCode>
              <c:ptCount val="56"/>
              <c:pt idx="0">
                <c:v>2.0930000000000001E-2</c:v>
              </c:pt>
              <c:pt idx="1">
                <c:v>2.0838150344721491E-2</c:v>
              </c:pt>
              <c:pt idx="2">
                <c:v>2.0742509615122581E-2</c:v>
              </c:pt>
              <c:pt idx="3">
                <c:v>2.0642878308754005E-2</c:v>
              </c:pt>
              <c:pt idx="4">
                <c:v>2.0539046809061261E-2</c:v>
              </c:pt>
              <c:pt idx="5">
                <c:v>2.0430795350641542E-2</c:v>
              </c:pt>
              <c:pt idx="6">
                <c:v>2.0317894135552732E-2</c:v>
              </c:pt>
              <c:pt idx="7">
                <c:v>2.0200103644625281E-2</c:v>
              </c:pt>
              <c:pt idx="8">
                <c:v>2.0077175197246788E-2</c:v>
              </c:pt>
              <c:pt idx="9">
                <c:v>1.9948851824198272E-2</c:v>
              </c:pt>
              <c:pt idx="10">
                <c:v>1.9814869530917118E-2</c:v>
              </c:pt>
              <c:pt idx="11">
                <c:v>1.9674959043059544E-2</c:v>
              </c:pt>
              <c:pt idx="12">
                <c:v>1.9528848142313003E-2</c:v>
              </c:pt>
              <c:pt idx="13">
                <c:v>1.9376264717732728E-2</c:v>
              </c:pt>
              <c:pt idx="14">
                <c:v>1.921694067579767E-2</c:v>
              </c:pt>
              <c:pt idx="15">
                <c:v>1.905061686979987E-2</c:v>
              </c:pt>
              <c:pt idx="16">
                <c:v>1.8964752998040003E-2</c:v>
              </c:pt>
              <c:pt idx="17">
                <c:v>1.8877049224379265E-2</c:v>
              </c:pt>
              <c:pt idx="18">
                <c:v>1.8787478625185268E-2</c:v>
              </c:pt>
              <c:pt idx="19">
                <c:v>1.8696016241449256E-2</c:v>
              </c:pt>
              <c:pt idx="20">
                <c:v>1.8602639402078635E-2</c:v>
              </c:pt>
              <c:pt idx="21">
                <c:v>1.85073280758347E-2</c:v>
              </c:pt>
              <c:pt idx="22">
                <c:v>1.8410065253019303E-2</c:v>
              </c:pt>
              <c:pt idx="23">
                <c:v>1.8310837357796605E-2</c:v>
              </c:pt>
              <c:pt idx="24">
                <c:v>1.820963469175254E-2</c:v>
              </c:pt>
              <c:pt idx="25">
                <c:v>1.8106451908935582E-2</c:v>
              </c:pt>
              <c:pt idx="26">
                <c:v>1.8001288522178398E-2</c:v>
              </c:pt>
              <c:pt idx="27">
                <c:v>1.7894149439960622E-2</c:v>
              </c:pt>
              <c:pt idx="28">
                <c:v>1.7785045532430037E-2</c:v>
              </c:pt>
              <c:pt idx="29">
                <c:v>1.7673994224443108E-2</c:v>
              </c:pt>
              <c:pt idx="30">
                <c:v>1.7561020112610893E-2</c:v>
              </c:pt>
              <c:pt idx="31">
                <c:v>1.7446155602337338E-2</c:v>
              </c:pt>
              <c:pt idx="32">
                <c:v>1.7329441559713527E-2</c:v>
              </c:pt>
              <c:pt idx="33">
                <c:v>1.7210927971887027E-2</c:v>
              </c:pt>
              <c:pt idx="34">
                <c:v>1.7090674608169102E-2</c:v>
              </c:pt>
              <c:pt idx="35">
                <c:v>1.6968751672690126E-2</c:v>
              </c:pt>
              <c:pt idx="36">
                <c:v>1.6845240437890034E-2</c:v>
              </c:pt>
              <c:pt idx="37">
                <c:v>1.6720233846569021E-2</c:v>
              </c:pt>
              <c:pt idx="38">
                <c:v>1.6593837068668817E-2</c:v>
              </c:pt>
              <c:pt idx="39">
                <c:v>1.6466167997462634E-2</c:v>
              </c:pt>
              <c:pt idx="40">
                <c:v>1.6337357668468857E-2</c:v>
              </c:pt>
              <c:pt idx="41">
                <c:v>1.6207550583249328E-2</c:v>
              </c:pt>
              <c:pt idx="42">
                <c:v>1.6076904919395639E-2</c:v>
              </c:pt>
              <c:pt idx="43">
                <c:v>1.5945592607543146E-2</c:v>
              </c:pt>
              <c:pt idx="44">
                <c:v>1.5813799256283002E-2</c:v>
              </c:pt>
              <c:pt idx="45">
                <c:v>1.5681723906468353E-2</c:v>
              </c:pt>
              <c:pt idx="46">
                <c:v>1.5549578597725369E-2</c:v>
              </c:pt>
              <c:pt idx="47">
                <c:v>1.5417587732063727E-2</c:v>
              </c:pt>
              <c:pt idx="48">
                <c:v>1.5285987222392702E-2</c:v>
              </c:pt>
              <c:pt idx="49">
                <c:v>1.5155023417515526E-2</c:v>
              </c:pt>
              <c:pt idx="50">
                <c:v>1.5024951799785189E-2</c:v>
              </c:pt>
              <c:pt idx="51">
                <c:v>1.4896035457000568E-2</c:v>
              </c:pt>
              <c:pt idx="52">
                <c:v>1.4768543336192361E-2</c:v>
              </c:pt>
              <c:pt idx="53">
                <c:v>1.4642748293527812E-2</c:v>
              </c:pt>
              <c:pt idx="54">
                <c:v>1.4518924961431453E-2</c:v>
              </c:pt>
              <c:pt idx="55">
                <c:v>1.439734746090714E-2</c:v>
              </c:pt>
            </c:numLit>
          </c:yVal>
          <c:smooth val="1"/>
          <c:extLst>
            <c:ext xmlns:c16="http://schemas.microsoft.com/office/drawing/2014/chart" uri="{C3380CC4-5D6E-409C-BE32-E72D297353CC}">
              <c16:uniqueId val="{00000049-E593-47C0-BD80-CBE25F05A847}"/>
            </c:ext>
          </c:extLst>
        </c:ser>
        <c:ser>
          <c:idx val="66"/>
          <c:order val="66"/>
          <c:spPr>
            <a:ln w="3175">
              <a:solidFill>
                <a:srgbClr val="000000"/>
              </a:solidFill>
              <a:prstDash val="solid"/>
            </a:ln>
          </c:spPr>
          <c:marker>
            <c:symbol val="none"/>
          </c:marker>
          <c:xVal>
            <c:numLit>
              <c:formatCode>General</c:formatCode>
              <c:ptCount val="2"/>
              <c:pt idx="0">
                <c:v>-6.4780000000000006</c:v>
              </c:pt>
              <c:pt idx="1">
                <c:v>-5.878000000000001</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4A-E593-47C0-BD80-CBE25F05A847}"/>
            </c:ext>
          </c:extLst>
        </c:ser>
        <c:ser>
          <c:idx val="67"/>
          <c:order val="67"/>
          <c:spPr>
            <a:ln w="3175">
              <a:solidFill>
                <a:srgbClr val="000000"/>
              </a:solidFill>
              <a:prstDash val="solid"/>
            </a:ln>
          </c:spPr>
          <c:marker>
            <c:symbol val="none"/>
          </c:marker>
          <c:xVal>
            <c:numLit>
              <c:formatCode>General</c:formatCode>
              <c:ptCount val="2"/>
              <c:pt idx="0">
                <c:v>-6.4771548667567451</c:v>
              </c:pt>
              <c:pt idx="1">
                <c:v>-6.1771726249136609</c:v>
              </c:pt>
            </c:numLit>
          </c:xVal>
          <c:yVal>
            <c:numLit>
              <c:formatCode>General</c:formatCode>
              <c:ptCount val="2"/>
              <c:pt idx="0">
                <c:v>2.0816221982499338E-2</c:v>
              </c:pt>
              <c:pt idx="1">
                <c:v>2.0818636402393346E-2</c:v>
              </c:pt>
            </c:numLit>
          </c:yVal>
          <c:smooth val="0"/>
          <c:extLst>
            <c:ext xmlns:c16="http://schemas.microsoft.com/office/drawing/2014/chart" uri="{C3380CC4-5D6E-409C-BE32-E72D297353CC}">
              <c16:uniqueId val="{0000004B-E593-47C0-BD80-CBE25F05A847}"/>
            </c:ext>
          </c:extLst>
        </c:ser>
        <c:ser>
          <c:idx val="68"/>
          <c:order val="68"/>
          <c:spPr>
            <a:ln w="3175">
              <a:solidFill>
                <a:srgbClr val="000000"/>
              </a:solidFill>
              <a:prstDash val="solid"/>
            </a:ln>
          </c:spPr>
          <c:marker>
            <c:symbol val="none"/>
          </c:marker>
          <c:xVal>
            <c:numLit>
              <c:formatCode>General</c:formatCode>
              <c:ptCount val="2"/>
              <c:pt idx="0">
                <c:v>-6.4744781546020507</c:v>
              </c:pt>
              <c:pt idx="1">
                <c:v>-6.1745521569433741</c:v>
              </c:pt>
            </c:numLit>
          </c:xVal>
          <c:yVal>
            <c:numLit>
              <c:formatCode>General</c:formatCode>
              <c:ptCount val="2"/>
              <c:pt idx="0">
                <c:v>2.0697747630638599E-2</c:v>
              </c:pt>
              <c:pt idx="1">
                <c:v>2.0702676147209751E-2</c:v>
              </c:pt>
            </c:numLit>
          </c:yVal>
          <c:smooth val="0"/>
          <c:extLst>
            <c:ext xmlns:c16="http://schemas.microsoft.com/office/drawing/2014/chart" uri="{C3380CC4-5D6E-409C-BE32-E72D297353CC}">
              <c16:uniqueId val="{0000004C-E593-47C0-BD80-CBE25F05A847}"/>
            </c:ext>
          </c:extLst>
        </c:ser>
        <c:ser>
          <c:idx val="69"/>
          <c:order val="69"/>
          <c:spPr>
            <a:ln w="3175">
              <a:solidFill>
                <a:srgbClr val="000000"/>
              </a:solidFill>
              <a:prstDash val="solid"/>
            </a:ln>
          </c:spPr>
          <c:marker>
            <c:symbol val="none"/>
          </c:marker>
          <c:xVal>
            <c:numLit>
              <c:formatCode>General</c:formatCode>
              <c:ptCount val="2"/>
              <c:pt idx="0">
                <c:v>-6.4697392601020702</c:v>
              </c:pt>
              <c:pt idx="1">
                <c:v>-6.169912839625173</c:v>
              </c:pt>
            </c:numLit>
          </c:xVal>
          <c:yVal>
            <c:numLit>
              <c:formatCode>General</c:formatCode>
              <c:ptCount val="2"/>
              <c:pt idx="0">
                <c:v>2.0574329599127333E-2</c:v>
              </c:pt>
              <c:pt idx="1">
                <c:v>2.0581877160896857E-2</c:v>
              </c:pt>
            </c:numLit>
          </c:yVal>
          <c:smooth val="0"/>
          <c:extLst>
            <c:ext xmlns:c16="http://schemas.microsoft.com/office/drawing/2014/chart" uri="{C3380CC4-5D6E-409C-BE32-E72D297353CC}">
              <c16:uniqueId val="{0000004D-E593-47C0-BD80-CBE25F05A847}"/>
            </c:ext>
          </c:extLst>
        </c:ser>
        <c:ser>
          <c:idx val="70"/>
          <c:order val="70"/>
          <c:spPr>
            <a:ln w="3175">
              <a:solidFill>
                <a:srgbClr val="000000"/>
              </a:solidFill>
              <a:prstDash val="solid"/>
            </a:ln>
          </c:spPr>
          <c:marker>
            <c:symbol val="none"/>
          </c:marker>
          <c:xVal>
            <c:numLit>
              <c:formatCode>General</c:formatCode>
              <c:ptCount val="2"/>
              <c:pt idx="0">
                <c:v>-6.4626803906648105</c:v>
              </c:pt>
              <c:pt idx="1">
                <c:v>-6.163002300125668</c:v>
              </c:pt>
            </c:numLit>
          </c:xVal>
          <c:yVal>
            <c:numLit>
              <c:formatCode>General</c:formatCode>
              <c:ptCount val="2"/>
              <c:pt idx="0">
                <c:v>2.0445707961793541E-2</c:v>
              </c:pt>
              <c:pt idx="1">
                <c:v>2.0455985061604547E-2</c:v>
              </c:pt>
            </c:numLit>
          </c:yVal>
          <c:smooth val="0"/>
          <c:extLst>
            <c:ext xmlns:c16="http://schemas.microsoft.com/office/drawing/2014/chart" uri="{C3380CC4-5D6E-409C-BE32-E72D297353CC}">
              <c16:uniqueId val="{0000004E-E593-47C0-BD80-CBE25F05A847}"/>
            </c:ext>
          </c:extLst>
        </c:ser>
        <c:ser>
          <c:idx val="71"/>
          <c:order val="71"/>
          <c:spPr>
            <a:ln w="3175">
              <a:solidFill>
                <a:srgbClr val="000000"/>
              </a:solidFill>
              <a:prstDash val="solid"/>
            </a:ln>
          </c:spPr>
          <c:marker>
            <c:symbol val="none"/>
          </c:marker>
          <c:xVal>
            <c:numLit>
              <c:formatCode>General</c:formatCode>
              <c:ptCount val="2"/>
              <c:pt idx="0">
                <c:v>-6.4530133649286947</c:v>
              </c:pt>
              <c:pt idx="1">
                <c:v>-5.8540639178741065</c:v>
              </c:pt>
            </c:numLit>
          </c:xVal>
          <c:yVal>
            <c:numLit>
              <c:formatCode>General</c:formatCode>
              <c:ptCount val="2"/>
              <c:pt idx="0">
                <c:v>2.0311610158401223E-2</c:v>
              </c:pt>
              <c:pt idx="1">
                <c:v>2.033786162222339E-2</c:v>
              </c:pt>
            </c:numLit>
          </c:yVal>
          <c:smooth val="0"/>
          <c:extLst>
            <c:ext xmlns:c16="http://schemas.microsoft.com/office/drawing/2014/chart" uri="{C3380CC4-5D6E-409C-BE32-E72D297353CC}">
              <c16:uniqueId val="{0000004F-E593-47C0-BD80-CBE25F05A847}"/>
            </c:ext>
          </c:extLst>
        </c:ser>
        <c:ser>
          <c:idx val="72"/>
          <c:order val="72"/>
          <c:spPr>
            <a:ln w="3175">
              <a:solidFill>
                <a:srgbClr val="000000"/>
              </a:solidFill>
              <a:prstDash val="solid"/>
            </a:ln>
          </c:spPr>
          <c:marker>
            <c:symbol val="none"/>
          </c:marker>
          <c:xVal>
            <c:numLit>
              <c:formatCode>General</c:formatCode>
              <c:ptCount val="2"/>
              <c:pt idx="0">
                <c:v>-6.4404160659918741</c:v>
              </c:pt>
              <c:pt idx="1">
                <c:v>-6.1412058508383218</c:v>
              </c:pt>
            </c:numLit>
          </c:xVal>
          <c:yVal>
            <c:numLit>
              <c:formatCode>General</c:formatCode>
              <c:ptCount val="2"/>
              <c:pt idx="0">
                <c:v>2.0171751126828213E-2</c:v>
              </c:pt>
              <c:pt idx="1">
                <c:v>2.0187842331041393E-2</c:v>
              </c:pt>
            </c:numLit>
          </c:yVal>
          <c:smooth val="0"/>
          <c:extLst>
            <c:ext xmlns:c16="http://schemas.microsoft.com/office/drawing/2014/chart" uri="{C3380CC4-5D6E-409C-BE32-E72D297353CC}">
              <c16:uniqueId val="{00000050-E593-47C0-BD80-CBE25F05A847}"/>
            </c:ext>
          </c:extLst>
        </c:ser>
        <c:ser>
          <c:idx val="73"/>
          <c:order val="73"/>
          <c:spPr>
            <a:ln w="3175">
              <a:solidFill>
                <a:srgbClr val="000000"/>
              </a:solidFill>
              <a:prstDash val="solid"/>
            </a:ln>
          </c:spPr>
          <c:marker>
            <c:symbol val="none"/>
          </c:marker>
          <c:xVal>
            <c:numLit>
              <c:formatCode>General</c:formatCode>
              <c:ptCount val="2"/>
              <c:pt idx="0">
                <c:v>-6.4245285241259857</c:v>
              </c:pt>
              <c:pt idx="1">
                <c:v>-6.1256522059410843</c:v>
              </c:pt>
            </c:numLit>
          </c:xVal>
          <c:yVal>
            <c:numLit>
              <c:formatCode>General</c:formatCode>
              <c:ptCount val="2"/>
              <c:pt idx="0">
                <c:v>2.0025833674800028E-2</c:v>
              </c:pt>
              <c:pt idx="1">
                <c:v>2.0045021897082967E-2</c:v>
              </c:pt>
            </c:numLit>
          </c:yVal>
          <c:smooth val="0"/>
          <c:extLst>
            <c:ext xmlns:c16="http://schemas.microsoft.com/office/drawing/2014/chart" uri="{C3380CC4-5D6E-409C-BE32-E72D297353CC}">
              <c16:uniqueId val="{00000051-E593-47C0-BD80-CBE25F05A847}"/>
            </c:ext>
          </c:extLst>
        </c:ser>
        <c:ser>
          <c:idx val="74"/>
          <c:order val="74"/>
          <c:spPr>
            <a:ln w="3175">
              <a:solidFill>
                <a:srgbClr val="000000"/>
              </a:solidFill>
              <a:prstDash val="solid"/>
            </a:ln>
          </c:spPr>
          <c:marker>
            <c:symbol val="none"/>
          </c:marker>
          <c:xVal>
            <c:numLit>
              <c:formatCode>General</c:formatCode>
              <c:ptCount val="2"/>
              <c:pt idx="0">
                <c:v>-6.4049486097896127</c:v>
              </c:pt>
              <c:pt idx="1">
                <c:v>-6.1064838193638336</c:v>
              </c:pt>
            </c:numLit>
          </c:xVal>
          <c:yVal>
            <c:numLit>
              <c:formatCode>General</c:formatCode>
              <c:ptCount val="2"/>
              <c:pt idx="0">
                <c:v>1.9873549157153957E-2</c:v>
              </c:pt>
              <c:pt idx="1">
                <c:v>1.9895969774747002E-2</c:v>
              </c:pt>
            </c:numLit>
          </c:yVal>
          <c:smooth val="0"/>
          <c:extLst>
            <c:ext xmlns:c16="http://schemas.microsoft.com/office/drawing/2014/chart" uri="{C3380CC4-5D6E-409C-BE32-E72D297353CC}">
              <c16:uniqueId val="{00000052-E593-47C0-BD80-CBE25F05A847}"/>
            </c:ext>
          </c:extLst>
        </c:ser>
        <c:ser>
          <c:idx val="75"/>
          <c:order val="75"/>
          <c:spPr>
            <a:ln w="3175">
              <a:solidFill>
                <a:srgbClr val="000000"/>
              </a:solidFill>
              <a:prstDash val="solid"/>
            </a:ln>
          </c:spPr>
          <c:marker>
            <c:symbol val="none"/>
          </c:marker>
          <c:xVal>
            <c:numLit>
              <c:formatCode>General</c:formatCode>
              <c:ptCount val="2"/>
              <c:pt idx="0">
                <c:v>-6.3812273246822127</c:v>
              </c:pt>
              <c:pt idx="1">
                <c:v>-6.0832611503332013</c:v>
              </c:pt>
            </c:numLit>
          </c:xVal>
          <c:yVal>
            <c:numLit>
              <c:formatCode>General</c:formatCode>
              <c:ptCount val="2"/>
              <c:pt idx="0">
                <c:v>1.9714578538365699E-2</c:v>
              </c:pt>
              <c:pt idx="1">
                <c:v>1.9740373775798421E-2</c:v>
              </c:pt>
            </c:numLit>
          </c:yVal>
          <c:smooth val="0"/>
          <c:extLst>
            <c:ext xmlns:c16="http://schemas.microsoft.com/office/drawing/2014/chart" uri="{C3380CC4-5D6E-409C-BE32-E72D297353CC}">
              <c16:uniqueId val="{00000053-E593-47C0-BD80-CBE25F05A847}"/>
            </c:ext>
          </c:extLst>
        </c:ser>
        <c:ser>
          <c:idx val="76"/>
          <c:order val="76"/>
          <c:spPr>
            <a:ln w="3175">
              <a:solidFill>
                <a:srgbClr val="000000"/>
              </a:solidFill>
              <a:prstDash val="solid"/>
            </a:ln>
          </c:spPr>
          <c:marker>
            <c:symbol val="none"/>
          </c:marker>
          <c:xVal>
            <c:numLit>
              <c:formatCode>General</c:formatCode>
              <c:ptCount val="2"/>
              <c:pt idx="0">
                <c:v>-6.3528636892133203</c:v>
              </c:pt>
              <c:pt idx="1">
                <c:v>-5.7581260856691445</c:v>
              </c:pt>
            </c:numLit>
          </c:xVal>
          <c:yVal>
            <c:numLit>
              <c:formatCode>General</c:formatCode>
              <c:ptCount val="2"/>
              <c:pt idx="0">
                <c:v>1.9548593935935225E-2</c:v>
              </c:pt>
              <c:pt idx="1">
                <c:v>1.9607244455322151E-2</c:v>
              </c:pt>
            </c:numLit>
          </c:yVal>
          <c:smooth val="0"/>
          <c:extLst>
            <c:ext xmlns:c16="http://schemas.microsoft.com/office/drawing/2014/chart" uri="{C3380CC4-5D6E-409C-BE32-E72D297353CC}">
              <c16:uniqueId val="{00000054-E593-47C0-BD80-CBE25F05A847}"/>
            </c:ext>
          </c:extLst>
        </c:ser>
        <c:ser>
          <c:idx val="77"/>
          <c:order val="77"/>
          <c:spPr>
            <a:ln w="3175">
              <a:solidFill>
                <a:srgbClr val="000000"/>
              </a:solidFill>
              <a:prstDash val="solid"/>
            </a:ln>
          </c:spPr>
          <c:marker>
            <c:symbol val="none"/>
          </c:marker>
          <c:xVal>
            <c:numLit>
              <c:formatCode>General</c:formatCode>
              <c:ptCount val="2"/>
              <c:pt idx="0">
                <c:v>-6.3192992403036552</c:v>
              </c:pt>
              <c:pt idx="1">
                <c:v>-6.0226350152140311</c:v>
              </c:pt>
            </c:numLit>
          </c:xVal>
          <c:yVal>
            <c:numLit>
              <c:formatCode>General</c:formatCode>
              <c:ptCount val="2"/>
              <c:pt idx="0">
                <c:v>1.9375260758225134E-2</c:v>
              </c:pt>
              <c:pt idx="1">
                <c:v>1.94082602718086E-2</c:v>
              </c:pt>
            </c:numLit>
          </c:yVal>
          <c:smooth val="0"/>
          <c:extLst>
            <c:ext xmlns:c16="http://schemas.microsoft.com/office/drawing/2014/chart" uri="{C3380CC4-5D6E-409C-BE32-E72D297353CC}">
              <c16:uniqueId val="{00000055-E593-47C0-BD80-CBE25F05A847}"/>
            </c:ext>
          </c:extLst>
        </c:ser>
        <c:ser>
          <c:idx val="78"/>
          <c:order val="78"/>
          <c:spPr>
            <a:ln w="3175">
              <a:solidFill>
                <a:srgbClr val="000000"/>
              </a:solidFill>
              <a:prstDash val="solid"/>
            </a:ln>
          </c:spPr>
          <c:marker>
            <c:symbol val="none"/>
          </c:marker>
          <c:xVal>
            <c:numLit>
              <c:formatCode>General</c:formatCode>
              <c:ptCount val="2"/>
              <c:pt idx="0">
                <c:v>-6.2799121753649985</c:v>
              </c:pt>
              <c:pt idx="1">
                <c:v>-5.9840761830536753</c:v>
              </c:pt>
            </c:numLit>
          </c:xVal>
          <c:yVal>
            <c:numLit>
              <c:formatCode>General</c:formatCode>
              <c:ptCount val="2"/>
              <c:pt idx="0">
                <c:v>1.9194240570334139E-2</c:v>
              </c:pt>
              <c:pt idx="1">
                <c:v>1.9231084265235985E-2</c:v>
              </c:pt>
            </c:numLit>
          </c:yVal>
          <c:smooth val="0"/>
          <c:extLst>
            <c:ext xmlns:c16="http://schemas.microsoft.com/office/drawing/2014/chart" uri="{C3380CC4-5D6E-409C-BE32-E72D297353CC}">
              <c16:uniqueId val="{00000056-E593-47C0-BD80-CBE25F05A847}"/>
            </c:ext>
          </c:extLst>
        </c:ser>
        <c:ser>
          <c:idx val="79"/>
          <c:order val="79"/>
          <c:spPr>
            <a:ln w="3175">
              <a:solidFill>
                <a:srgbClr val="000000"/>
              </a:solidFill>
              <a:prstDash val="solid"/>
            </a:ln>
          </c:spPr>
          <c:marker>
            <c:symbol val="none"/>
          </c:marker>
          <c:xVal>
            <c:numLit>
              <c:formatCode>General</c:formatCode>
              <c:ptCount val="2"/>
              <c:pt idx="0">
                <c:v>-6.2340112084088908</c:v>
              </c:pt>
              <c:pt idx="1">
                <c:v>-5.9391405956743277</c:v>
              </c:pt>
            </c:numLit>
          </c:xVal>
          <c:yVal>
            <c:numLit>
              <c:formatCode>General</c:formatCode>
              <c:ptCount val="2"/>
              <c:pt idx="0">
                <c:v>1.900519484317249E-2</c:v>
              </c:pt>
              <c:pt idx="1">
                <c:v>1.9046053859856433E-2</c:v>
              </c:pt>
            </c:numLit>
          </c:yVal>
          <c:smooth val="0"/>
          <c:extLst>
            <c:ext xmlns:c16="http://schemas.microsoft.com/office/drawing/2014/chart" uri="{C3380CC4-5D6E-409C-BE32-E72D297353CC}">
              <c16:uniqueId val="{00000057-E593-47C0-BD80-CBE25F05A847}"/>
            </c:ext>
          </c:extLst>
        </c:ser>
        <c:ser>
          <c:idx val="80"/>
          <c:order val="80"/>
          <c:spPr>
            <a:ln w="3175">
              <a:solidFill>
                <a:srgbClr val="000000"/>
              </a:solidFill>
              <a:prstDash val="solid"/>
            </a:ln>
          </c:spPr>
          <c:marker>
            <c:symbol val="none"/>
          </c:marker>
          <c:xVal>
            <c:numLit>
              <c:formatCode>General</c:formatCode>
              <c:ptCount val="2"/>
              <c:pt idx="0">
                <c:v>-6.1808292446003525</c:v>
              </c:pt>
              <c:pt idx="1">
                <c:v>-5.8870773748687428</c:v>
              </c:pt>
            </c:numLit>
          </c:xVal>
          <c:yVal>
            <c:numLit>
              <c:formatCode>General</c:formatCode>
              <c:ptCount val="2"/>
              <c:pt idx="0">
                <c:v>1.8807789763299193E-2</c:v>
              </c:pt>
              <c:pt idx="1">
                <c:v>1.885284251062827E-2</c:v>
              </c:pt>
            </c:numLit>
          </c:yVal>
          <c:smooth val="0"/>
          <c:extLst>
            <c:ext xmlns:c16="http://schemas.microsoft.com/office/drawing/2014/chart" uri="{C3380CC4-5D6E-409C-BE32-E72D297353CC}">
              <c16:uniqueId val="{00000058-E593-47C0-BD80-CBE25F05A847}"/>
            </c:ext>
          </c:extLst>
        </c:ser>
        <c:ser>
          <c:idx val="81"/>
          <c:order val="81"/>
          <c:spPr>
            <a:ln w="3175">
              <a:solidFill>
                <a:srgbClr val="000000"/>
              </a:solidFill>
              <a:prstDash val="solid"/>
            </a:ln>
          </c:spPr>
          <c:marker>
            <c:symbol val="none"/>
          </c:marker>
          <c:xVal>
            <c:numLit>
              <c:formatCode>General</c:formatCode>
              <c:ptCount val="2"/>
              <c:pt idx="0">
                <c:v>-6.1195170325550308</c:v>
              </c:pt>
              <c:pt idx="1">
                <c:v>-5.534599652818355</c:v>
              </c:pt>
            </c:numLit>
          </c:xVal>
          <c:yVal>
            <c:numLit>
              <c:formatCode>General</c:formatCode>
              <c:ptCount val="2"/>
              <c:pt idx="0">
                <c:v>1.86017023029456E-2</c:v>
              </c:pt>
              <c:pt idx="1">
                <c:v>1.8700586194654339E-2</c:v>
              </c:pt>
            </c:numLit>
          </c:yVal>
          <c:smooth val="0"/>
          <c:extLst>
            <c:ext xmlns:c16="http://schemas.microsoft.com/office/drawing/2014/chart" uri="{C3380CC4-5D6E-409C-BE32-E72D297353CC}">
              <c16:uniqueId val="{00000059-E593-47C0-BD80-CBE25F05A847}"/>
            </c:ext>
          </c:extLst>
        </c:ser>
        <c:ser>
          <c:idx val="82"/>
          <c:order val="82"/>
          <c:spPr>
            <a:ln w="3175">
              <a:solidFill>
                <a:srgbClr val="000000"/>
              </a:solidFill>
              <a:prstDash val="solid"/>
            </a:ln>
          </c:spPr>
          <c:marker>
            <c:symbol val="none"/>
          </c:marker>
          <c:xVal>
            <c:numLit>
              <c:formatCode>General</c:formatCode>
              <c:ptCount val="2"/>
              <c:pt idx="0">
                <c:v>-6.085522707107951</c:v>
              </c:pt>
              <c:pt idx="1">
                <c:v>-5.7937763361296684</c:v>
              </c:pt>
            </c:numLit>
          </c:xVal>
          <c:yVal>
            <c:numLit>
              <c:formatCode>General</c:formatCode>
              <c:ptCount val="2"/>
              <c:pt idx="0">
                <c:v>1.8495306506800622E-2</c:v>
              </c:pt>
              <c:pt idx="1">
                <c:v>1.8546999744218709E-2</c:v>
              </c:pt>
            </c:numLit>
          </c:yVal>
          <c:smooth val="0"/>
          <c:extLst>
            <c:ext xmlns:c16="http://schemas.microsoft.com/office/drawing/2014/chart" uri="{C3380CC4-5D6E-409C-BE32-E72D297353CC}">
              <c16:uniqueId val="{0000005A-E593-47C0-BD80-CBE25F05A847}"/>
            </c:ext>
          </c:extLst>
        </c:ser>
        <c:ser>
          <c:idx val="83"/>
          <c:order val="83"/>
          <c:spPr>
            <a:ln w="3175">
              <a:solidFill>
                <a:srgbClr val="000000"/>
              </a:solidFill>
              <a:prstDash val="solid"/>
            </a:ln>
          </c:spPr>
          <c:marker>
            <c:symbol val="none"/>
          </c:marker>
          <c:xVal>
            <c:numLit>
              <c:formatCode>General</c:formatCode>
              <c:ptCount val="2"/>
              <c:pt idx="0">
                <c:v>-6.0491370217777725</c:v>
              </c:pt>
              <c:pt idx="1">
                <c:v>-5.7581565088975415</c:v>
              </c:pt>
            </c:numLit>
          </c:xVal>
          <c:yVal>
            <c:numLit>
              <c:formatCode>General</c:formatCode>
              <c:ptCount val="2"/>
              <c:pt idx="0">
                <c:v>1.8386627768883546E-2</c:v>
              </c:pt>
              <c:pt idx="1">
                <c:v>1.8440631137357402E-2</c:v>
              </c:pt>
            </c:numLit>
          </c:yVal>
          <c:smooth val="0"/>
          <c:extLst>
            <c:ext xmlns:c16="http://schemas.microsoft.com/office/drawing/2014/chart" uri="{C3380CC4-5D6E-409C-BE32-E72D297353CC}">
              <c16:uniqueId val="{0000005B-E593-47C0-BD80-CBE25F05A847}"/>
            </c:ext>
          </c:extLst>
        </c:ser>
        <c:ser>
          <c:idx val="84"/>
          <c:order val="84"/>
          <c:spPr>
            <a:ln w="3175">
              <a:solidFill>
                <a:srgbClr val="000000"/>
              </a:solidFill>
              <a:prstDash val="solid"/>
            </a:ln>
          </c:spPr>
          <c:marker>
            <c:symbol val="none"/>
          </c:marker>
          <c:xVal>
            <c:numLit>
              <c:formatCode>General</c:formatCode>
              <c:ptCount val="2"/>
              <c:pt idx="0">
                <c:v>-6.0102280619194612</c:v>
              </c:pt>
              <c:pt idx="1">
                <c:v>-5.7200666445882398</c:v>
              </c:pt>
            </c:numLit>
          </c:xVal>
          <c:yVal>
            <c:numLit>
              <c:formatCode>General</c:formatCode>
              <c:ptCount val="2"/>
              <c:pt idx="0">
                <c:v>1.8275632385817388E-2</c:v>
              </c:pt>
              <c:pt idx="1">
                <c:v>1.8331995490505258E-2</c:v>
              </c:pt>
            </c:numLit>
          </c:yVal>
          <c:smooth val="0"/>
          <c:extLst>
            <c:ext xmlns:c16="http://schemas.microsoft.com/office/drawing/2014/chart" uri="{C3380CC4-5D6E-409C-BE32-E72D297353CC}">
              <c16:uniqueId val="{0000005C-E593-47C0-BD80-CBE25F05A847}"/>
            </c:ext>
          </c:extLst>
        </c:ser>
        <c:ser>
          <c:idx val="85"/>
          <c:order val="85"/>
          <c:spPr>
            <a:ln w="3175">
              <a:solidFill>
                <a:srgbClr val="000000"/>
              </a:solidFill>
              <a:prstDash val="solid"/>
            </a:ln>
          </c:spPr>
          <c:marker>
            <c:symbol val="none"/>
          </c:marker>
          <c:xVal>
            <c:numLit>
              <c:formatCode>General</c:formatCode>
              <c:ptCount val="2"/>
              <c:pt idx="0">
                <c:v>-5.9686577382838752</c:v>
              </c:pt>
              <c:pt idx="1">
                <c:v>-5.6793715867435788</c:v>
              </c:pt>
            </c:numLit>
          </c:xVal>
          <c:yVal>
            <c:numLit>
              <c:formatCode>General</c:formatCode>
              <c:ptCount val="2"/>
              <c:pt idx="0">
                <c:v>1.8162289062279902E-2</c:v>
              </c:pt>
              <c:pt idx="1">
                <c:v>1.8221062213132893E-2</c:v>
              </c:pt>
            </c:numLit>
          </c:yVal>
          <c:smooth val="0"/>
          <c:extLst>
            <c:ext xmlns:c16="http://schemas.microsoft.com/office/drawing/2014/chart" uri="{C3380CC4-5D6E-409C-BE32-E72D297353CC}">
              <c16:uniqueId val="{0000005D-E593-47C0-BD80-CBE25F05A847}"/>
            </c:ext>
          </c:extLst>
        </c:ser>
        <c:ser>
          <c:idx val="86"/>
          <c:order val="86"/>
          <c:spPr>
            <a:ln w="3175">
              <a:solidFill>
                <a:srgbClr val="000000"/>
              </a:solidFill>
              <a:prstDash val="solid"/>
            </a:ln>
          </c:spPr>
          <c:marker>
            <c:symbol val="none"/>
          </c:marker>
          <c:xVal>
            <c:numLit>
              <c:formatCode>General</c:formatCode>
              <c:ptCount val="2"/>
              <c:pt idx="0">
                <c:v>-5.9242816702136096</c:v>
              </c:pt>
              <c:pt idx="1">
                <c:v>-5.3475877573340735</c:v>
              </c:pt>
            </c:numLit>
          </c:xVal>
          <c:yVal>
            <c:numLit>
              <c:formatCode>General</c:formatCode>
              <c:ptCount val="2"/>
              <c:pt idx="0">
                <c:v>1.8046569310441331E-2</c:v>
              </c:pt>
              <c:pt idx="1">
                <c:v>1.8169061664199238E-2</c:v>
              </c:pt>
            </c:numLit>
          </c:yVal>
          <c:smooth val="0"/>
          <c:extLst>
            <c:ext xmlns:c16="http://schemas.microsoft.com/office/drawing/2014/chart" uri="{C3380CC4-5D6E-409C-BE32-E72D297353CC}">
              <c16:uniqueId val="{0000005E-E593-47C0-BD80-CBE25F05A847}"/>
            </c:ext>
          </c:extLst>
        </c:ser>
        <c:ser>
          <c:idx val="87"/>
          <c:order val="87"/>
          <c:spPr>
            <a:ln w="3175">
              <a:solidFill>
                <a:srgbClr val="000000"/>
              </a:solidFill>
              <a:prstDash val="solid"/>
            </a:ln>
          </c:spPr>
          <c:marker>
            <c:symbol val="none"/>
          </c:marker>
          <c:xVal>
            <c:numLit>
              <c:formatCode>General</c:formatCode>
              <c:ptCount val="2"/>
              <c:pt idx="0">
                <c:v>-5.8769490965930213</c:v>
              </c:pt>
              <c:pt idx="1">
                <c:v>-5.5895944012428798</c:v>
              </c:pt>
            </c:numLit>
          </c:xVal>
          <c:yVal>
            <c:numLit>
              <c:formatCode>General</c:formatCode>
              <c:ptCount val="2"/>
              <c:pt idx="0">
                <c:v>1.7928447884993152E-2</c:v>
              </c:pt>
              <c:pt idx="1">
                <c:v>1.7992194584566659E-2</c:v>
              </c:pt>
            </c:numLit>
          </c:yVal>
          <c:smooth val="0"/>
          <c:extLst>
            <c:ext xmlns:c16="http://schemas.microsoft.com/office/drawing/2014/chart" uri="{C3380CC4-5D6E-409C-BE32-E72D297353CC}">
              <c16:uniqueId val="{0000005F-E593-47C0-BD80-CBE25F05A847}"/>
            </c:ext>
          </c:extLst>
        </c:ser>
        <c:ser>
          <c:idx val="88"/>
          <c:order val="88"/>
          <c:spPr>
            <a:ln w="3175">
              <a:solidFill>
                <a:srgbClr val="000000"/>
              </a:solidFill>
              <a:prstDash val="solid"/>
            </a:ln>
          </c:spPr>
          <c:marker>
            <c:symbol val="none"/>
          </c:marker>
          <c:xVal>
            <c:numLit>
              <c:formatCode>General</c:formatCode>
              <c:ptCount val="2"/>
              <c:pt idx="0">
                <c:v>-5.8265028202105924</c:v>
              </c:pt>
              <c:pt idx="1">
                <c:v>-5.5402108697385151</c:v>
              </c:pt>
            </c:numLit>
          </c:xVal>
          <c:yVal>
            <c:numLit>
              <c:formatCode>General</c:formatCode>
              <c:ptCount val="2"/>
              <c:pt idx="0">
                <c:v>1.780790325517077E-2</c:v>
              </c:pt>
              <c:pt idx="1">
                <c:v>1.7874214546059516E-2</c:v>
              </c:pt>
            </c:numLit>
          </c:yVal>
          <c:smooth val="0"/>
          <c:extLst>
            <c:ext xmlns:c16="http://schemas.microsoft.com/office/drawing/2014/chart" uri="{C3380CC4-5D6E-409C-BE32-E72D297353CC}">
              <c16:uniqueId val="{00000060-E593-47C0-BD80-CBE25F05A847}"/>
            </c:ext>
          </c:extLst>
        </c:ser>
        <c:ser>
          <c:idx val="89"/>
          <c:order val="89"/>
          <c:spPr>
            <a:ln w="3175">
              <a:solidFill>
                <a:srgbClr val="000000"/>
              </a:solidFill>
              <a:prstDash val="solid"/>
            </a:ln>
          </c:spPr>
          <c:marker>
            <c:symbol val="none"/>
          </c:marker>
          <c:xVal>
            <c:numLit>
              <c:formatCode>General</c:formatCode>
              <c:ptCount val="2"/>
              <c:pt idx="0">
                <c:v>-5.7727791918245215</c:v>
              </c:pt>
              <c:pt idx="1">
                <c:v>-5.4876192678528364</c:v>
              </c:pt>
            </c:numLit>
          </c:xVal>
          <c:yVal>
            <c:numLit>
              <c:formatCode>General</c:formatCode>
              <c:ptCount val="2"/>
              <c:pt idx="0">
                <c:v>1.7684918114909066E-2</c:v>
              </c:pt>
              <c:pt idx="1">
                <c:v>1.7753846463893632E-2</c:v>
              </c:pt>
            </c:numLit>
          </c:yVal>
          <c:smooth val="0"/>
          <c:extLst>
            <c:ext xmlns:c16="http://schemas.microsoft.com/office/drawing/2014/chart" uri="{C3380CC4-5D6E-409C-BE32-E72D297353CC}">
              <c16:uniqueId val="{00000061-E593-47C0-BD80-CBE25F05A847}"/>
            </c:ext>
          </c:extLst>
        </c:ser>
        <c:ser>
          <c:idx val="90"/>
          <c:order val="90"/>
          <c:spPr>
            <a:ln w="3175">
              <a:solidFill>
                <a:srgbClr val="000000"/>
              </a:solidFill>
              <a:prstDash val="solid"/>
            </a:ln>
          </c:spPr>
          <c:marker>
            <c:symbol val="none"/>
          </c:marker>
          <c:xVal>
            <c:numLit>
              <c:formatCode>General</c:formatCode>
              <c:ptCount val="2"/>
              <c:pt idx="0">
                <c:v>-5.7156081408752861</c:v>
              </c:pt>
              <c:pt idx="1">
                <c:v>-5.4316531537037873</c:v>
              </c:pt>
            </c:numLit>
          </c:xVal>
          <c:yVal>
            <c:numLit>
              <c:formatCode>General</c:formatCode>
              <c:ptCount val="2"/>
              <c:pt idx="0">
                <c:v>1.7559479931924228E-2</c:v>
              </c:pt>
              <c:pt idx="1">
                <c:v>1.7631078127631022E-2</c:v>
              </c:pt>
            </c:numLit>
          </c:yVal>
          <c:smooth val="0"/>
          <c:extLst>
            <c:ext xmlns:c16="http://schemas.microsoft.com/office/drawing/2014/chart" uri="{C3380CC4-5D6E-409C-BE32-E72D297353CC}">
              <c16:uniqueId val="{00000062-E593-47C0-BD80-CBE25F05A847}"/>
            </c:ext>
          </c:extLst>
        </c:ser>
        <c:ser>
          <c:idx val="91"/>
          <c:order val="91"/>
          <c:spPr>
            <a:ln w="3175">
              <a:solidFill>
                <a:srgbClr val="000000"/>
              </a:solidFill>
              <a:prstDash val="solid"/>
            </a:ln>
          </c:spPr>
          <c:marker>
            <c:symbol val="none"/>
          </c:marker>
          <c:xVal>
            <c:numLit>
              <c:formatCode>General</c:formatCode>
              <c:ptCount val="2"/>
              <c:pt idx="0">
                <c:v>-5.6548132604507</c:v>
              </c:pt>
              <c:pt idx="1">
                <c:v>-5.0894800551960175</c:v>
              </c:pt>
            </c:numLit>
          </c:xVal>
          <c:yVal>
            <c:numLit>
              <c:formatCode>General</c:formatCode>
              <c:ptCount val="2"/>
              <c:pt idx="0">
                <c:v>1.7431581536076757E-2</c:v>
              </c:pt>
              <c:pt idx="1">
                <c:v>1.7580251649321022E-2</c:v>
              </c:pt>
            </c:numLit>
          </c:yVal>
          <c:smooth val="0"/>
          <c:extLst>
            <c:ext xmlns:c16="http://schemas.microsoft.com/office/drawing/2014/chart" uri="{C3380CC4-5D6E-409C-BE32-E72D297353CC}">
              <c16:uniqueId val="{00000063-E593-47C0-BD80-CBE25F05A847}"/>
            </c:ext>
          </c:extLst>
        </c:ser>
        <c:ser>
          <c:idx val="92"/>
          <c:order val="92"/>
          <c:spPr>
            <a:ln w="3175">
              <a:solidFill>
                <a:srgbClr val="000000"/>
              </a:solidFill>
              <a:prstDash val="solid"/>
            </a:ln>
          </c:spPr>
          <c:marker>
            <c:symbol val="none"/>
          </c:marker>
          <c:xVal>
            <c:numLit>
              <c:formatCode>General</c:formatCode>
              <c:ptCount val="2"/>
              <c:pt idx="0">
                <c:v>-5.5902119547643538</c:v>
              </c:pt>
              <c:pt idx="1">
                <c:v>-5.3089007812936524</c:v>
              </c:pt>
            </c:numLit>
          </c:xVal>
          <c:yVal>
            <c:numLit>
              <c:formatCode>General</c:formatCode>
              <c:ptCount val="2"/>
              <c:pt idx="0">
                <c:v>1.730122174682644E-2</c:v>
              </c:pt>
              <c:pt idx="1">
                <c:v>1.7378318722868574E-2</c:v>
              </c:pt>
            </c:numLit>
          </c:yVal>
          <c:smooth val="0"/>
          <c:extLst>
            <c:ext xmlns:c16="http://schemas.microsoft.com/office/drawing/2014/chart" uri="{C3380CC4-5D6E-409C-BE32-E72D297353CC}">
              <c16:uniqueId val="{00000064-E593-47C0-BD80-CBE25F05A847}"/>
            </c:ext>
          </c:extLst>
        </c:ser>
        <c:ser>
          <c:idx val="93"/>
          <c:order val="93"/>
          <c:spPr>
            <a:ln w="3175">
              <a:solidFill>
                <a:srgbClr val="000000"/>
              </a:solidFill>
              <a:prstDash val="solid"/>
            </a:ln>
          </c:spPr>
          <c:marker>
            <c:symbol val="none"/>
          </c:marker>
          <c:xVal>
            <c:numLit>
              <c:formatCode>General</c:formatCode>
              <c:ptCount val="2"/>
              <c:pt idx="0">
                <c:v>-5.5216156580385984</c:v>
              </c:pt>
              <c:pt idx="1">
                <c:v>-5.2417513042334738</c:v>
              </c:pt>
            </c:numLit>
          </c:xVal>
          <c:yVal>
            <c:numLit>
              <c:formatCode>General</c:formatCode>
              <c:ptCount val="2"/>
              <c:pt idx="0">
                <c:v>1.7168406038928632E-2</c:v>
              </c:pt>
              <c:pt idx="1">
                <c:v>1.7248331985026011E-2</c:v>
              </c:pt>
            </c:numLit>
          </c:yVal>
          <c:smooth val="0"/>
          <c:extLst>
            <c:ext xmlns:c16="http://schemas.microsoft.com/office/drawing/2014/chart" uri="{C3380CC4-5D6E-409C-BE32-E72D297353CC}">
              <c16:uniqueId val="{00000065-E593-47C0-BD80-CBE25F05A847}"/>
            </c:ext>
          </c:extLst>
        </c:ser>
        <c:ser>
          <c:idx val="94"/>
          <c:order val="94"/>
          <c:spPr>
            <a:ln w="3175">
              <a:solidFill>
                <a:srgbClr val="000000"/>
              </a:solidFill>
              <a:prstDash val="solid"/>
            </a:ln>
          </c:spPr>
          <c:marker>
            <c:symbol val="none"/>
          </c:marker>
          <c:xVal>
            <c:numLit>
              <c:formatCode>General</c:formatCode>
              <c:ptCount val="2"/>
              <c:pt idx="0">
                <c:v>-5.4488301342643446</c:v>
              </c:pt>
              <c:pt idx="1">
                <c:v>-5.1705013862512814</c:v>
              </c:pt>
            </c:numLit>
          </c:xVal>
          <c:yVal>
            <c:numLit>
              <c:formatCode>General</c:formatCode>
              <c:ptCount val="2"/>
              <c:pt idx="0">
                <c:v>1.7033147244730054E-2</c:v>
              </c:pt>
              <c:pt idx="1">
                <c:v>1.7115954993172641E-2</c:v>
              </c:pt>
            </c:numLit>
          </c:yVal>
          <c:smooth val="0"/>
          <c:extLst>
            <c:ext xmlns:c16="http://schemas.microsoft.com/office/drawing/2014/chart" uri="{C3380CC4-5D6E-409C-BE32-E72D297353CC}">
              <c16:uniqueId val="{00000066-E593-47C0-BD80-CBE25F05A847}"/>
            </c:ext>
          </c:extLst>
        </c:ser>
        <c:ser>
          <c:idx val="95"/>
          <c:order val="95"/>
          <c:spPr>
            <a:ln w="3175">
              <a:solidFill>
                <a:srgbClr val="000000"/>
              </a:solidFill>
              <a:prstDash val="solid"/>
            </a:ln>
          </c:spPr>
          <c:marker>
            <c:symbol val="none"/>
          </c:marker>
          <c:xVal>
            <c:numLit>
              <c:formatCode>General</c:formatCode>
              <c:ptCount val="2"/>
              <c:pt idx="0">
                <c:v>-5.3716558678134341</c:v>
              </c:pt>
              <c:pt idx="1">
                <c:v>-5.0949557962763974</c:v>
              </c:pt>
            </c:numLit>
          </c:xVal>
          <c:yVal>
            <c:numLit>
              <c:formatCode>General</c:formatCode>
              <c:ptCount val="2"/>
              <c:pt idx="0">
                <c:v>1.6895466290491552E-2</c:v>
              </c:pt>
              <c:pt idx="1">
                <c:v>1.6981208300576808E-2</c:v>
              </c:pt>
            </c:numLit>
          </c:yVal>
          <c:smooth val="0"/>
          <c:extLst>
            <c:ext xmlns:c16="http://schemas.microsoft.com/office/drawing/2014/chart" uri="{C3380CC4-5D6E-409C-BE32-E72D297353CC}">
              <c16:uniqueId val="{00000067-E593-47C0-BD80-CBE25F05A847}"/>
            </c:ext>
          </c:extLst>
        </c:ser>
        <c:ser>
          <c:idx val="96"/>
          <c:order val="96"/>
          <c:spPr>
            <a:ln w="3175">
              <a:solidFill>
                <a:srgbClr val="000000"/>
              </a:solidFill>
              <a:prstDash val="solid"/>
            </a:ln>
          </c:spPr>
          <c:marker>
            <c:symbol val="none"/>
          </c:marker>
          <c:xVal>
            <c:numLit>
              <c:formatCode>General</c:formatCode>
              <c:ptCount val="2"/>
              <c:pt idx="0">
                <c:v>-5.2898885552707755</c:v>
              </c:pt>
              <c:pt idx="1">
                <c:v>-4.7399594524317035</c:v>
              </c:pt>
            </c:numLit>
          </c:xVal>
          <c:yVal>
            <c:numLit>
              <c:formatCode>General</c:formatCode>
              <c:ptCount val="2"/>
              <c:pt idx="0">
                <c:v>1.6755392963085362E-2</c:v>
              </c:pt>
              <c:pt idx="1">
                <c:v>1.6932880948920096E-2</c:v>
              </c:pt>
            </c:numLit>
          </c:yVal>
          <c:smooth val="0"/>
          <c:extLst>
            <c:ext xmlns:c16="http://schemas.microsoft.com/office/drawing/2014/chart" uri="{C3380CC4-5D6E-409C-BE32-E72D297353CC}">
              <c16:uniqueId val="{00000068-E593-47C0-BD80-CBE25F05A847}"/>
            </c:ext>
          </c:extLst>
        </c:ser>
        <c:ser>
          <c:idx val="97"/>
          <c:order val="97"/>
          <c:spPr>
            <a:ln w="3175">
              <a:solidFill>
                <a:srgbClr val="000000"/>
              </a:solidFill>
              <a:prstDash val="solid"/>
            </a:ln>
          </c:spPr>
          <c:marker>
            <c:symbol val="none"/>
          </c:marker>
          <c:xVal>
            <c:numLit>
              <c:formatCode>General</c:formatCode>
              <c:ptCount val="2"/>
              <c:pt idx="0">
                <c:v>-5.2033197090931331</c:v>
              </c:pt>
              <c:pt idx="1">
                <c:v>-4.930173878055025</c:v>
              </c:pt>
            </c:numLit>
          </c:xVal>
          <c:yVal>
            <c:numLit>
              <c:formatCode>General</c:formatCode>
              <c:ptCount val="2"/>
              <c:pt idx="0">
                <c:v>1.6612966702180775E-2</c:v>
              </c:pt>
              <c:pt idx="1">
                <c:v>1.6704732176865585E-2</c:v>
              </c:pt>
            </c:numLit>
          </c:yVal>
          <c:smooth val="0"/>
          <c:extLst>
            <c:ext xmlns:c16="http://schemas.microsoft.com/office/drawing/2014/chart" uri="{C3380CC4-5D6E-409C-BE32-E72D297353CC}">
              <c16:uniqueId val="{00000069-E593-47C0-BD80-CBE25F05A847}"/>
            </c:ext>
          </c:extLst>
        </c:ser>
        <c:ser>
          <c:idx val="98"/>
          <c:order val="98"/>
          <c:spPr>
            <a:ln w="3175">
              <a:solidFill>
                <a:srgbClr val="000000"/>
              </a:solidFill>
              <a:prstDash val="solid"/>
            </a:ln>
          </c:spPr>
          <c:marker>
            <c:symbol val="none"/>
          </c:marker>
          <c:xVal>
            <c:numLit>
              <c:formatCode>General</c:formatCode>
              <c:ptCount val="2"/>
              <c:pt idx="0">
                <c:v>-5.1117373837437654</c:v>
              </c:pt>
              <c:pt idx="1">
                <c:v>-4.8405261843098577</c:v>
              </c:pt>
            </c:numLit>
          </c:xVal>
          <c:yVal>
            <c:numLit>
              <c:formatCode>General</c:formatCode>
              <c:ptCount val="2"/>
              <c:pt idx="0">
                <c:v>1.6468237411641461E-2</c:v>
              </c:pt>
              <c:pt idx="1">
                <c:v>1.6563090346779514E-2</c:v>
              </c:pt>
            </c:numLit>
          </c:yVal>
          <c:smooth val="0"/>
          <c:extLst>
            <c:ext xmlns:c16="http://schemas.microsoft.com/office/drawing/2014/chart" uri="{C3380CC4-5D6E-409C-BE32-E72D297353CC}">
              <c16:uniqueId val="{0000006A-E593-47C0-BD80-CBE25F05A847}"/>
            </c:ext>
          </c:extLst>
        </c:ser>
        <c:ser>
          <c:idx val="99"/>
          <c:order val="99"/>
          <c:spPr>
            <a:ln w="3175">
              <a:solidFill>
                <a:srgbClr val="000000"/>
              </a:solidFill>
              <a:prstDash val="solid"/>
            </a:ln>
          </c:spPr>
          <c:marker>
            <c:symbol val="none"/>
          </c:marker>
          <c:xVal>
            <c:numLit>
              <c:formatCode>General</c:formatCode>
              <c:ptCount val="2"/>
              <c:pt idx="0">
                <c:v>-5.0149270347463339</c:v>
              </c:pt>
              <c:pt idx="1">
                <c:v>-4.7457616406108887</c:v>
              </c:pt>
            </c:numLit>
          </c:xVal>
          <c:yVal>
            <c:numLit>
              <c:formatCode>General</c:formatCode>
              <c:ptCount val="2"/>
              <c:pt idx="0">
                <c:v>1.6321266282315831E-2</c:v>
              </c:pt>
              <c:pt idx="1">
                <c:v>1.6419255616592431E-2</c:v>
              </c:pt>
            </c:numLit>
          </c:yVal>
          <c:smooth val="0"/>
          <c:extLst>
            <c:ext xmlns:c16="http://schemas.microsoft.com/office/drawing/2014/chart" uri="{C3380CC4-5D6E-409C-BE32-E72D297353CC}">
              <c16:uniqueId val="{0000006B-E593-47C0-BD80-CBE25F05A847}"/>
            </c:ext>
          </c:extLst>
        </c:ser>
        <c:ser>
          <c:idx val="100"/>
          <c:order val="100"/>
          <c:spPr>
            <a:ln w="3175">
              <a:solidFill>
                <a:srgbClr val="000000"/>
              </a:solidFill>
              <a:prstDash val="solid"/>
            </a:ln>
          </c:spPr>
          <c:marker>
            <c:symbol val="none"/>
          </c:marker>
          <c:xVal>
            <c:numLit>
              <c:formatCode>General</c:formatCode>
              <c:ptCount val="2"/>
              <c:pt idx="0">
                <c:v>-4.9126725205921735</c:v>
              </c:pt>
              <c:pt idx="1">
                <c:v>-4.6456687915541259</c:v>
              </c:pt>
            </c:numLit>
          </c:xVal>
          <c:yVal>
            <c:numLit>
              <c:formatCode>General</c:formatCode>
              <c:ptCount val="2"/>
              <c:pt idx="0">
                <c:v>1.6172126616717374E-2</c:v>
              </c:pt>
              <c:pt idx="1">
                <c:v>1.6273299812841348E-2</c:v>
              </c:pt>
            </c:numLit>
          </c:yVal>
          <c:smooth val="0"/>
          <c:extLst>
            <c:ext xmlns:c16="http://schemas.microsoft.com/office/drawing/2014/chart" uri="{C3380CC4-5D6E-409C-BE32-E72D297353CC}">
              <c16:uniqueId val="{0000006C-E593-47C0-BD80-CBE25F05A847}"/>
            </c:ext>
          </c:extLst>
        </c:ser>
        <c:ser>
          <c:idx val="101"/>
          <c:order val="101"/>
          <c:spPr>
            <a:ln w="3175">
              <a:solidFill>
                <a:srgbClr val="000000"/>
              </a:solidFill>
              <a:prstDash val="solid"/>
            </a:ln>
          </c:spPr>
          <c:marker>
            <c:symbol val="none"/>
          </c:marker>
          <c:xVal>
            <c:numLit>
              <c:formatCode>General</c:formatCode>
              <c:ptCount val="2"/>
              <c:pt idx="0">
                <c:v>-4.8047572565634464</c:v>
              </c:pt>
              <c:pt idx="1">
                <c:v>-4.2753392408300135</c:v>
              </c:pt>
            </c:numLit>
          </c:xVal>
          <c:yVal>
            <c:numLit>
              <c:formatCode>General</c:formatCode>
              <c:ptCount val="2"/>
              <c:pt idx="0">
                <c:v>1.602090464428578E-2</c:v>
              </c:pt>
              <c:pt idx="1">
                <c:v>1.6229744658270026E-2</c:v>
              </c:pt>
            </c:numLit>
          </c:yVal>
          <c:smooth val="0"/>
          <c:extLst>
            <c:ext xmlns:c16="http://schemas.microsoft.com/office/drawing/2014/chart" uri="{C3380CC4-5D6E-409C-BE32-E72D297353CC}">
              <c16:uniqueId val="{0000006D-E593-47C0-BD80-CBE25F05A847}"/>
            </c:ext>
          </c:extLst>
        </c:ser>
        <c:ser>
          <c:idx val="102"/>
          <c:order val="102"/>
          <c:spPr>
            <a:ln w="3175">
              <a:solidFill>
                <a:srgbClr val="000000"/>
              </a:solidFill>
              <a:prstDash val="solid"/>
            </a:ln>
          </c:spPr>
          <c:marker>
            <c:symbol val="none"/>
          </c:marker>
          <c:xVal>
            <c:numLit>
              <c:formatCode>General</c:formatCode>
              <c:ptCount val="2"/>
              <c:pt idx="0">
                <c:v>-4.6909655282406417</c:v>
              </c:pt>
              <c:pt idx="1">
                <c:v>-4.4286515323763824</c:v>
              </c:pt>
            </c:numLit>
          </c:xVal>
          <c:yVal>
            <c:numLit>
              <c:formatCode>General</c:formatCode>
              <c:ptCount val="2"/>
              <c:pt idx="0">
                <c:v>1.5867700314020336E-2</c:v>
              </c:pt>
              <c:pt idx="1">
                <c:v>1.5975376328465341E-2</c:v>
              </c:pt>
            </c:numLit>
          </c:yVal>
          <c:smooth val="0"/>
          <c:extLst>
            <c:ext xmlns:c16="http://schemas.microsoft.com/office/drawing/2014/chart" uri="{C3380CC4-5D6E-409C-BE32-E72D297353CC}">
              <c16:uniqueId val="{0000006E-E593-47C0-BD80-CBE25F05A847}"/>
            </c:ext>
          </c:extLst>
        </c:ser>
        <c:ser>
          <c:idx val="103"/>
          <c:order val="103"/>
          <c:spPr>
            <a:ln w="3175">
              <a:solidFill>
                <a:srgbClr val="000000"/>
              </a:solidFill>
              <a:prstDash val="solid"/>
            </a:ln>
          </c:spPr>
          <c:marker>
            <c:symbol val="none"/>
          </c:marker>
          <c:xVal>
            <c:numLit>
              <c:formatCode>General</c:formatCode>
              <c:ptCount val="2"/>
              <c:pt idx="0">
                <c:v>-4.5710839706874209</c:v>
              </c:pt>
              <c:pt idx="1">
                <c:v>-4.3113074088595988</c:v>
              </c:pt>
            </c:numLit>
          </c:xVal>
          <c:yVal>
            <c:numLit>
              <c:formatCode>General</c:formatCode>
              <c:ptCount val="2"/>
              <c:pt idx="0">
                <c:v>1.5712628049326046E-2</c:v>
              </c:pt>
              <c:pt idx="1">
                <c:v>1.5823618626362695E-2</c:v>
              </c:pt>
            </c:numLit>
          </c:yVal>
          <c:smooth val="0"/>
          <c:extLst>
            <c:ext xmlns:c16="http://schemas.microsoft.com/office/drawing/2014/chart" uri="{C3380CC4-5D6E-409C-BE32-E72D297353CC}">
              <c16:uniqueId val="{0000006F-E593-47C0-BD80-CBE25F05A847}"/>
            </c:ext>
          </c:extLst>
        </c:ser>
        <c:ser>
          <c:idx val="104"/>
          <c:order val="104"/>
          <c:spPr>
            <a:ln w="3175">
              <a:solidFill>
                <a:srgbClr val="000000"/>
              </a:solidFill>
              <a:prstDash val="solid"/>
            </a:ln>
          </c:spPr>
          <c:marker>
            <c:symbol val="none"/>
          </c:marker>
          <c:xVal>
            <c:numLit>
              <c:formatCode>General</c:formatCode>
              <c:ptCount val="2"/>
              <c:pt idx="0">
                <c:v>-4.4449032169939464</c:v>
              </c:pt>
              <c:pt idx="1">
                <c:v>-4.1877986154546427</c:v>
              </c:pt>
            </c:numLit>
          </c:xVal>
          <c:yVal>
            <c:numLit>
              <c:formatCode>General</c:formatCode>
              <c:ptCount val="2"/>
              <c:pt idx="0">
                <c:v>1.5555817447964507E-2</c:v>
              </c:pt>
              <c:pt idx="1">
                <c:v>1.5670161229587115E-2</c:v>
              </c:pt>
            </c:numLit>
          </c:yVal>
          <c:smooth val="0"/>
          <c:extLst>
            <c:ext xmlns:c16="http://schemas.microsoft.com/office/drawing/2014/chart" uri="{C3380CC4-5D6E-409C-BE32-E72D297353CC}">
              <c16:uniqueId val="{00000070-E593-47C0-BD80-CBE25F05A847}"/>
            </c:ext>
          </c:extLst>
        </c:ser>
        <c:ser>
          <c:idx val="105"/>
          <c:order val="105"/>
          <c:spPr>
            <a:ln w="3175">
              <a:solidFill>
                <a:srgbClr val="000000"/>
              </a:solidFill>
              <a:prstDash val="solid"/>
            </a:ln>
          </c:spPr>
          <c:marker>
            <c:symbol val="none"/>
          </c:marker>
          <c:xVal>
            <c:numLit>
              <c:formatCode>General</c:formatCode>
              <c:ptCount val="2"/>
              <c:pt idx="0">
                <c:v>-4.312219716966025</c:v>
              </c:pt>
              <c:pt idx="1">
                <c:v>-4.0579260852665504</c:v>
              </c:pt>
            </c:numLit>
          </c:xVal>
          <c:yVal>
            <c:numLit>
              <c:formatCode>General</c:formatCode>
              <c:ptCount val="2"/>
              <c:pt idx="0">
                <c:v>1.5397413908124226E-2</c:v>
              </c:pt>
              <c:pt idx="1">
                <c:v>1.5515146520333783E-2</c:v>
              </c:pt>
            </c:numLit>
          </c:yVal>
          <c:smooth val="0"/>
          <c:extLst>
            <c:ext xmlns:c16="http://schemas.microsoft.com/office/drawing/2014/chart" uri="{C3380CC4-5D6E-409C-BE32-E72D297353CC}">
              <c16:uniqueId val="{00000071-E593-47C0-BD80-CBE25F05A847}"/>
            </c:ext>
          </c:extLst>
        </c:ser>
        <c:ser>
          <c:idx val="106"/>
          <c:order val="106"/>
          <c:spPr>
            <a:ln w="3175">
              <a:solidFill>
                <a:srgbClr val="000000"/>
              </a:solidFill>
              <a:prstDash val="solid"/>
            </a:ln>
          </c:spPr>
          <c:marker>
            <c:symbol val="none"/>
          </c:marker>
          <c:xVal>
            <c:numLit>
              <c:formatCode>General</c:formatCode>
              <c:ptCount val="2"/>
              <c:pt idx="0">
                <c:v>-4.1728377232389242</c:v>
              </c:pt>
              <c:pt idx="1">
                <c:v>-3.6701909794749938</c:v>
              </c:pt>
            </c:numLit>
          </c:xVal>
          <c:yVal>
            <c:numLit>
              <c:formatCode>General</c:formatCode>
              <c:ptCount val="2"/>
              <c:pt idx="0">
                <c:v>1.5237579159901987E-2</c:v>
              </c:pt>
              <c:pt idx="1">
                <c:v>1.5479922581002253E-2</c:v>
              </c:pt>
            </c:numLit>
          </c:yVal>
          <c:smooth val="0"/>
          <c:extLst>
            <c:ext xmlns:c16="http://schemas.microsoft.com/office/drawing/2014/chart" uri="{C3380CC4-5D6E-409C-BE32-E72D297353CC}">
              <c16:uniqueId val="{00000072-E593-47C0-BD80-CBE25F05A847}"/>
            </c:ext>
          </c:extLst>
        </c:ser>
        <c:ser>
          <c:idx val="107"/>
          <c:order val="107"/>
          <c:spPr>
            <a:ln w="3175">
              <a:solidFill>
                <a:srgbClr val="000000"/>
              </a:solidFill>
              <a:prstDash val="solid"/>
            </a:ln>
          </c:spPr>
          <c:marker>
            <c:symbol val="none"/>
          </c:marker>
          <c:xVal>
            <c:numLit>
              <c:formatCode>General</c:formatCode>
              <c:ptCount val="2"/>
              <c:pt idx="0">
                <c:v>-4.026571437958375</c:v>
              </c:pt>
              <c:pt idx="1">
                <c:v>-3.778333902587538</c:v>
              </c:pt>
            </c:numLit>
          </c:xVal>
          <c:yVal>
            <c:numLit>
              <c:formatCode>General</c:formatCode>
              <c:ptCount val="2"/>
              <c:pt idx="0">
                <c:v>1.5076491680015076E-2</c:v>
              </c:pt>
              <c:pt idx="1">
                <c:v>1.5201094996387811E-2</c:v>
              </c:pt>
            </c:numLit>
          </c:yVal>
          <c:smooth val="0"/>
          <c:extLst>
            <c:ext xmlns:c16="http://schemas.microsoft.com/office/drawing/2014/chart" uri="{C3380CC4-5D6E-409C-BE32-E72D297353CC}">
              <c16:uniqueId val="{00000073-E593-47C0-BD80-CBE25F05A847}"/>
            </c:ext>
          </c:extLst>
        </c:ser>
        <c:ser>
          <c:idx val="108"/>
          <c:order val="108"/>
          <c:spPr>
            <a:ln w="3175">
              <a:solidFill>
                <a:srgbClr val="000000"/>
              </a:solidFill>
              <a:prstDash val="solid"/>
            </a:ln>
          </c:spPr>
          <c:marker>
            <c:symbol val="none"/>
          </c:marker>
          <c:xVal>
            <c:numLit>
              <c:formatCode>General</c:formatCode>
              <c:ptCount val="2"/>
              <c:pt idx="0">
                <c:v>-3.8732473084196117</c:v>
              </c:pt>
              <c:pt idx="1">
                <c:v>-3.6282629203486501</c:v>
              </c:pt>
            </c:numLit>
          </c:xVal>
          <c:yVal>
            <c:numLit>
              <c:formatCode>General</c:formatCode>
              <c:ptCount val="2"/>
              <c:pt idx="0">
                <c:v>1.4914346966454389E-2</c:v>
              </c:pt>
              <c:pt idx="1">
                <c:v>1.5042424325441343E-2</c:v>
              </c:pt>
            </c:numLit>
          </c:yVal>
          <c:smooth val="0"/>
          <c:extLst>
            <c:ext xmlns:c16="http://schemas.microsoft.com/office/drawing/2014/chart" uri="{C3380CC4-5D6E-409C-BE32-E72D297353CC}">
              <c16:uniqueId val="{00000074-E593-47C0-BD80-CBE25F05A847}"/>
            </c:ext>
          </c:extLst>
        </c:ser>
        <c:ser>
          <c:idx val="109"/>
          <c:order val="109"/>
          <c:spPr>
            <a:ln w="3175">
              <a:solidFill>
                <a:srgbClr val="000000"/>
              </a:solidFill>
              <a:prstDash val="solid"/>
            </a:ln>
          </c:spPr>
          <c:marker>
            <c:symbol val="none"/>
          </c:marker>
          <c:xVal>
            <c:numLit>
              <c:formatCode>General</c:formatCode>
              <c:ptCount val="2"/>
              <c:pt idx="0">
                <c:v>-3.7127064547319453</c:v>
              </c:pt>
              <c:pt idx="1">
                <c:v>-3.4711301637575316</c:v>
              </c:pt>
            </c:numLit>
          </c:xVal>
          <c:yVal>
            <c:numLit>
              <c:formatCode>General</c:formatCode>
              <c:ptCount val="2"/>
              <c:pt idx="0">
                <c:v>1.4751357649160357E-2</c:v>
              </c:pt>
              <c:pt idx="1">
                <c:v>1.4882929003442607E-2</c:v>
              </c:pt>
            </c:numLit>
          </c:yVal>
          <c:smooth val="0"/>
          <c:extLst>
            <c:ext xmlns:c16="http://schemas.microsoft.com/office/drawing/2014/chart" uri="{C3380CC4-5D6E-409C-BE32-E72D297353CC}">
              <c16:uniqueId val="{00000075-E593-47C0-BD80-CBE25F05A847}"/>
            </c:ext>
          </c:extLst>
        </c:ser>
        <c:ser>
          <c:idx val="110"/>
          <c:order val="110"/>
          <c:spPr>
            <a:ln w="3175">
              <a:solidFill>
                <a:srgbClr val="000000"/>
              </a:solidFill>
              <a:prstDash val="solid"/>
            </a:ln>
          </c:spPr>
          <c:marker>
            <c:symbol val="none"/>
          </c:marker>
          <c:xVal>
            <c:numLit>
              <c:formatCode>General</c:formatCode>
              <c:ptCount val="2"/>
              <c:pt idx="0">
                <c:v>-3.5448072067633123</c:v>
              </c:pt>
              <c:pt idx="1">
                <c:v>-3.3067971968373073</c:v>
              </c:pt>
            </c:numLit>
          </c:xVal>
          <c:yVal>
            <c:numLit>
              <c:formatCode>General</c:formatCode>
              <c:ptCount val="2"/>
              <c:pt idx="0">
                <c:v>1.458775341278396E-2</c:v>
              </c:pt>
              <c:pt idx="1">
                <c:v>1.4722833866947267E-2</c:v>
              </c:pt>
            </c:numLit>
          </c:yVal>
          <c:smooth val="0"/>
          <c:extLst>
            <c:ext xmlns:c16="http://schemas.microsoft.com/office/drawing/2014/chart" uri="{C3380CC4-5D6E-409C-BE32-E72D297353CC}">
              <c16:uniqueId val="{00000076-E593-47C0-BD80-CBE25F05A847}"/>
            </c:ext>
          </c:extLst>
        </c:ser>
        <c:ser>
          <c:idx val="111"/>
          <c:order val="111"/>
          <c:spPr>
            <a:ln w="3175">
              <a:solidFill>
                <a:srgbClr val="000000"/>
              </a:solidFill>
              <a:prstDash val="solid"/>
            </a:ln>
          </c:spPr>
          <c:marker>
            <c:symbol val="none"/>
          </c:marker>
          <c:xVal>
            <c:numLit>
              <c:formatCode>General</c:formatCode>
              <c:ptCount val="2"/>
              <c:pt idx="0">
                <c:v>-3.3694277214410562</c:v>
              </c:pt>
              <c:pt idx="1">
                <c:v>-2.9009011365821324</c:v>
              </c:pt>
            </c:numLit>
          </c:xVal>
          <c:yVal>
            <c:numLit>
              <c:formatCode>General</c:formatCode>
              <c:ptCount val="2"/>
              <c:pt idx="0">
                <c:v>1.4423780708309812E-2</c:v>
              </c:pt>
              <c:pt idx="1">
                <c:v>1.4701015343783125E-2</c:v>
              </c:pt>
            </c:numLit>
          </c:yVal>
          <c:smooth val="0"/>
          <c:extLst>
            <c:ext xmlns:c16="http://schemas.microsoft.com/office/drawing/2014/chart" uri="{C3380CC4-5D6E-409C-BE32-E72D297353CC}">
              <c16:uniqueId val="{00000077-E593-47C0-BD80-CBE25F05A847}"/>
            </c:ext>
          </c:extLst>
        </c:ser>
        <c:ser>
          <c:idx val="112"/>
          <c:order val="112"/>
          <c:spPr>
            <a:ln w="3175">
              <a:solidFill>
                <a:srgbClr val="000000"/>
              </a:solidFill>
              <a:prstDash val="solid"/>
            </a:ln>
          </c:spPr>
          <c:marker>
            <c:symbol val="none"/>
          </c:marker>
          <c:xVal>
            <c:numLit>
              <c:formatCode>General</c:formatCode>
              <c:ptCount val="2"/>
              <c:pt idx="0">
                <c:v>-3.1864686451132647</c:v>
              </c:pt>
              <c:pt idx="1">
                <c:v>-2.9560765734004115</c:v>
              </c:pt>
            </c:numLit>
          </c:xVal>
          <c:yVal>
            <c:numLit>
              <c:formatCode>General</c:formatCode>
              <c:ptCount val="2"/>
              <c:pt idx="0">
                <c:v>1.4259702231886499E-2</c:v>
              </c:pt>
              <c:pt idx="1">
                <c:v>1.4401824969069376E-2</c:v>
              </c:pt>
            </c:numLit>
          </c:yVal>
          <c:smooth val="0"/>
          <c:extLst>
            <c:ext xmlns:c16="http://schemas.microsoft.com/office/drawing/2014/chart" uri="{C3380CC4-5D6E-409C-BE32-E72D297353CC}">
              <c16:uniqueId val="{00000078-E593-47C0-BD80-CBE25F05A847}"/>
            </c:ext>
          </c:extLst>
        </c:ser>
        <c:ser>
          <c:idx val="113"/>
          <c:order val="113"/>
          <c:spPr>
            <a:ln w="3175">
              <a:solidFill>
                <a:srgbClr val="000000"/>
              </a:solidFill>
              <a:prstDash val="solid"/>
            </a:ln>
          </c:spPr>
          <c:marker>
            <c:symbol val="none"/>
          </c:marker>
          <c:xVal>
            <c:numLit>
              <c:formatCode>General</c:formatCode>
              <c:ptCount val="2"/>
              <c:pt idx="0">
                <c:v>-2.995855779328612</c:v>
              </c:pt>
              <c:pt idx="1">
                <c:v>-2.7695195454399149</c:v>
              </c:pt>
            </c:numLit>
          </c:xVal>
          <c:yVal>
            <c:numLit>
              <c:formatCode>General</c:formatCode>
              <c:ptCount val="2"/>
              <c:pt idx="0">
                <c:v>1.4095796151733538E-2</c:v>
              </c:pt>
              <c:pt idx="1">
                <c:v>1.4241440571197172E-2</c:v>
              </c:pt>
            </c:numLit>
          </c:yVal>
          <c:smooth val="0"/>
          <c:extLst>
            <c:ext xmlns:c16="http://schemas.microsoft.com/office/drawing/2014/chart" uri="{C3380CC4-5D6E-409C-BE32-E72D297353CC}">
              <c16:uniqueId val="{00000079-E593-47C0-BD80-CBE25F05A847}"/>
            </c:ext>
          </c:extLst>
        </c:ser>
        <c:ser>
          <c:idx val="114"/>
          <c:order val="114"/>
          <c:spPr>
            <a:ln w="3175">
              <a:solidFill>
                <a:srgbClr val="000000"/>
              </a:solidFill>
              <a:prstDash val="solid"/>
            </a:ln>
          </c:spPr>
          <c:marker>
            <c:symbol val="none"/>
          </c:marker>
          <c:xVal>
            <c:numLit>
              <c:formatCode>General</c:formatCode>
              <c:ptCount val="2"/>
              <c:pt idx="0">
                <c:v>-2.797542702336508</c:v>
              </c:pt>
              <c:pt idx="1">
                <c:v>-2.5754287346047877</c:v>
              </c:pt>
            </c:numLit>
          </c:xVal>
          <c:yVal>
            <c:numLit>
              <c:formatCode>General</c:formatCode>
              <c:ptCount val="2"/>
              <c:pt idx="0">
                <c:v>1.3932355067550029E-2</c:v>
              </c:pt>
              <c:pt idx="1">
                <c:v>1.4081513307464042E-2</c:v>
              </c:pt>
            </c:numLit>
          </c:yVal>
          <c:smooth val="0"/>
          <c:extLst>
            <c:ext xmlns:c16="http://schemas.microsoft.com/office/drawing/2014/chart" uri="{C3380CC4-5D6E-409C-BE32-E72D297353CC}">
              <c16:uniqueId val="{0000007A-E593-47C0-BD80-CBE25F05A847}"/>
            </c:ext>
          </c:extLst>
        </c:ser>
        <c:ser>
          <c:idx val="115"/>
          <c:order val="115"/>
          <c:spPr>
            <a:ln w="3175">
              <a:solidFill>
                <a:srgbClr val="000000"/>
              </a:solidFill>
              <a:prstDash val="solid"/>
            </a:ln>
          </c:spPr>
          <c:marker>
            <c:symbol val="none"/>
          </c:marker>
          <c:xVal>
            <c:numLit>
              <c:formatCode>General</c:formatCode>
              <c:ptCount val="2"/>
              <c:pt idx="0">
                <c:v>-2.5915132931495299</c:v>
              </c:pt>
              <c:pt idx="1">
                <c:v>-2.3737886177428424</c:v>
              </c:pt>
            </c:numLit>
          </c:xVal>
          <c:yVal>
            <c:numLit>
              <c:formatCode>General</c:formatCode>
              <c:ptCount val="2"/>
              <c:pt idx="0">
                <c:v>1.3769684691476037E-2</c:v>
              </c:pt>
              <c:pt idx="1">
                <c:v>1.3922342343814391E-2</c:v>
              </c:pt>
            </c:numLit>
          </c:yVal>
          <c:smooth val="0"/>
          <c:extLst>
            <c:ext xmlns:c16="http://schemas.microsoft.com/office/drawing/2014/chart" uri="{C3380CC4-5D6E-409C-BE32-E72D297353CC}">
              <c16:uniqueId val="{0000007B-E593-47C0-BD80-CBE25F05A847}"/>
            </c:ext>
          </c:extLst>
        </c:ser>
        <c:ser>
          <c:idx val="116"/>
          <c:order val="116"/>
          <c:spPr>
            <a:ln w="3175">
              <a:solidFill>
                <a:srgbClr val="000000"/>
              </a:solidFill>
              <a:prstDash val="solid"/>
            </a:ln>
          </c:spPr>
          <c:marker>
            <c:symbol val="none"/>
          </c:marker>
          <c:xVal>
            <c:numLit>
              <c:formatCode>General</c:formatCode>
              <c:ptCount val="2"/>
              <c:pt idx="0">
                <c:v>-2.3777841004811022</c:v>
              </c:pt>
              <c:pt idx="1">
                <c:v>-1.9514919878507884</c:v>
              </c:pt>
            </c:numLit>
          </c:xVal>
          <c:yVal>
            <c:numLit>
              <c:formatCode>General</c:formatCode>
              <c:ptCount val="2"/>
              <c:pt idx="0">
                <c:v>1.3608102245343555E-2</c:v>
              </c:pt>
              <c:pt idx="1">
                <c:v>1.3920407227151928E-2</c:v>
              </c:pt>
            </c:numLit>
          </c:yVal>
          <c:smooth val="0"/>
          <c:extLst>
            <c:ext xmlns:c16="http://schemas.microsoft.com/office/drawing/2014/chart" uri="{C3380CC4-5D6E-409C-BE32-E72D297353CC}">
              <c16:uniqueId val="{0000007C-E593-47C0-BD80-CBE25F05A847}"/>
            </c:ext>
          </c:extLst>
        </c:ser>
        <c:ser>
          <c:idx val="117"/>
          <c:order val="117"/>
          <c:spPr>
            <a:ln w="3175">
              <a:solidFill>
                <a:srgbClr val="000000"/>
              </a:solidFill>
              <a:prstDash val="solid"/>
            </a:ln>
          </c:spPr>
          <c:marker>
            <c:symbol val="none"/>
          </c:marker>
          <c:xVal>
            <c:numLit>
              <c:formatCode>General</c:formatCode>
              <c:ptCount val="2"/>
              <c:pt idx="0">
                <c:v>-2.156406495623691</c:v>
              </c:pt>
              <c:pt idx="1">
                <c:v>-1.9479603446816371</c:v>
              </c:pt>
            </c:numLit>
          </c:xVal>
          <c:yVal>
            <c:numLit>
              <c:formatCode>General</c:formatCode>
              <c:ptCount val="2"/>
              <c:pt idx="0">
                <c:v>1.3447934575631624E-2</c:v>
              </c:pt>
              <c:pt idx="1">
                <c:v>1.3607520356295923E-2</c:v>
              </c:pt>
            </c:numLit>
          </c:yVal>
          <c:smooth val="0"/>
          <c:extLst>
            <c:ext xmlns:c16="http://schemas.microsoft.com/office/drawing/2014/chart" uri="{C3380CC4-5D6E-409C-BE32-E72D297353CC}">
              <c16:uniqueId val="{0000007D-E593-47C0-BD80-CBE25F05A847}"/>
            </c:ext>
          </c:extLst>
        </c:ser>
        <c:ser>
          <c:idx val="118"/>
          <c:order val="118"/>
          <c:spPr>
            <a:ln w="3175">
              <a:solidFill>
                <a:srgbClr val="000000"/>
              </a:solidFill>
              <a:prstDash val="solid"/>
            </a:ln>
          </c:spPr>
          <c:marker>
            <c:symbol val="none"/>
          </c:marker>
          <c:xVal>
            <c:numLit>
              <c:formatCode>General</c:formatCode>
              <c:ptCount val="2"/>
              <c:pt idx="0">
                <c:v>-1.9274685467120087</c:v>
              </c:pt>
              <c:pt idx="1">
                <c:v>-1.723909151193072</c:v>
              </c:pt>
            </c:numLit>
          </c:xVal>
          <c:yVal>
            <c:numLit>
              <c:formatCode>General</c:formatCode>
              <c:ptCount val="2"/>
              <c:pt idx="0">
                <c:v>1.3289515995076896E-2</c:v>
              </c:pt>
              <c:pt idx="1">
                <c:v>1.3452516235149875E-2</c:v>
              </c:pt>
            </c:numLit>
          </c:yVal>
          <c:smooth val="0"/>
          <c:extLst>
            <c:ext xmlns:c16="http://schemas.microsoft.com/office/drawing/2014/chart" uri="{C3380CC4-5D6E-409C-BE32-E72D297353CC}">
              <c16:uniqueId val="{0000007E-E593-47C0-BD80-CBE25F05A847}"/>
            </c:ext>
          </c:extLst>
        </c:ser>
        <c:ser>
          <c:idx val="119"/>
          <c:order val="119"/>
          <c:spPr>
            <a:ln w="3175">
              <a:solidFill>
                <a:srgbClr val="000000"/>
              </a:solidFill>
              <a:prstDash val="solid"/>
            </a:ln>
          </c:spPr>
          <c:marker>
            <c:symbol val="none"/>
          </c:marker>
          <c:xVal>
            <c:numLit>
              <c:formatCode>General</c:formatCode>
              <c:ptCount val="2"/>
              <c:pt idx="0">
                <c:v>-1.6910965521384105</c:v>
              </c:pt>
              <c:pt idx="1">
                <c:v>-1.4925859044313796</c:v>
              </c:pt>
            </c:numLit>
          </c:xVal>
          <c:yVal>
            <c:numLit>
              <c:formatCode>General</c:formatCode>
              <c:ptCount val="2"/>
              <c:pt idx="0">
                <c:v>1.313318586808335E-2</c:v>
              </c:pt>
              <c:pt idx="1">
                <c:v>1.3299557742944548E-2</c:v>
              </c:pt>
            </c:numLit>
          </c:yVal>
          <c:smooth val="0"/>
          <c:extLst>
            <c:ext xmlns:c16="http://schemas.microsoft.com/office/drawing/2014/chart" uri="{C3380CC4-5D6E-409C-BE32-E72D297353CC}">
              <c16:uniqueId val="{0000007F-E593-47C0-BD80-CBE25F05A847}"/>
            </c:ext>
          </c:extLst>
        </c:ser>
        <c:ser>
          <c:idx val="120"/>
          <c:order val="120"/>
          <c:spPr>
            <a:ln w="3175">
              <a:solidFill>
                <a:srgbClr val="000000"/>
              </a:solidFill>
              <a:prstDash val="solid"/>
            </a:ln>
          </c:spPr>
          <c:marker>
            <c:symbol val="none"/>
          </c:marker>
          <c:xVal>
            <c:numLit>
              <c:formatCode>General</c:formatCode>
              <c:ptCount val="2"/>
              <c:pt idx="0">
                <c:v>-1.4474561734172946</c:v>
              </c:pt>
              <c:pt idx="1">
                <c:v>-1.2541529530699185</c:v>
              </c:pt>
            </c:numLit>
          </c:xVal>
          <c:yVal>
            <c:numLit>
              <c:formatCode>General</c:formatCode>
              <c:ptCount val="2"/>
              <c:pt idx="0">
                <c:v>1.2979285965653065E-2</c:v>
              </c:pt>
              <c:pt idx="1">
                <c:v>1.3148979228746737E-2</c:v>
              </c:pt>
            </c:numLit>
          </c:yVal>
          <c:smooth val="0"/>
          <c:extLst>
            <c:ext xmlns:c16="http://schemas.microsoft.com/office/drawing/2014/chart" uri="{C3380CC4-5D6E-409C-BE32-E72D297353CC}">
              <c16:uniqueId val="{00000080-E593-47C0-BD80-CBE25F05A847}"/>
            </c:ext>
          </c:extLst>
        </c:ser>
        <c:ser>
          <c:idx val="121"/>
          <c:order val="121"/>
          <c:spPr>
            <a:ln w="3175">
              <a:solidFill>
                <a:srgbClr val="000000"/>
              </a:solidFill>
              <a:prstDash val="solid"/>
            </a:ln>
          </c:spPr>
          <c:marker>
            <c:symbol val="none"/>
          </c:marker>
          <c:xVal>
            <c:numLit>
              <c:formatCode>General</c:formatCode>
              <c:ptCount val="2"/>
              <c:pt idx="0">
                <c:v>-1.1967531127124049</c:v>
              </c:pt>
              <c:pt idx="1">
                <c:v>-0.82091889735930601</c:v>
              </c:pt>
            </c:numLit>
          </c:xVal>
          <c:yVal>
            <c:numLit>
              <c:formatCode>General</c:formatCode>
              <c:ptCount val="2"/>
              <c:pt idx="0">
                <c:v>1.2828157624189995E-2</c:v>
              </c:pt>
              <c:pt idx="1">
                <c:v>1.3174100182621095E-2</c:v>
              </c:pt>
            </c:numLit>
          </c:yVal>
          <c:smooth val="0"/>
          <c:extLst>
            <c:ext xmlns:c16="http://schemas.microsoft.com/office/drawing/2014/chart" uri="{C3380CC4-5D6E-409C-BE32-E72D297353CC}">
              <c16:uniqueId val="{00000081-E593-47C0-BD80-CBE25F05A847}"/>
            </c:ext>
          </c:extLst>
        </c:ser>
        <c:ser>
          <c:idx val="122"/>
          <c:order val="122"/>
          <c:spPr>
            <a:ln w="3175">
              <a:solidFill>
                <a:srgbClr val="000000"/>
              </a:solidFill>
              <a:prstDash val="solid"/>
            </a:ln>
          </c:spPr>
          <c:marker>
            <c:symbol val="none"/>
          </c:marker>
          <c:xVal>
            <c:numLit>
              <c:formatCode>General</c:formatCode>
              <c:ptCount val="56"/>
              <c:pt idx="0">
                <c:v>-6.4780000000000006</c:v>
              </c:pt>
              <c:pt idx="1">
                <c:v>-6.4771548667567451</c:v>
              </c:pt>
              <c:pt idx="2">
                <c:v>-6.4744781546020507</c:v>
              </c:pt>
              <c:pt idx="3">
                <c:v>-6.4697392601020702</c:v>
              </c:pt>
              <c:pt idx="4">
                <c:v>-6.4626803906648105</c:v>
              </c:pt>
              <c:pt idx="5">
                <c:v>-6.4530133649286947</c:v>
              </c:pt>
              <c:pt idx="6">
                <c:v>-6.4404160659918741</c:v>
              </c:pt>
              <c:pt idx="7">
                <c:v>-6.4245285241259857</c:v>
              </c:pt>
              <c:pt idx="8">
                <c:v>-6.4049486097896127</c:v>
              </c:pt>
              <c:pt idx="9">
                <c:v>-6.3812273246822127</c:v>
              </c:pt>
              <c:pt idx="10">
                <c:v>-6.3528636892133203</c:v>
              </c:pt>
              <c:pt idx="11">
                <c:v>-6.3192992403036552</c:v>
              </c:pt>
              <c:pt idx="12">
                <c:v>-6.2799121753649985</c:v>
              </c:pt>
              <c:pt idx="13">
                <c:v>-6.2340112084088908</c:v>
              </c:pt>
              <c:pt idx="14">
                <c:v>-6.1808292446003525</c:v>
              </c:pt>
              <c:pt idx="15">
                <c:v>-6.1195170325550308</c:v>
              </c:pt>
              <c:pt idx="16">
                <c:v>-6.085522707107951</c:v>
              </c:pt>
              <c:pt idx="17">
                <c:v>-6.0491370217777725</c:v>
              </c:pt>
              <c:pt idx="18">
                <c:v>-6.0102280619194612</c:v>
              </c:pt>
              <c:pt idx="19">
                <c:v>-5.9686577382838752</c:v>
              </c:pt>
              <c:pt idx="20">
                <c:v>-5.9242816702136096</c:v>
              </c:pt>
              <c:pt idx="21">
                <c:v>-5.8769490965930213</c:v>
              </c:pt>
              <c:pt idx="22">
                <c:v>-5.8265028202105924</c:v>
              </c:pt>
              <c:pt idx="23">
                <c:v>-5.7727791918245215</c:v>
              </c:pt>
              <c:pt idx="24">
                <c:v>-5.7156081408752861</c:v>
              </c:pt>
              <c:pt idx="25">
                <c:v>-5.6548132604507</c:v>
              </c:pt>
              <c:pt idx="26">
                <c:v>-5.5902119547643538</c:v>
              </c:pt>
              <c:pt idx="27">
                <c:v>-5.5216156580385984</c:v>
              </c:pt>
              <c:pt idx="28">
                <c:v>-5.4488301342643446</c:v>
              </c:pt>
              <c:pt idx="29">
                <c:v>-5.3716558678134341</c:v>
              </c:pt>
              <c:pt idx="30">
                <c:v>-5.2898885552707755</c:v>
              </c:pt>
              <c:pt idx="31">
                <c:v>-5.2033197090931331</c:v>
              </c:pt>
              <c:pt idx="32">
                <c:v>-5.1117373837437654</c:v>
              </c:pt>
              <c:pt idx="33">
                <c:v>-5.0149270347463339</c:v>
              </c:pt>
              <c:pt idx="34">
                <c:v>-4.9126725205921735</c:v>
              </c:pt>
              <c:pt idx="35">
                <c:v>-4.8047572565634464</c:v>
              </c:pt>
              <c:pt idx="36">
                <c:v>-4.6909655282406417</c:v>
              </c:pt>
              <c:pt idx="37">
                <c:v>-4.5710839706874209</c:v>
              </c:pt>
              <c:pt idx="38">
                <c:v>-4.4449032169939464</c:v>
              </c:pt>
              <c:pt idx="39">
                <c:v>-4.312219716966025</c:v>
              </c:pt>
              <c:pt idx="40">
                <c:v>-4.1728377232389242</c:v>
              </c:pt>
              <c:pt idx="41">
                <c:v>-4.026571437958375</c:v>
              </c:pt>
              <c:pt idx="42">
                <c:v>-3.8732473084196117</c:v>
              </c:pt>
              <c:pt idx="43">
                <c:v>-3.7127064547319453</c:v>
              </c:pt>
              <c:pt idx="44">
                <c:v>-3.5448072067633123</c:v>
              </c:pt>
              <c:pt idx="45">
                <c:v>-3.3694277214410562</c:v>
              </c:pt>
              <c:pt idx="46">
                <c:v>-3.1864686451132647</c:v>
              </c:pt>
              <c:pt idx="47">
                <c:v>-2.995855779328612</c:v>
              </c:pt>
              <c:pt idx="48">
                <c:v>-2.797542702336508</c:v>
              </c:pt>
              <c:pt idx="49">
                <c:v>-2.5915132931495299</c:v>
              </c:pt>
              <c:pt idx="50">
                <c:v>-2.3777841004811022</c:v>
              </c:pt>
              <c:pt idx="51">
                <c:v>-2.156406495623691</c:v>
              </c:pt>
              <c:pt idx="52">
                <c:v>-1.9274685467120087</c:v>
              </c:pt>
              <c:pt idx="53">
                <c:v>-1.6910965521384105</c:v>
              </c:pt>
              <c:pt idx="54">
                <c:v>-1.4474561734172946</c:v>
              </c:pt>
              <c:pt idx="55">
                <c:v>-1.1967531127124049</c:v>
              </c:pt>
            </c:numLit>
          </c:xVal>
          <c:yVal>
            <c:numLit>
              <c:formatCode>General</c:formatCode>
              <c:ptCount val="56"/>
              <c:pt idx="0">
                <c:v>2.0930000000000001E-2</c:v>
              </c:pt>
              <c:pt idx="1">
                <c:v>2.0816221982499338E-2</c:v>
              </c:pt>
              <c:pt idx="2">
                <c:v>2.0697747630638599E-2</c:v>
              </c:pt>
              <c:pt idx="3">
                <c:v>2.0574329599127333E-2</c:v>
              </c:pt>
              <c:pt idx="4">
                <c:v>2.0445707961793541E-2</c:v>
              </c:pt>
              <c:pt idx="5">
                <c:v>2.0311610158401223E-2</c:v>
              </c:pt>
              <c:pt idx="6">
                <c:v>2.0171751126828213E-2</c:v>
              </c:pt>
              <c:pt idx="7">
                <c:v>2.0025833674800028E-2</c:v>
              </c:pt>
              <c:pt idx="8">
                <c:v>1.9873549157153957E-2</c:v>
              </c:pt>
              <c:pt idx="9">
                <c:v>1.9714578538365699E-2</c:v>
              </c:pt>
              <c:pt idx="10">
                <c:v>1.9548593935935225E-2</c:v>
              </c:pt>
              <c:pt idx="11">
                <c:v>1.9375260758225134E-2</c:v>
              </c:pt>
              <c:pt idx="12">
                <c:v>1.9194240570334139E-2</c:v>
              </c:pt>
              <c:pt idx="13">
                <c:v>1.900519484317249E-2</c:v>
              </c:pt>
              <c:pt idx="14">
                <c:v>1.8807789763299193E-2</c:v>
              </c:pt>
              <c:pt idx="15">
                <c:v>1.86017023029456E-2</c:v>
              </c:pt>
              <c:pt idx="16">
                <c:v>1.8495306506800622E-2</c:v>
              </c:pt>
              <c:pt idx="17">
                <c:v>1.8386627768883546E-2</c:v>
              </c:pt>
              <c:pt idx="18">
                <c:v>1.8275632385817388E-2</c:v>
              </c:pt>
              <c:pt idx="19">
                <c:v>1.8162289062279902E-2</c:v>
              </c:pt>
              <c:pt idx="20">
                <c:v>1.8046569310441331E-2</c:v>
              </c:pt>
              <c:pt idx="21">
                <c:v>1.7928447884993152E-2</c:v>
              </c:pt>
              <c:pt idx="22">
                <c:v>1.780790325517077E-2</c:v>
              </c:pt>
              <c:pt idx="23">
                <c:v>1.7684918114909066E-2</c:v>
              </c:pt>
              <c:pt idx="24">
                <c:v>1.7559479931924228E-2</c:v>
              </c:pt>
              <c:pt idx="25">
                <c:v>1.7431581536076757E-2</c:v>
              </c:pt>
              <c:pt idx="26">
                <c:v>1.730122174682644E-2</c:v>
              </c:pt>
              <c:pt idx="27">
                <c:v>1.7168406038928632E-2</c:v>
              </c:pt>
              <c:pt idx="28">
                <c:v>1.7033147244730054E-2</c:v>
              </c:pt>
              <c:pt idx="29">
                <c:v>1.6895466290491552E-2</c:v>
              </c:pt>
              <c:pt idx="30">
                <c:v>1.6755392963085362E-2</c:v>
              </c:pt>
              <c:pt idx="31">
                <c:v>1.6612966702180775E-2</c:v>
              </c:pt>
              <c:pt idx="32">
                <c:v>1.6468237411641461E-2</c:v>
              </c:pt>
              <c:pt idx="33">
                <c:v>1.6321266282315831E-2</c:v>
              </c:pt>
              <c:pt idx="34">
                <c:v>1.6172126616717374E-2</c:v>
              </c:pt>
              <c:pt idx="35">
                <c:v>1.602090464428578E-2</c:v>
              </c:pt>
              <c:pt idx="36">
                <c:v>1.5867700314020336E-2</c:v>
              </c:pt>
              <c:pt idx="37">
                <c:v>1.5712628049326046E-2</c:v>
              </c:pt>
              <c:pt idx="38">
                <c:v>1.5555817447964507E-2</c:v>
              </c:pt>
              <c:pt idx="39">
                <c:v>1.5397413908124226E-2</c:v>
              </c:pt>
              <c:pt idx="40">
                <c:v>1.5237579159901987E-2</c:v>
              </c:pt>
              <c:pt idx="41">
                <c:v>1.5076491680015076E-2</c:v>
              </c:pt>
              <c:pt idx="42">
                <c:v>1.4914346966454389E-2</c:v>
              </c:pt>
              <c:pt idx="43">
                <c:v>1.4751357649160357E-2</c:v>
              </c:pt>
              <c:pt idx="44">
                <c:v>1.458775341278396E-2</c:v>
              </c:pt>
              <c:pt idx="45">
                <c:v>1.4423780708309812E-2</c:v>
              </c:pt>
              <c:pt idx="46">
                <c:v>1.4259702231886499E-2</c:v>
              </c:pt>
              <c:pt idx="47">
                <c:v>1.4095796151733538E-2</c:v>
              </c:pt>
              <c:pt idx="48">
                <c:v>1.3932355067550029E-2</c:v>
              </c:pt>
              <c:pt idx="49">
                <c:v>1.3769684691476037E-2</c:v>
              </c:pt>
              <c:pt idx="50">
                <c:v>1.3608102245343555E-2</c:v>
              </c:pt>
              <c:pt idx="51">
                <c:v>1.3447934575631624E-2</c:v>
              </c:pt>
              <c:pt idx="52">
                <c:v>1.3289515995076896E-2</c:v>
              </c:pt>
              <c:pt idx="53">
                <c:v>1.313318586808335E-2</c:v>
              </c:pt>
              <c:pt idx="54">
                <c:v>1.2979285965653065E-2</c:v>
              </c:pt>
              <c:pt idx="55">
                <c:v>1.2828157624189995E-2</c:v>
              </c:pt>
            </c:numLit>
          </c:yVal>
          <c:smooth val="1"/>
          <c:extLst>
            <c:ext xmlns:c16="http://schemas.microsoft.com/office/drawing/2014/chart" uri="{C3380CC4-5D6E-409C-BE32-E72D297353CC}">
              <c16:uniqueId val="{00000082-E593-47C0-BD80-CBE25F05A847}"/>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C14A-4FA0-9D89-6310253ECE5D}"/>
            </c:ext>
          </c:extLst>
        </c:ser>
        <c:ser>
          <c:idx val="1"/>
          <c:order val="1"/>
          <c:spPr>
            <a:ln w="3175">
              <a:solidFill>
                <a:srgbClr val="000000"/>
              </a:solidFill>
              <a:prstDash val="solid"/>
            </a:ln>
          </c:spPr>
          <c:marker>
            <c:symbol val="none"/>
          </c:marker>
          <c:xVal>
            <c:numLit>
              <c:formatCode>General</c:formatCode>
              <c:ptCount val="2"/>
              <c:pt idx="0">
                <c:v>19.065942353411515</c:v>
              </c:pt>
              <c:pt idx="1">
                <c:v>18.66787537570767</c:v>
              </c:pt>
            </c:numLit>
          </c:xVal>
          <c:yVal>
            <c:numLit>
              <c:formatCode>General</c:formatCode>
              <c:ptCount val="2"/>
              <c:pt idx="0">
                <c:v>3.0559524052679921E-2</c:v>
              </c:pt>
              <c:pt idx="1">
                <c:v>3.0227471499139232E-2</c:v>
              </c:pt>
            </c:numLit>
          </c:yVal>
          <c:smooth val="0"/>
          <c:extLst>
            <c:ext xmlns:c16="http://schemas.microsoft.com/office/drawing/2014/chart" uri="{C3380CC4-5D6E-409C-BE32-E72D297353CC}">
              <c16:uniqueId val="{00000001-C14A-4FA0-9D89-6310253ECE5D}"/>
            </c:ext>
          </c:extLst>
        </c:ser>
        <c:ser>
          <c:idx val="2"/>
          <c:order val="2"/>
          <c:spPr>
            <a:ln w="3175">
              <a:solidFill>
                <a:srgbClr val="000000"/>
              </a:solidFill>
              <a:prstDash val="solid"/>
            </a:ln>
          </c:spPr>
          <c:marker>
            <c:symbol val="none"/>
          </c:marker>
          <c:xVal>
            <c:numLit>
              <c:formatCode>General</c:formatCode>
              <c:ptCount val="2"/>
              <c:pt idx="0">
                <c:v>18.790543749866966</c:v>
              </c:pt>
              <c:pt idx="1">
                <c:v>18.596258512800294</c:v>
              </c:pt>
            </c:numLit>
          </c:xVal>
          <c:yVal>
            <c:numLit>
              <c:formatCode>General</c:formatCode>
              <c:ptCount val="2"/>
              <c:pt idx="0">
                <c:v>3.0736362467444784E-2</c:v>
              </c:pt>
              <c:pt idx="1">
                <c:v>3.0567287252488837E-2</c:v>
              </c:pt>
            </c:numLit>
          </c:yVal>
          <c:smooth val="0"/>
          <c:extLst>
            <c:ext xmlns:c16="http://schemas.microsoft.com/office/drawing/2014/chart" uri="{C3380CC4-5D6E-409C-BE32-E72D297353CC}">
              <c16:uniqueId val="{00000002-C14A-4FA0-9D89-6310253ECE5D}"/>
            </c:ext>
          </c:extLst>
        </c:ser>
        <c:ser>
          <c:idx val="3"/>
          <c:order val="3"/>
          <c:spPr>
            <a:ln w="3175">
              <a:solidFill>
                <a:srgbClr val="000000"/>
              </a:solidFill>
              <a:prstDash val="solid"/>
            </a:ln>
          </c:spPr>
          <c:marker>
            <c:symbol val="none"/>
          </c:marker>
          <c:xVal>
            <c:numLit>
              <c:formatCode>General</c:formatCode>
              <c:ptCount val="2"/>
              <c:pt idx="0">
                <c:v>18.499745455246352</c:v>
              </c:pt>
              <c:pt idx="1">
                <c:v>18.121202508513718</c:v>
              </c:pt>
            </c:numLit>
          </c:xVal>
          <c:yVal>
            <c:numLit>
              <c:formatCode>General</c:formatCode>
              <c:ptCount val="2"/>
              <c:pt idx="0">
                <c:v>3.0915182575025162E-2</c:v>
              </c:pt>
              <c:pt idx="1">
                <c:v>3.0570865934507054E-2</c:v>
              </c:pt>
            </c:numLit>
          </c:yVal>
          <c:smooth val="0"/>
          <c:extLst>
            <c:ext xmlns:c16="http://schemas.microsoft.com/office/drawing/2014/chart" uri="{C3380CC4-5D6E-409C-BE32-E72D297353CC}">
              <c16:uniqueId val="{00000003-C14A-4FA0-9D89-6310253ECE5D}"/>
            </c:ext>
          </c:extLst>
        </c:ser>
        <c:ser>
          <c:idx val="4"/>
          <c:order val="4"/>
          <c:spPr>
            <a:ln w="3175">
              <a:solidFill>
                <a:srgbClr val="000000"/>
              </a:solidFill>
              <a:prstDash val="solid"/>
            </a:ln>
          </c:spPr>
          <c:marker>
            <c:symbol val="none"/>
          </c:marker>
          <c:xVal>
            <c:numLit>
              <c:formatCode>General</c:formatCode>
              <c:ptCount val="2"/>
              <c:pt idx="0">
                <c:v>18.192821137276322</c:v>
              </c:pt>
              <c:pt idx="1">
                <c:v>18.008841462495695</c:v>
              </c:pt>
            </c:numLit>
          </c:xVal>
          <c:yVal>
            <c:numLit>
              <c:formatCode>General</c:formatCode>
              <c:ptCount val="2"/>
              <c:pt idx="0">
                <c:v>3.1095573924337105E-2</c:v>
              </c:pt>
              <c:pt idx="1">
                <c:v>3.092030540840026E-2</c:v>
              </c:pt>
            </c:numLit>
          </c:yVal>
          <c:smooth val="0"/>
          <c:extLst>
            <c:ext xmlns:c16="http://schemas.microsoft.com/office/drawing/2014/chart" uri="{C3380CC4-5D6E-409C-BE32-E72D297353CC}">
              <c16:uniqueId val="{00000004-C14A-4FA0-9D89-6310253ECE5D}"/>
            </c:ext>
          </c:extLst>
        </c:ser>
        <c:ser>
          <c:idx val="5"/>
          <c:order val="5"/>
          <c:spPr>
            <a:ln w="3175">
              <a:solidFill>
                <a:srgbClr val="000000"/>
              </a:solidFill>
              <a:prstDash val="solid"/>
            </a:ln>
          </c:spPr>
          <c:marker>
            <c:symbol val="none"/>
          </c:marker>
          <c:xVal>
            <c:numLit>
              <c:formatCode>General</c:formatCode>
              <c:ptCount val="2"/>
              <c:pt idx="0">
                <c:v>17.869058802111013</c:v>
              </c:pt>
              <c:pt idx="1">
                <c:v>17.512263671003737</c:v>
              </c:pt>
            </c:numLit>
          </c:xVal>
          <c:yVal>
            <c:numLit>
              <c:formatCode>General</c:formatCode>
              <c:ptCount val="2"/>
              <c:pt idx="0">
                <c:v>3.1277058802111013E-2</c:v>
              </c:pt>
              <c:pt idx="1">
                <c:v>3.0920263671003735E-2</c:v>
              </c:pt>
            </c:numLit>
          </c:yVal>
          <c:smooth val="0"/>
          <c:extLst>
            <c:ext xmlns:c16="http://schemas.microsoft.com/office/drawing/2014/chart" uri="{C3380CC4-5D6E-409C-BE32-E72D297353CC}">
              <c16:uniqueId val="{00000005-C14A-4FA0-9D89-6310253ECE5D}"/>
            </c:ext>
          </c:extLst>
        </c:ser>
        <c:ser>
          <c:idx val="6"/>
          <c:order val="6"/>
          <c:spPr>
            <a:ln w="3175">
              <a:solidFill>
                <a:srgbClr val="000000"/>
              </a:solidFill>
              <a:prstDash val="solid"/>
            </a:ln>
          </c:spPr>
          <c:marker>
            <c:symbol val="none"/>
          </c:marker>
          <c:xVal>
            <c:numLit>
              <c:formatCode>General</c:formatCode>
              <c:ptCount val="2"/>
              <c:pt idx="0">
                <c:v>17.527772872567621</c:v>
              </c:pt>
              <c:pt idx="1">
                <c:v>17.355259547178523</c:v>
              </c:pt>
            </c:numLit>
          </c:xVal>
          <c:yVal>
            <c:numLit>
              <c:formatCode>General</c:formatCode>
              <c:ptCount val="2"/>
              <c:pt idx="0">
                <c:v>3.145908735335045E-2</c:v>
              </c:pt>
              <c:pt idx="1">
                <c:v>3.1277551364499577E-2</c:v>
              </c:pt>
            </c:numLit>
          </c:yVal>
          <c:smooth val="0"/>
          <c:extLst>
            <c:ext xmlns:c16="http://schemas.microsoft.com/office/drawing/2014/chart" uri="{C3380CC4-5D6E-409C-BE32-E72D297353CC}">
              <c16:uniqueId val="{00000006-C14A-4FA0-9D89-6310253ECE5D}"/>
            </c:ext>
          </c:extLst>
        </c:ser>
        <c:ser>
          <c:idx val="7"/>
          <c:order val="7"/>
          <c:spPr>
            <a:ln w="3175">
              <a:solidFill>
                <a:srgbClr val="000000"/>
              </a:solidFill>
              <a:prstDash val="solid"/>
            </a:ln>
          </c:spPr>
          <c:marker>
            <c:symbol val="none"/>
          </c:marker>
          <c:xVal>
            <c:numLit>
              <c:formatCode>General</c:formatCode>
              <c:ptCount val="2"/>
              <c:pt idx="0">
                <c:v>17.168318281619168</c:v>
              </c:pt>
              <c:pt idx="1">
                <c:v>16.83568661673575</c:v>
              </c:pt>
            </c:numLit>
          </c:xVal>
          <c:yVal>
            <c:numLit>
              <c:formatCode>General</c:formatCode>
              <c:ptCount val="2"/>
              <c:pt idx="0">
                <c:v>3.1641033323740492E-2</c:v>
              </c:pt>
              <c:pt idx="1">
                <c:v>3.1271687347059783E-2</c:v>
              </c:pt>
            </c:numLit>
          </c:yVal>
          <c:smooth val="0"/>
          <c:extLst>
            <c:ext xmlns:c16="http://schemas.microsoft.com/office/drawing/2014/chart" uri="{C3380CC4-5D6E-409C-BE32-E72D297353CC}">
              <c16:uniqueId val="{00000007-C14A-4FA0-9D89-6310253ECE5D}"/>
            </c:ext>
          </c:extLst>
        </c:ser>
        <c:ser>
          <c:idx val="8"/>
          <c:order val="8"/>
          <c:spPr>
            <a:ln w="3175">
              <a:solidFill>
                <a:srgbClr val="000000"/>
              </a:solidFill>
              <a:prstDash val="solid"/>
            </a:ln>
          </c:spPr>
          <c:marker>
            <c:symbol val="none"/>
          </c:marker>
          <c:xVal>
            <c:numLit>
              <c:formatCode>General</c:formatCode>
              <c:ptCount val="2"/>
              <c:pt idx="0">
                <c:v>16.790106626063352</c:v>
              </c:pt>
              <c:pt idx="1">
                <c:v>16.630311684234673</c:v>
              </c:pt>
            </c:numLit>
          </c:xVal>
          <c:yVal>
            <c:numLit>
              <c:formatCode>General</c:formatCode>
              <c:ptCount val="2"/>
              <c:pt idx="0">
                <c:v>3.1822190731097821E-2</c:v>
              </c:pt>
              <c:pt idx="1">
                <c:v>3.1634394339182338E-2</c:v>
              </c:pt>
            </c:numLit>
          </c:yVal>
          <c:smooth val="0"/>
          <c:extLst>
            <c:ext xmlns:c16="http://schemas.microsoft.com/office/drawing/2014/chart" uri="{C3380CC4-5D6E-409C-BE32-E72D297353CC}">
              <c16:uniqueId val="{00000008-C14A-4FA0-9D89-6310253ECE5D}"/>
            </c:ext>
          </c:extLst>
        </c:ser>
        <c:ser>
          <c:idx val="9"/>
          <c:order val="9"/>
          <c:spPr>
            <a:ln w="3175">
              <a:solidFill>
                <a:srgbClr val="000000"/>
              </a:solidFill>
              <a:prstDash val="solid"/>
            </a:ln>
          </c:spPr>
          <c:marker>
            <c:symbol val="none"/>
          </c:marker>
          <c:xVal>
            <c:numLit>
              <c:formatCode>General</c:formatCode>
              <c:ptCount val="2"/>
              <c:pt idx="0">
                <c:v>16.392624340635372</c:v>
              </c:pt>
              <c:pt idx="1">
                <c:v>16.086740742682426</c:v>
              </c:pt>
            </c:numLit>
          </c:xVal>
          <c:yVal>
            <c:numLit>
              <c:formatCode>General</c:formatCode>
              <c:ptCount val="2"/>
              <c:pt idx="0">
                <c:v>3.2001771819701222E-2</c:v>
              </c:pt>
              <c:pt idx="1">
                <c:v>3.1619986584539107E-2</c:v>
              </c:pt>
            </c:numLit>
          </c:yVal>
          <c:smooth val="0"/>
          <c:extLst>
            <c:ext xmlns:c16="http://schemas.microsoft.com/office/drawing/2014/chart" uri="{C3380CC4-5D6E-409C-BE32-E72D297353CC}">
              <c16:uniqueId val="{00000009-C14A-4FA0-9D89-6310253ECE5D}"/>
            </c:ext>
          </c:extLst>
        </c:ser>
        <c:ser>
          <c:idx val="10"/>
          <c:order val="10"/>
          <c:spPr>
            <a:ln w="3175">
              <a:solidFill>
                <a:srgbClr val="000000"/>
              </a:solidFill>
              <a:prstDash val="solid"/>
            </a:ln>
          </c:spPr>
          <c:marker>
            <c:symbol val="none"/>
          </c:marker>
          <c:xVal>
            <c:numLit>
              <c:formatCode>General</c:formatCode>
              <c:ptCount val="2"/>
              <c:pt idx="0">
                <c:v>15.9754527418382</c:v>
              </c:pt>
              <c:pt idx="1">
                <c:v>15.829703556634092</c:v>
              </c:pt>
            </c:numLit>
          </c:xVal>
          <c:yVal>
            <c:numLit>
              <c:formatCode>General</c:formatCode>
              <c:ptCount val="2"/>
              <c:pt idx="0">
                <c:v>3.2178906690858773E-2</c:v>
              </c:pt>
              <c:pt idx="1">
                <c:v>3.1984960023775003E-2</c:v>
              </c:pt>
            </c:numLit>
          </c:yVal>
          <c:smooth val="0"/>
          <c:extLst>
            <c:ext xmlns:c16="http://schemas.microsoft.com/office/drawing/2014/chart" uri="{C3380CC4-5D6E-409C-BE32-E72D297353CC}">
              <c16:uniqueId val="{0000000A-C14A-4FA0-9D89-6310253ECE5D}"/>
            </c:ext>
          </c:extLst>
        </c:ser>
        <c:ser>
          <c:idx val="11"/>
          <c:order val="11"/>
          <c:spPr>
            <a:ln w="3175">
              <a:solidFill>
                <a:srgbClr val="000000"/>
              </a:solidFill>
              <a:prstDash val="solid"/>
            </a:ln>
          </c:spPr>
          <c:marker>
            <c:symbol val="none"/>
          </c:marker>
          <c:xVal>
            <c:numLit>
              <c:formatCode>General</c:formatCode>
              <c:ptCount val="2"/>
              <c:pt idx="0">
                <c:v>15.538289652700842</c:v>
              </c:pt>
              <c:pt idx="1">
                <c:v>15.261865871573226</c:v>
              </c:pt>
            </c:numLit>
          </c:xVal>
          <c:yVal>
            <c:numLit>
              <c:formatCode>General</c:formatCode>
              <c:ptCount val="2"/>
              <c:pt idx="0">
                <c:v>3.2352645029202619E-2</c:v>
              </c:pt>
              <c:pt idx="1">
                <c:v>3.1958760717850802E-2</c:v>
              </c:pt>
            </c:numLit>
          </c:yVal>
          <c:smooth val="0"/>
          <c:extLst>
            <c:ext xmlns:c16="http://schemas.microsoft.com/office/drawing/2014/chart" uri="{C3380CC4-5D6E-409C-BE32-E72D297353CC}">
              <c16:uniqueId val="{0000000B-C14A-4FA0-9D89-6310253ECE5D}"/>
            </c:ext>
          </c:extLst>
        </c:ser>
        <c:ser>
          <c:idx val="12"/>
          <c:order val="12"/>
          <c:spPr>
            <a:ln w="3175">
              <a:solidFill>
                <a:srgbClr val="000000"/>
              </a:solidFill>
              <a:prstDash val="solid"/>
            </a:ln>
          </c:spPr>
          <c:marker>
            <c:symbol val="none"/>
          </c:marker>
          <c:xVal>
            <c:numLit>
              <c:formatCode>General</c:formatCode>
              <c:ptCount val="2"/>
              <c:pt idx="0">
                <c:v>15.08097215642557</c:v>
              </c:pt>
              <c:pt idx="1">
                <c:v>14.950645050280301</c:v>
              </c:pt>
            </c:numLit>
          </c:xVal>
          <c:yVal>
            <c:numLit>
              <c:formatCode>General</c:formatCode>
              <c:ptCount val="2"/>
              <c:pt idx="0">
                <c:v>3.2521960349640437E-2</c:v>
              </c:pt>
              <c:pt idx="1">
                <c:v>3.2322098964301806E-2</c:v>
              </c:pt>
            </c:numLit>
          </c:yVal>
          <c:smooth val="0"/>
          <c:extLst>
            <c:ext xmlns:c16="http://schemas.microsoft.com/office/drawing/2014/chart" uri="{C3380CC4-5D6E-409C-BE32-E72D297353CC}">
              <c16:uniqueId val="{0000000C-C14A-4FA0-9D89-6310253ECE5D}"/>
            </c:ext>
          </c:extLst>
        </c:ser>
        <c:ser>
          <c:idx val="13"/>
          <c:order val="13"/>
          <c:spPr>
            <a:ln w="3175">
              <a:solidFill>
                <a:srgbClr val="000000"/>
              </a:solidFill>
              <a:prstDash val="solid"/>
            </a:ln>
          </c:spPr>
          <c:marker>
            <c:symbol val="none"/>
          </c:marker>
          <c:xVal>
            <c:numLit>
              <c:formatCode>General</c:formatCode>
              <c:ptCount val="2"/>
              <c:pt idx="0">
                <c:v>14.603499843901423</c:v>
              </c:pt>
              <c:pt idx="1">
                <c:v>14.359310194111718</c:v>
              </c:pt>
            </c:numLit>
          </c:xVal>
          <c:yVal>
            <c:numLit>
              <c:formatCode>General</c:formatCode>
              <c:ptCount val="2"/>
              <c:pt idx="0">
                <c:v>3.2685757166608632E-2</c:v>
              </c:pt>
              <c:pt idx="1">
                <c:v>3.2280386229829018E-2</c:v>
              </c:pt>
            </c:numLit>
          </c:yVal>
          <c:smooth val="0"/>
          <c:extLst>
            <c:ext xmlns:c16="http://schemas.microsoft.com/office/drawing/2014/chart" uri="{C3380CC4-5D6E-409C-BE32-E72D297353CC}">
              <c16:uniqueId val="{0000000D-C14A-4FA0-9D89-6310253ECE5D}"/>
            </c:ext>
          </c:extLst>
        </c:ser>
        <c:ser>
          <c:idx val="14"/>
          <c:order val="14"/>
          <c:spPr>
            <a:ln w="3175">
              <a:solidFill>
                <a:srgbClr val="000000"/>
              </a:solidFill>
              <a:prstDash val="solid"/>
            </a:ln>
          </c:spPr>
          <c:marker>
            <c:symbol val="none"/>
          </c:marker>
          <c:xVal>
            <c:numLit>
              <c:formatCode>General</c:formatCode>
              <c:ptCount val="2"/>
              <c:pt idx="0">
                <c:v>14.106057727229052</c:v>
              </c:pt>
              <c:pt idx="1">
                <c:v>13.992539490552689</c:v>
              </c:pt>
            </c:numLit>
          </c:xVal>
          <c:yVal>
            <c:numLit>
              <c:formatCode>General</c:formatCode>
              <c:ptCount val="2"/>
              <c:pt idx="0">
                <c:v>3.2842881427324513E-2</c:v>
              </c:pt>
              <c:pt idx="1">
                <c:v>3.2637486919956847E-2</c:v>
              </c:pt>
            </c:numLit>
          </c:yVal>
          <c:smooth val="0"/>
          <c:extLst>
            <c:ext xmlns:c16="http://schemas.microsoft.com/office/drawing/2014/chart" uri="{C3380CC4-5D6E-409C-BE32-E72D297353CC}">
              <c16:uniqueId val="{0000000E-C14A-4FA0-9D89-6310253ECE5D}"/>
            </c:ext>
          </c:extLst>
        </c:ser>
        <c:ser>
          <c:idx val="15"/>
          <c:order val="15"/>
          <c:spPr>
            <a:ln w="3175">
              <a:solidFill>
                <a:srgbClr val="000000"/>
              </a:solidFill>
              <a:prstDash val="solid"/>
            </a:ln>
          </c:spPr>
          <c:marker>
            <c:symbol val="none"/>
          </c:marker>
          <c:xVal>
            <c:numLit>
              <c:formatCode>General</c:formatCode>
              <c:ptCount val="2"/>
              <c:pt idx="0">
                <c:v>13.589037803579986</c:v>
              </c:pt>
              <c:pt idx="1">
                <c:v>13.379829603456537</c:v>
              </c:pt>
            </c:numLit>
          </c:xVal>
          <c:yVal>
            <c:numLit>
              <c:formatCode>General</c:formatCode>
              <c:ptCount val="2"/>
              <c:pt idx="0">
                <c:v>3.2992134447433728E-2</c:v>
              </c:pt>
              <c:pt idx="1">
                <c:v>3.2576198776832564E-2</c:v>
              </c:pt>
            </c:numLit>
          </c:yVal>
          <c:smooth val="0"/>
          <c:extLst>
            <c:ext xmlns:c16="http://schemas.microsoft.com/office/drawing/2014/chart" uri="{C3380CC4-5D6E-409C-BE32-E72D297353CC}">
              <c16:uniqueId val="{0000000F-C14A-4FA0-9D89-6310253ECE5D}"/>
            </c:ext>
          </c:extLst>
        </c:ser>
        <c:ser>
          <c:idx val="16"/>
          <c:order val="16"/>
          <c:spPr>
            <a:ln w="3175">
              <a:solidFill>
                <a:srgbClr val="000000"/>
              </a:solidFill>
              <a:prstDash val="solid"/>
            </a:ln>
          </c:spPr>
          <c:marker>
            <c:symbol val="none"/>
          </c:marker>
          <c:xVal>
            <c:numLit>
              <c:formatCode>General</c:formatCode>
              <c:ptCount val="2"/>
              <c:pt idx="0">
                <c:v>13.053058090665036</c:v>
              </c:pt>
              <c:pt idx="1">
                <c:v>12.957695020136329</c:v>
              </c:pt>
            </c:numLit>
          </c:xVal>
          <c:yVal>
            <c:numLit>
              <c:formatCode>General</c:formatCode>
              <c:ptCount val="2"/>
              <c:pt idx="0">
                <c:v>3.3132290436861909E-2</c:v>
              </c:pt>
              <c:pt idx="1">
                <c:v>3.2921906118984975E-2</c:v>
              </c:pt>
            </c:numLit>
          </c:yVal>
          <c:smooth val="0"/>
          <c:extLst>
            <c:ext xmlns:c16="http://schemas.microsoft.com/office/drawing/2014/chart" uri="{C3380CC4-5D6E-409C-BE32-E72D297353CC}">
              <c16:uniqueId val="{00000010-C14A-4FA0-9D89-6310253ECE5D}"/>
            </c:ext>
          </c:extLst>
        </c:ser>
        <c:ser>
          <c:idx val="17"/>
          <c:order val="17"/>
          <c:spPr>
            <a:ln w="3175">
              <a:solidFill>
                <a:srgbClr val="000000"/>
              </a:solidFill>
              <a:prstDash val="solid"/>
            </a:ln>
          </c:spPr>
          <c:marker>
            <c:symbol val="none"/>
          </c:marker>
          <c:xVal>
            <c:numLit>
              <c:formatCode>General</c:formatCode>
              <c:ptCount val="2"/>
              <c:pt idx="0">
                <c:v>12.498977840522226</c:v>
              </c:pt>
              <c:pt idx="1">
                <c:v>12.327357914986976</c:v>
              </c:pt>
            </c:numLit>
          </c:xVal>
          <c:yVal>
            <c:numLit>
              <c:formatCode>General</c:formatCode>
              <c:ptCount val="2"/>
              <c:pt idx="0">
                <c:v>3.3262117506318627E-2</c:v>
              </c:pt>
              <c:pt idx="1">
                <c:v>3.2836872075066262E-2</c:v>
              </c:pt>
            </c:numLit>
          </c:yVal>
          <c:smooth val="0"/>
          <c:extLst>
            <c:ext xmlns:c16="http://schemas.microsoft.com/office/drawing/2014/chart" uri="{C3380CC4-5D6E-409C-BE32-E72D297353CC}">
              <c16:uniqueId val="{00000011-C14A-4FA0-9D89-6310253ECE5D}"/>
            </c:ext>
          </c:extLst>
        </c:ser>
        <c:ser>
          <c:idx val="18"/>
          <c:order val="18"/>
          <c:spPr>
            <a:ln w="3175">
              <a:solidFill>
                <a:srgbClr val="000000"/>
              </a:solidFill>
              <a:prstDash val="solid"/>
            </a:ln>
          </c:spPr>
          <c:marker>
            <c:symbol val="none"/>
          </c:marker>
          <c:xVal>
            <c:numLit>
              <c:formatCode>General</c:formatCode>
              <c:ptCount val="2"/>
              <c:pt idx="0">
                <c:v>11.927907597824111</c:v>
              </c:pt>
              <c:pt idx="1">
                <c:v>11.851943673723694</c:v>
              </c:pt>
            </c:numLit>
          </c:xVal>
          <c:yVal>
            <c:numLit>
              <c:formatCode>General</c:formatCode>
              <c:ptCount val="2"/>
              <c:pt idx="0">
                <c:v>3.3380401807334426E-2</c:v>
              </c:pt>
              <c:pt idx="1">
                <c:v>3.3165739707207965E-2</c:v>
              </c:pt>
            </c:numLit>
          </c:yVal>
          <c:smooth val="0"/>
          <c:extLst>
            <c:ext xmlns:c16="http://schemas.microsoft.com/office/drawing/2014/chart" uri="{C3380CC4-5D6E-409C-BE32-E72D297353CC}">
              <c16:uniqueId val="{00000012-C14A-4FA0-9D89-6310253ECE5D}"/>
            </c:ext>
          </c:extLst>
        </c:ser>
        <c:ser>
          <c:idx val="19"/>
          <c:order val="19"/>
          <c:spPr>
            <a:ln w="3175">
              <a:solidFill>
                <a:srgbClr val="000000"/>
              </a:solidFill>
              <a:prstDash val="solid"/>
            </a:ln>
          </c:spPr>
          <c:marker>
            <c:symbol val="none"/>
          </c:marker>
          <c:xVal>
            <c:numLit>
              <c:formatCode>General</c:formatCode>
              <c:ptCount val="2"/>
              <c:pt idx="0">
                <c:v>11.341212826619152</c:v>
              </c:pt>
              <c:pt idx="1">
                <c:v>11.209515832597802</c:v>
              </c:pt>
            </c:numLit>
          </c:xVal>
          <c:yVal>
            <c:numLit>
              <c:formatCode>General</c:formatCode>
              <c:ptCount val="2"/>
              <c:pt idx="0">
                <c:v>3.348597419470218E-2</c:v>
              </c:pt>
              <c:pt idx="1">
                <c:v>3.3053009567298661E-2</c:v>
              </c:pt>
            </c:numLit>
          </c:yVal>
          <c:smooth val="0"/>
          <c:extLst>
            <c:ext xmlns:c16="http://schemas.microsoft.com/office/drawing/2014/chart" uri="{C3380CC4-5D6E-409C-BE32-E72D297353CC}">
              <c16:uniqueId val="{00000013-C14A-4FA0-9D89-6310253ECE5D}"/>
            </c:ext>
          </c:extLst>
        </c:ser>
        <c:ser>
          <c:idx val="20"/>
          <c:order val="20"/>
          <c:spPr>
            <a:ln w="3175">
              <a:solidFill>
                <a:srgbClr val="000000"/>
              </a:solidFill>
              <a:prstDash val="solid"/>
            </a:ln>
          </c:spPr>
          <c:marker>
            <c:symbol val="none"/>
          </c:marker>
          <c:xVal>
            <c:numLit>
              <c:formatCode>General</c:formatCode>
              <c:ptCount val="2"/>
              <c:pt idx="0">
                <c:v>10.740510003894533</c:v>
              </c:pt>
              <c:pt idx="1">
                <c:v>10.685018452103247</c:v>
              </c:pt>
            </c:numLit>
          </c:xVal>
          <c:yVal>
            <c:numLit>
              <c:formatCode>General</c:formatCode>
              <c:ptCount val="2"/>
              <c:pt idx="0">
                <c:v>3.3577738530929296E-2</c:v>
              </c:pt>
              <c:pt idx="1">
                <c:v>3.3359674073499483E-2</c:v>
              </c:pt>
            </c:numLit>
          </c:yVal>
          <c:smooth val="0"/>
          <c:extLst>
            <c:ext xmlns:c16="http://schemas.microsoft.com/office/drawing/2014/chart" uri="{C3380CC4-5D6E-409C-BE32-E72D297353CC}">
              <c16:uniqueId val="{00000014-C14A-4FA0-9D89-6310253ECE5D}"/>
            </c:ext>
          </c:extLst>
        </c:ser>
        <c:ser>
          <c:idx val="21"/>
          <c:order val="21"/>
          <c:spPr>
            <a:ln w="3175">
              <a:solidFill>
                <a:srgbClr val="000000"/>
              </a:solidFill>
              <a:prstDash val="solid"/>
            </a:ln>
          </c:spPr>
          <c:marker>
            <c:symbol val="none"/>
          </c:marker>
          <c:xVal>
            <c:numLit>
              <c:formatCode>General</c:formatCode>
              <c:ptCount val="2"/>
              <c:pt idx="0">
                <c:v>10.127654377823859</c:v>
              </c:pt>
              <c:pt idx="1">
                <c:v>10.037804226864415</c:v>
              </c:pt>
            </c:numLit>
          </c:xVal>
          <c:yVal>
            <c:numLit>
              <c:formatCode>General</c:formatCode>
              <c:ptCount val="2"/>
              <c:pt idx="0">
                <c:v>3.3654700505295149E-2</c:v>
              </c:pt>
              <c:pt idx="1">
                <c:v>3.3215917729250491E-2</c:v>
              </c:pt>
            </c:numLit>
          </c:yVal>
          <c:smooth val="0"/>
          <c:extLst>
            <c:ext xmlns:c16="http://schemas.microsoft.com/office/drawing/2014/chart" uri="{C3380CC4-5D6E-409C-BE32-E72D297353CC}">
              <c16:uniqueId val="{00000015-C14A-4FA0-9D89-6310253ECE5D}"/>
            </c:ext>
          </c:extLst>
        </c:ser>
        <c:ser>
          <c:idx val="22"/>
          <c:order val="22"/>
          <c:spPr>
            <a:ln w="3175">
              <a:solidFill>
                <a:srgbClr val="000000"/>
              </a:solidFill>
              <a:prstDash val="solid"/>
            </a:ln>
          </c:spPr>
          <c:marker>
            <c:symbol val="none"/>
          </c:marker>
          <c:xVal>
            <c:numLit>
              <c:formatCode>General</c:formatCode>
              <c:ptCount val="2"/>
              <c:pt idx="0">
                <c:v>9.5047190068155949</c:v>
              </c:pt>
              <c:pt idx="1">
                <c:v>9.4705341963532561</c:v>
              </c:pt>
            </c:numLit>
          </c:xVal>
          <c:yVal>
            <c:numLit>
              <c:formatCode>General</c:formatCode>
              <c:ptCount val="2"/>
              <c:pt idx="0">
                <c:v>3.3715995646515944E-2</c:v>
              </c:pt>
              <c:pt idx="1">
                <c:v>3.3495547445713945E-2</c:v>
              </c:pt>
            </c:numLit>
          </c:yVal>
          <c:smooth val="0"/>
          <c:extLst>
            <c:ext xmlns:c16="http://schemas.microsoft.com/office/drawing/2014/chart" uri="{C3380CC4-5D6E-409C-BE32-E72D297353CC}">
              <c16:uniqueId val="{00000016-C14A-4FA0-9D89-6310253ECE5D}"/>
            </c:ext>
          </c:extLst>
        </c:ser>
        <c:ser>
          <c:idx val="23"/>
          <c:order val="23"/>
          <c:spPr>
            <a:ln w="3175">
              <a:solidFill>
                <a:srgbClr val="000000"/>
              </a:solidFill>
              <a:prstDash val="solid"/>
            </a:ln>
          </c:spPr>
          <c:marker>
            <c:symbol val="none"/>
          </c:marker>
          <c:xVal>
            <c:numLit>
              <c:formatCode>General</c:formatCode>
              <c:ptCount val="2"/>
              <c:pt idx="0">
                <c:v>8.8739652091894179</c:v>
              </c:pt>
              <c:pt idx="1">
                <c:v>8.8273457192173677</c:v>
              </c:pt>
            </c:numLit>
          </c:xVal>
          <c:yVal>
            <c:numLit>
              <c:formatCode>General</c:formatCode>
              <c:ptCount val="2"/>
              <c:pt idx="0">
                <c:v>3.3760915098533552E-2</c:v>
              </c:pt>
              <c:pt idx="1">
                <c:v>3.3318469750308249E-2</c:v>
              </c:pt>
            </c:numLit>
          </c:yVal>
          <c:smooth val="0"/>
          <c:extLst>
            <c:ext xmlns:c16="http://schemas.microsoft.com/office/drawing/2014/chart" uri="{C3380CC4-5D6E-409C-BE32-E72D297353CC}">
              <c16:uniqueId val="{00000017-C14A-4FA0-9D89-6310253ECE5D}"/>
            </c:ext>
          </c:extLst>
        </c:ser>
        <c:ser>
          <c:idx val="24"/>
          <c:order val="24"/>
          <c:spPr>
            <a:ln w="3175">
              <a:solidFill>
                <a:srgbClr val="000000"/>
              </a:solidFill>
              <a:prstDash val="solid"/>
            </a:ln>
          </c:spPr>
          <c:marker>
            <c:symbol val="none"/>
          </c:marker>
          <c:xVal>
            <c:numLit>
              <c:formatCode>General</c:formatCode>
              <c:ptCount val="2"/>
              <c:pt idx="0">
                <c:v>8.2378051220730821</c:v>
              </c:pt>
              <c:pt idx="1">
                <c:v>8.225463654451131</c:v>
              </c:pt>
            </c:numLit>
          </c:xVal>
          <c:yVal>
            <c:numLit>
              <c:formatCode>General</c:formatCode>
              <c:ptCount val="2"/>
              <c:pt idx="0">
                <c:v>3.378892772867001E-2</c:v>
              </c:pt>
              <c:pt idx="1">
                <c:v>3.3567222078175703E-2</c:v>
              </c:pt>
            </c:numLit>
          </c:yVal>
          <c:smooth val="0"/>
          <c:extLst>
            <c:ext xmlns:c16="http://schemas.microsoft.com/office/drawing/2014/chart" uri="{C3380CC4-5D6E-409C-BE32-E72D297353CC}">
              <c16:uniqueId val="{00000018-C14A-4FA0-9D89-6310253ECE5D}"/>
            </c:ext>
          </c:extLst>
        </c:ser>
        <c:ser>
          <c:idx val="25"/>
          <c:order val="25"/>
          <c:spPr>
            <a:ln w="3175">
              <a:solidFill>
                <a:srgbClr val="000000"/>
              </a:solidFill>
              <a:prstDash val="solid"/>
            </a:ln>
          </c:spPr>
          <c:marker>
            <c:symbol val="none"/>
          </c:marker>
          <c:xVal>
            <c:numLit>
              <c:formatCode>General</c:formatCode>
              <c:ptCount val="2"/>
              <c:pt idx="0">
                <c:v>7.5987576377376911</c:v>
              </c:pt>
              <c:pt idx="1">
                <c:v>7.5961108226432881</c:v>
              </c:pt>
            </c:numLit>
          </c:xVal>
          <c:yVal>
            <c:numLit>
              <c:formatCode>General</c:formatCode>
              <c:ptCount val="2"/>
              <c:pt idx="0">
                <c:v>3.3799697260686282E-2</c:v>
              </c:pt>
              <c:pt idx="1">
                <c:v>3.3355914596524684E-2</c:v>
              </c:pt>
            </c:numLit>
          </c:yVal>
          <c:smooth val="0"/>
          <c:extLst>
            <c:ext xmlns:c16="http://schemas.microsoft.com/office/drawing/2014/chart" uri="{C3380CC4-5D6E-409C-BE32-E72D297353CC}">
              <c16:uniqueId val="{00000019-C14A-4FA0-9D89-6310253ECE5D}"/>
            </c:ext>
          </c:extLst>
        </c:ser>
        <c:ser>
          <c:idx val="26"/>
          <c:order val="26"/>
          <c:spPr>
            <a:ln w="3175">
              <a:solidFill>
                <a:srgbClr val="000000"/>
              </a:solidFill>
              <a:prstDash val="solid"/>
            </a:ln>
          </c:spPr>
          <c:marker>
            <c:symbol val="none"/>
          </c:marker>
          <c:xVal>
            <c:numLit>
              <c:formatCode>General</c:formatCode>
              <c:ptCount val="2"/>
              <c:pt idx="0">
                <c:v>6.9593994946761999</c:v>
              </c:pt>
              <c:pt idx="1">
                <c:v>6.9690995033886791</c:v>
              </c:pt>
            </c:numLit>
          </c:xVal>
          <c:yVal>
            <c:numLit>
              <c:formatCode>General</c:formatCode>
              <c:ptCount val="2"/>
              <c:pt idx="0">
                <c:v>3.3793093371721462E-2</c:v>
              </c:pt>
              <c:pt idx="1">
                <c:v>3.3571315899795236E-2</c:v>
              </c:pt>
            </c:numLit>
          </c:yVal>
          <c:smooth val="0"/>
          <c:extLst>
            <c:ext xmlns:c16="http://schemas.microsoft.com/office/drawing/2014/chart" uri="{C3380CC4-5D6E-409C-BE32-E72D297353CC}">
              <c16:uniqueId val="{0000001A-C14A-4FA0-9D89-6310253ECE5D}"/>
            </c:ext>
          </c:extLst>
        </c:ser>
        <c:ser>
          <c:idx val="27"/>
          <c:order val="27"/>
          <c:spPr>
            <a:ln w="3175">
              <a:solidFill>
                <a:srgbClr val="000000"/>
              </a:solidFill>
              <a:prstDash val="solid"/>
            </a:ln>
          </c:spPr>
          <c:marker>
            <c:symbol val="none"/>
          </c:marker>
          <c:xVal>
            <c:numLit>
              <c:formatCode>General</c:formatCode>
              <c:ptCount val="2"/>
              <c:pt idx="0">
                <c:v>6.3223136896666619</c:v>
              </c:pt>
              <c:pt idx="1">
                <c:v>6.363682183126433</c:v>
              </c:pt>
            </c:numLit>
          </c:xVal>
          <c:yVal>
            <c:numLit>
              <c:formatCode>General</c:formatCode>
              <c:ptCount val="2"/>
              <c:pt idx="0">
                <c:v>3.3769196044631293E-2</c:v>
              </c:pt>
              <c:pt idx="1">
                <c:v>3.3326465146540557E-2</c:v>
              </c:pt>
            </c:numLit>
          </c:yVal>
          <c:smooth val="0"/>
          <c:extLst>
            <c:ext xmlns:c16="http://schemas.microsoft.com/office/drawing/2014/chart" uri="{C3380CC4-5D6E-409C-BE32-E72D297353CC}">
              <c16:uniqueId val="{0000001B-C14A-4FA0-9D89-6310253ECE5D}"/>
            </c:ext>
          </c:extLst>
        </c:ser>
        <c:ser>
          <c:idx val="28"/>
          <c:order val="28"/>
          <c:spPr>
            <a:ln w="3175">
              <a:solidFill>
                <a:srgbClr val="000000"/>
              </a:solidFill>
              <a:prstDash val="solid"/>
            </a:ln>
          </c:spPr>
          <c:marker>
            <c:symbol val="none"/>
          </c:marker>
          <c:xVal>
            <c:numLit>
              <c:formatCode>General</c:formatCode>
              <c:ptCount val="2"/>
              <c:pt idx="0">
                <c:v>5.690037597761866</c:v>
              </c:pt>
              <c:pt idx="1">
                <c:v>5.7216231564211437</c:v>
              </c:pt>
            </c:numLit>
          </c:xVal>
          <c:yVal>
            <c:numLit>
              <c:formatCode>General</c:formatCode>
              <c:ptCount val="2"/>
              <c:pt idx="0">
                <c:v>3.3728292893413635E-2</c:v>
              </c:pt>
              <c:pt idx="1">
                <c:v>3.3507632671113403E-2</c:v>
              </c:pt>
            </c:numLit>
          </c:yVal>
          <c:smooth val="0"/>
          <c:extLst>
            <c:ext xmlns:c16="http://schemas.microsoft.com/office/drawing/2014/chart" uri="{C3380CC4-5D6E-409C-BE32-E72D297353CC}">
              <c16:uniqueId val="{0000001C-C14A-4FA0-9D89-6310253ECE5D}"/>
            </c:ext>
          </c:extLst>
        </c:ser>
        <c:ser>
          <c:idx val="29"/>
          <c:order val="29"/>
          <c:spPr>
            <a:ln w="3175">
              <a:solidFill>
                <a:srgbClr val="000000"/>
              </a:solidFill>
              <a:prstDash val="solid"/>
            </a:ln>
          </c:spPr>
          <c:marker>
            <c:symbol val="none"/>
          </c:marker>
          <c:xVal>
            <c:numLit>
              <c:formatCode>General</c:formatCode>
              <c:ptCount val="2"/>
              <c:pt idx="0">
                <c:v>5.0650132114445139</c:v>
              </c:pt>
              <c:pt idx="1">
                <c:v>5.1497368938084964</c:v>
              </c:pt>
            </c:numLit>
          </c:xVal>
          <c:yVal>
            <c:numLit>
              <c:formatCode>General</c:formatCode>
              <c:ptCount val="2"/>
              <c:pt idx="0">
                <c:v>3.3670869635499083E-2</c:v>
              </c:pt>
              <c:pt idx="1">
                <c:v>3.3231529303240491E-2</c:v>
              </c:pt>
            </c:numLit>
          </c:yVal>
          <c:smooth val="0"/>
          <c:extLst>
            <c:ext xmlns:c16="http://schemas.microsoft.com/office/drawing/2014/chart" uri="{C3380CC4-5D6E-409C-BE32-E72D297353CC}">
              <c16:uniqueId val="{0000001D-C14A-4FA0-9D89-6310253ECE5D}"/>
            </c:ext>
          </c:extLst>
        </c:ser>
        <c:ser>
          <c:idx val="30"/>
          <c:order val="30"/>
          <c:spPr>
            <a:ln w="3175">
              <a:solidFill>
                <a:srgbClr val="000000"/>
              </a:solidFill>
              <a:prstDash val="solid"/>
            </a:ln>
          </c:spPr>
          <c:marker>
            <c:symbol val="none"/>
          </c:marker>
          <c:xVal>
            <c:numLit>
              <c:formatCode>General</c:formatCode>
              <c:ptCount val="2"/>
              <c:pt idx="0">
                <c:v>4.4495417349447202</c:v>
              </c:pt>
              <c:pt idx="1">
                <c:v>4.5025151533077423</c:v>
              </c:pt>
            </c:numLit>
          </c:xVal>
          <c:yVal>
            <c:numLit>
              <c:formatCode>General</c:formatCode>
              <c:ptCount val="2"/>
              <c:pt idx="0">
                <c:v>3.3597594322318097E-2</c:v>
              </c:pt>
              <c:pt idx="1">
                <c:v>3.3379187523657441E-2</c:v>
              </c:pt>
            </c:numLit>
          </c:yVal>
          <c:smooth val="0"/>
          <c:extLst>
            <c:ext xmlns:c16="http://schemas.microsoft.com/office/drawing/2014/chart" uri="{C3380CC4-5D6E-409C-BE32-E72D297353CC}">
              <c16:uniqueId val="{0000001E-C14A-4FA0-9D89-6310253ECE5D}"/>
            </c:ext>
          </c:extLst>
        </c:ser>
        <c:ser>
          <c:idx val="31"/>
          <c:order val="31"/>
          <c:spPr>
            <a:ln w="3175">
              <a:solidFill>
                <a:srgbClr val="000000"/>
              </a:solidFill>
              <a:prstDash val="solid"/>
            </a:ln>
          </c:spPr>
          <c:marker>
            <c:symbol val="none"/>
          </c:marker>
          <c:xVal>
            <c:numLit>
              <c:formatCode>General</c:formatCode>
              <c:ptCount val="2"/>
              <c:pt idx="0">
                <c:v>3.8457444174013791</c:v>
              </c:pt>
              <c:pt idx="1">
                <c:v>3.9725118512840907</c:v>
              </c:pt>
            </c:numLit>
          </c:xVal>
          <c:yVal>
            <c:numLit>
              <c:formatCode>General</c:formatCode>
              <c:ptCount val="2"/>
              <c:pt idx="0">
                <c:v>3.3509296313245625E-2</c:v>
              </c:pt>
              <c:pt idx="1">
                <c:v>3.3075527474857841E-2</c:v>
              </c:pt>
            </c:numLit>
          </c:yVal>
          <c:smooth val="0"/>
          <c:extLst>
            <c:ext xmlns:c16="http://schemas.microsoft.com/office/drawing/2014/chart" uri="{C3380CC4-5D6E-409C-BE32-E72D297353CC}">
              <c16:uniqueId val="{0000001F-C14A-4FA0-9D89-6310253ECE5D}"/>
            </c:ext>
          </c:extLst>
        </c:ser>
        <c:ser>
          <c:idx val="32"/>
          <c:order val="32"/>
          <c:spPr>
            <a:ln w="3175">
              <a:solidFill>
                <a:srgbClr val="000000"/>
              </a:solidFill>
              <a:prstDash val="solid"/>
            </a:ln>
          </c:spPr>
          <c:marker>
            <c:symbol val="none"/>
          </c:marker>
          <c:xVal>
            <c:numLit>
              <c:formatCode>General</c:formatCode>
              <c:ptCount val="2"/>
              <c:pt idx="0">
                <c:v>3.255531023136959</c:v>
              </c:pt>
              <c:pt idx="1">
                <c:v>3.3290908330828737</c:v>
              </c:pt>
            </c:numLit>
          </c:xVal>
          <c:yVal>
            <c:numLit>
              <c:formatCode>General</c:formatCode>
              <c:ptCount val="2"/>
              <c:pt idx="0">
                <c:v>3.3406941252105297E-2</c:v>
              </c:pt>
              <c:pt idx="1">
                <c:v>3.3191821575344858E-2</c:v>
              </c:pt>
            </c:numLit>
          </c:yVal>
          <c:smooth val="0"/>
          <c:extLst>
            <c:ext xmlns:c16="http://schemas.microsoft.com/office/drawing/2014/chart" uri="{C3380CC4-5D6E-409C-BE32-E72D297353CC}">
              <c16:uniqueId val="{00000020-C14A-4FA0-9D89-6310253ECE5D}"/>
            </c:ext>
          </c:extLst>
        </c:ser>
        <c:ser>
          <c:idx val="33"/>
          <c:order val="33"/>
          <c:spPr>
            <a:ln w="3175">
              <a:solidFill>
                <a:srgbClr val="000000"/>
              </a:solidFill>
              <a:prstDash val="solid"/>
            </a:ln>
          </c:spPr>
          <c:marker>
            <c:symbol val="none"/>
          </c:marker>
          <c:xVal>
            <c:numLit>
              <c:formatCode>General</c:formatCode>
              <c:ptCount val="2"/>
              <c:pt idx="0">
                <c:v>2.6805767765256308</c:v>
              </c:pt>
              <c:pt idx="1">
                <c:v>2.8475224049212988</c:v>
              </c:pt>
            </c:numLit>
          </c:xVal>
          <c:yVal>
            <c:numLit>
              <c:formatCode>General</c:formatCode>
              <c:ptCount val="2"/>
              <c:pt idx="0">
                <c:v>3.3291603458921876E-2</c:v>
              </c:pt>
              <c:pt idx="1">
                <c:v>3.286534127068319E-2</c:v>
              </c:pt>
            </c:numLit>
          </c:yVal>
          <c:smooth val="0"/>
          <c:extLst>
            <c:ext xmlns:c16="http://schemas.microsoft.com/office/drawing/2014/chart" uri="{C3380CC4-5D6E-409C-BE32-E72D297353CC}">
              <c16:uniqueId val="{00000021-C14A-4FA0-9D89-6310253ECE5D}"/>
            </c:ext>
          </c:extLst>
        </c:ser>
        <c:ser>
          <c:idx val="34"/>
          <c:order val="34"/>
          <c:spPr>
            <a:ln w="3175">
              <a:solidFill>
                <a:srgbClr val="000000"/>
              </a:solidFill>
              <a:prstDash val="solid"/>
            </a:ln>
          </c:spPr>
          <c:marker>
            <c:symbol val="none"/>
          </c:marker>
          <c:xVal>
            <c:numLit>
              <c:formatCode>General</c:formatCode>
              <c:ptCount val="2"/>
              <c:pt idx="0">
                <c:v>2.1223080446173976</c:v>
              </c:pt>
              <c:pt idx="1">
                <c:v>2.215406181779167</c:v>
              </c:pt>
            </c:numLit>
          </c:xVal>
          <c:yVal>
            <c:numLit>
              <c:formatCode>General</c:formatCode>
              <c:ptCount val="2"/>
              <c:pt idx="0">
                <c:v>3.3164437178186706E-2</c:v>
              </c:pt>
              <c:pt idx="1">
                <c:v>3.2953498606149004E-2</c:v>
              </c:pt>
            </c:numLit>
          </c:yVal>
          <c:smooth val="0"/>
          <c:extLst>
            <c:ext xmlns:c16="http://schemas.microsoft.com/office/drawing/2014/chart" uri="{C3380CC4-5D6E-409C-BE32-E72D297353CC}">
              <c16:uniqueId val="{00000022-C14A-4FA0-9D89-6310253ECE5D}"/>
            </c:ext>
          </c:extLst>
        </c:ser>
        <c:ser>
          <c:idx val="35"/>
          <c:order val="35"/>
          <c:spPr>
            <a:ln w="3175">
              <a:solidFill>
                <a:srgbClr val="000000"/>
              </a:solidFill>
              <a:prstDash val="solid"/>
            </a:ln>
          </c:spPr>
          <c:marker>
            <c:symbol val="none"/>
          </c:marker>
          <c:xVal>
            <c:numLit>
              <c:formatCode>General</c:formatCode>
              <c:ptCount val="2"/>
              <c:pt idx="0">
                <c:v>1.5818964894711631</c:v>
              </c:pt>
              <c:pt idx="1">
                <c:v>1.7867276450066407</c:v>
              </c:pt>
            </c:numLit>
          </c:xVal>
          <c:yVal>
            <c:numLit>
              <c:formatCode>General</c:formatCode>
              <c:ptCount val="2"/>
              <c:pt idx="0">
                <c:v>3.3026648039659948E-2</c:v>
              </c:pt>
              <c:pt idx="1">
                <c:v>3.2609522245188913E-2</c:v>
              </c:pt>
            </c:numLit>
          </c:yVal>
          <c:smooth val="0"/>
          <c:extLst>
            <c:ext xmlns:c16="http://schemas.microsoft.com/office/drawing/2014/chart" uri="{C3380CC4-5D6E-409C-BE32-E72D297353CC}">
              <c16:uniqueId val="{00000023-C14A-4FA0-9D89-6310253ECE5D}"/>
            </c:ext>
          </c:extLst>
        </c:ser>
        <c:ser>
          <c:idx val="36"/>
          <c:order val="36"/>
          <c:spPr>
            <a:ln w="3175">
              <a:solidFill>
                <a:srgbClr val="000000"/>
              </a:solidFill>
              <a:prstDash val="solid"/>
            </a:ln>
          </c:spPr>
          <c:marker>
            <c:symbol val="none"/>
          </c:marker>
          <c:xVal>
            <c:numLit>
              <c:formatCode>General</c:formatCode>
              <c:ptCount val="2"/>
              <c:pt idx="0">
                <c:v>1.0602609781934789</c:v>
              </c:pt>
              <c:pt idx="1">
                <c:v>1.1716702716729019</c:v>
              </c:pt>
            </c:numLit>
          </c:xVal>
          <c:yVal>
            <c:numLit>
              <c:formatCode>General</c:formatCode>
              <c:ptCount val="2"/>
              <c:pt idx="0">
                <c:v>3.2879465911649565E-2</c:v>
              </c:pt>
              <c:pt idx="1">
                <c:v>3.2673440637310779E-2</c:v>
              </c:pt>
            </c:numLit>
          </c:yVal>
          <c:smooth val="0"/>
          <c:extLst>
            <c:ext xmlns:c16="http://schemas.microsoft.com/office/drawing/2014/chart" uri="{C3380CC4-5D6E-409C-BE32-E72D297353CC}">
              <c16:uniqueId val="{00000024-C14A-4FA0-9D89-6310253ECE5D}"/>
            </c:ext>
          </c:extLst>
        </c:ser>
        <c:ser>
          <c:idx val="37"/>
          <c:order val="37"/>
          <c:spPr>
            <a:ln w="3175">
              <a:solidFill>
                <a:srgbClr val="000000"/>
              </a:solidFill>
              <a:prstDash val="solid"/>
            </a:ln>
          </c:spPr>
          <c:marker>
            <c:symbol val="none"/>
          </c:marker>
          <c:xVal>
            <c:numLit>
              <c:formatCode>General</c:formatCode>
              <c:ptCount val="2"/>
              <c:pt idx="0">
                <c:v>0.55807620951249115</c:v>
              </c:pt>
              <c:pt idx="1">
                <c:v>0.79821151263275059</c:v>
              </c:pt>
            </c:numLit>
          </c:xVal>
          <c:yVal>
            <c:numLit>
              <c:formatCode>General</c:formatCode>
              <c:ptCount val="2"/>
              <c:pt idx="0">
                <c:v>3.2724120089613527E-2</c:v>
              </c:pt>
              <c:pt idx="1">
                <c:v>3.2317426293419958E-2</c:v>
              </c:pt>
            </c:numLit>
          </c:yVal>
          <c:smooth val="0"/>
          <c:extLst>
            <c:ext xmlns:c16="http://schemas.microsoft.com/office/drawing/2014/chart" uri="{C3380CC4-5D6E-409C-BE32-E72D297353CC}">
              <c16:uniqueId val="{00000025-C14A-4FA0-9D89-6310253ECE5D}"/>
            </c:ext>
          </c:extLst>
        </c:ser>
        <c:ser>
          <c:idx val="38"/>
          <c:order val="38"/>
          <c:spPr>
            <a:ln w="3175">
              <a:solidFill>
                <a:srgbClr val="000000"/>
              </a:solidFill>
              <a:prstDash val="solid"/>
            </a:ln>
          </c:spPr>
          <c:marker>
            <c:symbol val="none"/>
          </c:marker>
          <c:xVal>
            <c:numLit>
              <c:formatCode>General</c:formatCode>
              <c:ptCount val="2"/>
              <c:pt idx="0">
                <c:v>7.5786811510906382E-2</c:v>
              </c:pt>
              <c:pt idx="1">
                <c:v>0.20416979751933934</c:v>
              </c:pt>
            </c:numLit>
          </c:xVal>
          <c:yVal>
            <c:numLit>
              <c:formatCode>General</c:formatCode>
              <c:ptCount val="2"/>
              <c:pt idx="0">
                <c:v>3.2561817496304393E-2</c:v>
              </c:pt>
              <c:pt idx="1">
                <c:v>3.2361268918781903E-2</c:v>
              </c:pt>
            </c:numLit>
          </c:yVal>
          <c:smooth val="0"/>
          <c:extLst>
            <c:ext xmlns:c16="http://schemas.microsoft.com/office/drawing/2014/chart" uri="{C3380CC4-5D6E-409C-BE32-E72D297353CC}">
              <c16:uniqueId val="{00000026-C14A-4FA0-9D89-6310253ECE5D}"/>
            </c:ext>
          </c:extLst>
        </c:ser>
        <c:ser>
          <c:idx val="39"/>
          <c:order val="39"/>
          <c:spPr>
            <a:ln w="3175">
              <a:solidFill>
                <a:srgbClr val="000000"/>
              </a:solidFill>
              <a:prstDash val="solid"/>
            </a:ln>
          </c:spPr>
          <c:marker>
            <c:symbol val="none"/>
          </c:marker>
          <c:xVal>
            <c:numLit>
              <c:formatCode>General</c:formatCode>
              <c:ptCount val="2"/>
              <c:pt idx="0">
                <c:v>-0.38637441921499299</c:v>
              </c:pt>
              <c:pt idx="1">
                <c:v>-0.11367185303516499</c:v>
              </c:pt>
            </c:numLit>
          </c:xVal>
          <c:yVal>
            <c:numLit>
              <c:formatCode>General</c:formatCode>
              <c:ptCount val="2"/>
              <c:pt idx="0">
                <c:v>3.2393724302205024E-2</c:v>
              </c:pt>
              <c:pt idx="1">
                <c:v>3.1998423464197956E-2</c:v>
              </c:pt>
            </c:numLit>
          </c:yVal>
          <c:smooth val="0"/>
          <c:extLst>
            <c:ext xmlns:c16="http://schemas.microsoft.com/office/drawing/2014/chart" uri="{C3380CC4-5D6E-409C-BE32-E72D297353CC}">
              <c16:uniqueId val="{00000027-C14A-4FA0-9D89-6310253ECE5D}"/>
            </c:ext>
          </c:extLst>
        </c:ser>
        <c:ser>
          <c:idx val="40"/>
          <c:order val="40"/>
          <c:spPr>
            <a:ln w="3175">
              <a:solidFill>
                <a:srgbClr val="000000"/>
              </a:solidFill>
              <a:prstDash val="solid"/>
            </a:ln>
          </c:spPr>
          <c:marker>
            <c:symbol val="none"/>
          </c:marker>
          <c:xVal>
            <c:numLit>
              <c:formatCode>General</c:formatCode>
              <c:ptCount val="2"/>
              <c:pt idx="0">
                <c:v>-0.82836544769946818</c:v>
              </c:pt>
              <c:pt idx="1">
                <c:v>-0.68439362963568395</c:v>
              </c:pt>
            </c:numLit>
          </c:xVal>
          <c:yVal>
            <c:numLit>
              <c:formatCode>General</c:formatCode>
              <c:ptCount val="2"/>
              <c:pt idx="0">
                <c:v>3.2220951129550625E-2</c:v>
              </c:pt>
              <c:pt idx="1">
                <c:v>3.2026279558351474E-2</c:v>
              </c:pt>
            </c:numLit>
          </c:yVal>
          <c:smooth val="0"/>
          <c:extLst>
            <c:ext xmlns:c16="http://schemas.microsoft.com/office/drawing/2014/chart" uri="{C3380CC4-5D6E-409C-BE32-E72D297353CC}">
              <c16:uniqueId val="{00000028-C14A-4FA0-9D89-6310253ECE5D}"/>
            </c:ext>
          </c:extLst>
        </c:ser>
        <c:ser>
          <c:idx val="41"/>
          <c:order val="41"/>
          <c:spPr>
            <a:ln w="3175">
              <a:solidFill>
                <a:srgbClr val="000000"/>
              </a:solidFill>
              <a:prstDash val="solid"/>
            </a:ln>
          </c:spPr>
          <c:marker>
            <c:symbol val="none"/>
          </c:marker>
          <c:xVal>
            <c:numLit>
              <c:formatCode>General</c:formatCode>
              <c:ptCount val="2"/>
              <c:pt idx="0">
                <c:v>-1.2503123116501493</c:v>
              </c:pt>
              <c:pt idx="1">
                <c:v>-0.94781878366221239</c:v>
              </c:pt>
            </c:numLit>
          </c:xVal>
          <c:yVal>
            <c:numLit>
              <c:formatCode>General</c:formatCode>
              <c:ptCount val="2"/>
              <c:pt idx="0">
                <c:v>3.2044541795365311E-2</c:v>
              </c:pt>
              <c:pt idx="1">
                <c:v>3.1661281733456156E-2</c:v>
              </c:pt>
            </c:numLit>
          </c:yVal>
          <c:smooth val="0"/>
          <c:extLst>
            <c:ext xmlns:c16="http://schemas.microsoft.com/office/drawing/2014/chart" uri="{C3380CC4-5D6E-409C-BE32-E72D297353CC}">
              <c16:uniqueId val="{00000029-C14A-4FA0-9D89-6310253ECE5D}"/>
            </c:ext>
          </c:extLst>
        </c:ser>
        <c:ser>
          <c:idx val="42"/>
          <c:order val="42"/>
          <c:spPr>
            <a:ln w="3175">
              <a:solidFill>
                <a:srgbClr val="000000"/>
              </a:solidFill>
              <a:prstDash val="solid"/>
            </a:ln>
          </c:spPr>
          <c:marker>
            <c:symbol val="none"/>
          </c:marker>
          <c:xVal>
            <c:numLit>
              <c:formatCode>General</c:formatCode>
              <c:ptCount val="2"/>
              <c:pt idx="0">
                <c:v>-1.6524858712974235</c:v>
              </c:pt>
              <c:pt idx="1">
                <c:v>-1.4943050804129847</c:v>
              </c:pt>
            </c:numLit>
          </c:xVal>
          <c:yVal>
            <c:numLit>
              <c:formatCode>General</c:formatCode>
              <c:ptCount val="2"/>
              <c:pt idx="0">
                <c:v>3.1865465386878213E-2</c:v>
              </c:pt>
              <c:pt idx="1">
                <c:v>3.1676922880207896E-2</c:v>
              </c:pt>
            </c:numLit>
          </c:yVal>
          <c:smooth val="0"/>
          <c:extLst>
            <c:ext xmlns:c16="http://schemas.microsoft.com/office/drawing/2014/chart" uri="{C3380CC4-5D6E-409C-BE32-E72D297353CC}">
              <c16:uniqueId val="{0000002A-C14A-4FA0-9D89-6310253ECE5D}"/>
            </c:ext>
          </c:extLst>
        </c:ser>
        <c:ser>
          <c:idx val="43"/>
          <c:order val="43"/>
          <c:spPr>
            <a:ln w="3175">
              <a:solidFill>
                <a:srgbClr val="000000"/>
              </a:solidFill>
              <a:prstDash val="solid"/>
            </a:ln>
          </c:spPr>
          <c:marker>
            <c:symbol val="none"/>
          </c:marker>
          <c:xVal>
            <c:numLit>
              <c:formatCode>General</c:formatCode>
              <c:ptCount val="2"/>
              <c:pt idx="0">
                <c:v>-2.0352788721065513</c:v>
              </c:pt>
              <c:pt idx="1">
                <c:v>-1.7057175316890834</c:v>
              </c:pt>
            </c:numLit>
          </c:xVal>
          <c:yVal>
            <c:numLit>
              <c:formatCode>General</c:formatCode>
              <c:ptCount val="2"/>
              <c:pt idx="0">
                <c:v>3.1684611348254135E-2</c:v>
              </c:pt>
              <c:pt idx="1">
                <c:v>3.1313762681072957E-2</c:v>
              </c:pt>
            </c:numLit>
          </c:yVal>
          <c:smooth val="0"/>
          <c:extLst>
            <c:ext xmlns:c16="http://schemas.microsoft.com/office/drawing/2014/chart" uri="{C3380CC4-5D6E-409C-BE32-E72D297353CC}">
              <c16:uniqueId val="{0000002B-C14A-4FA0-9D89-6310253ECE5D}"/>
            </c:ext>
          </c:extLst>
        </c:ser>
        <c:ser>
          <c:idx val="44"/>
          <c:order val="44"/>
          <c:spPr>
            <a:ln w="3175">
              <a:solidFill>
                <a:srgbClr val="000000"/>
              </a:solidFill>
              <a:prstDash val="solid"/>
            </a:ln>
          </c:spPr>
          <c:marker>
            <c:symbol val="none"/>
          </c:marker>
          <c:xVal>
            <c:numLit>
              <c:formatCode>General</c:formatCode>
              <c:ptCount val="2"/>
              <c:pt idx="0">
                <c:v>-2.3991840012325829</c:v>
              </c:pt>
              <c:pt idx="1">
                <c:v>-2.2281291046596068</c:v>
              </c:pt>
            </c:numLit>
          </c:xVal>
          <c:yVal>
            <c:numLit>
              <c:formatCode>General</c:formatCode>
              <c:ptCount val="2"/>
              <c:pt idx="0">
                <c:v>3.1502787187754219E-2</c:v>
              </c:pt>
              <c:pt idx="1">
                <c:v>3.1320497753482592E-2</c:v>
              </c:pt>
            </c:numLit>
          </c:yVal>
          <c:smooth val="0"/>
          <c:extLst>
            <c:ext xmlns:c16="http://schemas.microsoft.com/office/drawing/2014/chart" uri="{C3380CC4-5D6E-409C-BE32-E72D297353CC}">
              <c16:uniqueId val="{0000002C-C14A-4FA0-9D89-6310253ECE5D}"/>
            </c:ext>
          </c:extLst>
        </c:ser>
        <c:ser>
          <c:idx val="45"/>
          <c:order val="45"/>
          <c:spPr>
            <a:ln w="3175">
              <a:solidFill>
                <a:srgbClr val="000000"/>
              </a:solidFill>
              <a:prstDash val="solid"/>
            </a:ln>
          </c:spPr>
          <c:marker>
            <c:symbol val="none"/>
          </c:marker>
          <c:xVal>
            <c:numLit>
              <c:formatCode>General</c:formatCode>
              <c:ptCount val="2"/>
              <c:pt idx="0">
                <c:v>-2.7447734321668316</c:v>
              </c:pt>
              <c:pt idx="1">
                <c:v>-2.3907467620921121</c:v>
              </c:pt>
            </c:numLit>
          </c:xVal>
          <c:yVal>
            <c:numLit>
              <c:formatCode>General</c:formatCode>
              <c:ptCount val="2"/>
              <c:pt idx="0">
                <c:v>3.1320718383058194E-2</c:v>
              </c:pt>
              <c:pt idx="1">
                <c:v>3.0962417749159633E-2</c:v>
              </c:pt>
            </c:numLit>
          </c:yVal>
          <c:smooth val="0"/>
          <c:extLst>
            <c:ext xmlns:c16="http://schemas.microsoft.com/office/drawing/2014/chart" uri="{C3380CC4-5D6E-409C-BE32-E72D297353CC}">
              <c16:uniqueId val="{0000002D-C14A-4FA0-9D89-6310253ECE5D}"/>
            </c:ext>
          </c:extLst>
        </c:ser>
        <c:ser>
          <c:idx val="46"/>
          <c:order val="46"/>
          <c:spPr>
            <a:ln w="3175">
              <a:solidFill>
                <a:srgbClr val="000000"/>
              </a:solidFill>
              <a:prstDash val="solid"/>
            </a:ln>
          </c:spPr>
          <c:marker>
            <c:symbol val="none"/>
          </c:marker>
          <c:xVal>
            <c:numLit>
              <c:formatCode>General</c:formatCode>
              <c:ptCount val="2"/>
              <c:pt idx="0">
                <c:v>-3.072680183386634</c:v>
              </c:pt>
              <c:pt idx="1">
                <c:v>-2.890013283673071</c:v>
              </c:pt>
            </c:numLit>
          </c:xVal>
          <c:yVal>
            <c:numLit>
              <c:formatCode>General</c:formatCode>
              <c:ptCount val="2"/>
              <c:pt idx="0">
                <c:v>3.1139050061769116E-2</c:v>
              </c:pt>
              <c:pt idx="1">
                <c:v>3.0963031957255856E-2</c:v>
              </c:pt>
            </c:numLit>
          </c:yVal>
          <c:smooth val="0"/>
          <c:extLst>
            <c:ext xmlns:c16="http://schemas.microsoft.com/office/drawing/2014/chart" uri="{C3380CC4-5D6E-409C-BE32-E72D297353CC}">
              <c16:uniqueId val="{0000002E-C14A-4FA0-9D89-6310253ECE5D}"/>
            </c:ext>
          </c:extLst>
        </c:ser>
        <c:ser>
          <c:idx val="47"/>
          <c:order val="47"/>
          <c:spPr>
            <a:ln w="3175">
              <a:solidFill>
                <a:srgbClr val="000000"/>
              </a:solidFill>
              <a:prstDash val="solid"/>
            </a:ln>
          </c:spPr>
          <c:marker>
            <c:symbol val="none"/>
          </c:marker>
          <c:xVal>
            <c:numLit>
              <c:formatCode>General</c:formatCode>
              <c:ptCount val="2"/>
              <c:pt idx="0">
                <c:v>-3.3835814724217705</c:v>
              </c:pt>
              <c:pt idx="1">
                <c:v>-3.0075269388899843</c:v>
              </c:pt>
            </c:numLit>
          </c:xVal>
          <c:yVal>
            <c:numLit>
              <c:formatCode>General</c:formatCode>
              <c:ptCount val="2"/>
              <c:pt idx="0">
                <c:v>3.0958350055992959E-2</c:v>
              </c:pt>
              <c:pt idx="1">
                <c:v>3.0612544881648374E-2</c:v>
              </c:pt>
            </c:numLit>
          </c:yVal>
          <c:smooth val="0"/>
          <c:extLst>
            <c:ext xmlns:c16="http://schemas.microsoft.com/office/drawing/2014/chart" uri="{C3380CC4-5D6E-409C-BE32-E72D297353CC}">
              <c16:uniqueId val="{0000002F-C14A-4FA0-9D89-6310253ECE5D}"/>
            </c:ext>
          </c:extLst>
        </c:ser>
        <c:ser>
          <c:idx val="48"/>
          <c:order val="48"/>
          <c:spPr>
            <a:ln w="3175">
              <a:solidFill>
                <a:srgbClr val="000000"/>
              </a:solidFill>
              <a:prstDash val="solid"/>
            </a:ln>
          </c:spPr>
          <c:marker>
            <c:symbol val="none"/>
          </c:marker>
          <c:xVal>
            <c:numLit>
              <c:formatCode>General</c:formatCode>
              <c:ptCount val="2"/>
              <c:pt idx="0">
                <c:v>-3.6781841292440793</c:v>
              </c:pt>
              <c:pt idx="1">
                <c:v>-3.4850775063260775</c:v>
              </c:pt>
            </c:numLit>
          </c:xVal>
          <c:yVal>
            <c:numLit>
              <c:formatCode>General</c:formatCode>
              <c:ptCount val="2"/>
              <c:pt idx="0">
                <c:v>3.0779112966800307E-2</c:v>
              </c:pt>
              <c:pt idx="1">
                <c:v>3.0609300674269268E-2</c:v>
              </c:pt>
            </c:numLit>
          </c:yVal>
          <c:smooth val="0"/>
          <c:extLst>
            <c:ext xmlns:c16="http://schemas.microsoft.com/office/drawing/2014/chart" uri="{C3380CC4-5D6E-409C-BE32-E72D297353CC}">
              <c16:uniqueId val="{00000030-C14A-4FA0-9D89-6310253ECE5D}"/>
            </c:ext>
          </c:extLst>
        </c:ser>
        <c:ser>
          <c:idx val="49"/>
          <c:order val="49"/>
          <c:spPr>
            <a:ln w="3175">
              <a:solidFill>
                <a:srgbClr val="000000"/>
              </a:solidFill>
              <a:prstDash val="solid"/>
            </a:ln>
          </c:spPr>
          <c:marker>
            <c:symbol val="none"/>
          </c:marker>
          <c:xVal>
            <c:numLit>
              <c:formatCode>General</c:formatCode>
              <c:ptCount val="2"/>
              <c:pt idx="0">
                <c:v>-3.9572120420841821</c:v>
              </c:pt>
              <c:pt idx="1">
                <c:v>-3.5613771440812783</c:v>
              </c:pt>
            </c:numLit>
          </c:xVal>
          <c:yVal>
            <c:numLit>
              <c:formatCode>General</c:formatCode>
              <c:ptCount val="2"/>
              <c:pt idx="0">
                <c:v>3.0601764919879974E-2</c:v>
              </c:pt>
              <c:pt idx="1">
                <c:v>3.0268255784711699E-2</c:v>
              </c:pt>
            </c:numLit>
          </c:yVal>
          <c:smooth val="0"/>
          <c:extLst>
            <c:ext xmlns:c16="http://schemas.microsoft.com/office/drawing/2014/chart" uri="{C3380CC4-5D6E-409C-BE32-E72D297353CC}">
              <c16:uniqueId val="{00000031-C14A-4FA0-9D89-6310253ECE5D}"/>
            </c:ext>
          </c:extLst>
        </c:ser>
        <c:ser>
          <c:idx val="50"/>
          <c:order val="50"/>
          <c:spPr>
            <a:ln w="3175">
              <a:solidFill>
                <a:srgbClr val="000000"/>
              </a:solidFill>
              <a:prstDash val="solid"/>
            </a:ln>
          </c:spPr>
          <c:marker>
            <c:symbol val="none"/>
          </c:marker>
          <c:xVal>
            <c:numLit>
              <c:formatCode>General</c:formatCode>
              <c:ptCount val="2"/>
              <c:pt idx="0">
                <c:v>-4.221395542588029</c:v>
              </c:pt>
              <c:pt idx="1">
                <c:v>-4.018923205646856</c:v>
              </c:pt>
            </c:numLit>
          </c:xVal>
          <c:yVal>
            <c:numLit>
              <c:formatCode>General</c:formatCode>
              <c:ptCount val="2"/>
              <c:pt idx="0">
                <c:v>3.0426668742639516E-2</c:v>
              </c:pt>
              <c:pt idx="1">
                <c:v>3.0262933074662973E-2</c:v>
              </c:pt>
            </c:numLit>
          </c:yVal>
          <c:smooth val="0"/>
          <c:extLst>
            <c:ext xmlns:c16="http://schemas.microsoft.com/office/drawing/2014/chart" uri="{C3380CC4-5D6E-409C-BE32-E72D297353CC}">
              <c16:uniqueId val="{00000032-C14A-4FA0-9D89-6310253ECE5D}"/>
            </c:ext>
          </c:extLst>
        </c:ser>
        <c:ser>
          <c:idx val="51"/>
          <c:order val="51"/>
          <c:spPr>
            <a:ln w="3175">
              <a:solidFill>
                <a:srgbClr val="000000"/>
              </a:solidFill>
              <a:prstDash val="solid"/>
            </a:ln>
          </c:spPr>
          <c:marker>
            <c:symbol val="none"/>
          </c:marker>
          <c:xVal>
            <c:numLit>
              <c:formatCode>General</c:formatCode>
              <c:ptCount val="2"/>
              <c:pt idx="0">
                <c:v>-4.4714625924504272</c:v>
              </c:pt>
              <c:pt idx="1">
                <c:v>-4.0578949168486877</c:v>
              </c:pt>
            </c:numLit>
          </c:xVal>
          <c:yVal>
            <c:numLit>
              <c:formatCode>General</c:formatCode>
              <c:ptCount val="2"/>
              <c:pt idx="0">
                <c:v>3.0254129341580477E-2</c:v>
              </c:pt>
              <c:pt idx="1">
                <c:v>2.9932607640146668E-2</c:v>
              </c:pt>
            </c:numLit>
          </c:yVal>
          <c:smooth val="0"/>
          <c:extLst>
            <c:ext xmlns:c16="http://schemas.microsoft.com/office/drawing/2014/chart" uri="{C3380CC4-5D6E-409C-BE32-E72D297353CC}">
              <c16:uniqueId val="{00000033-C14A-4FA0-9D89-6310253ECE5D}"/>
            </c:ext>
          </c:extLst>
        </c:ser>
        <c:ser>
          <c:idx val="52"/>
          <c:order val="52"/>
          <c:spPr>
            <a:ln w="3175">
              <a:solidFill>
                <a:srgbClr val="000000"/>
              </a:solidFill>
              <a:prstDash val="solid"/>
            </a:ln>
          </c:spPr>
          <c:marker>
            <c:symbol val="none"/>
          </c:marker>
          <c:xVal>
            <c:numLit>
              <c:formatCode>General</c:formatCode>
              <c:ptCount val="2"/>
              <c:pt idx="0">
                <c:v>-4.7081316066320262</c:v>
              </c:pt>
              <c:pt idx="1">
                <c:v>-4.4972672685866462</c:v>
              </c:pt>
            </c:numLit>
          </c:xVal>
          <c:yVal>
            <c:numLit>
              <c:formatCode>General</c:formatCode>
              <c:ptCount val="2"/>
              <c:pt idx="0">
                <c:v>3.0084399104368914E-2</c:v>
              </c:pt>
              <c:pt idx="1">
                <c:v>2.9926564637052209E-2</c:v>
              </c:pt>
            </c:numLit>
          </c:yVal>
          <c:smooth val="0"/>
          <c:extLst>
            <c:ext xmlns:c16="http://schemas.microsoft.com/office/drawing/2014/chart" uri="{C3380CC4-5D6E-409C-BE32-E72D297353CC}">
              <c16:uniqueId val="{00000034-C14A-4FA0-9D89-6310253ECE5D}"/>
            </c:ext>
          </c:extLst>
        </c:ser>
        <c:ser>
          <c:idx val="53"/>
          <c:order val="53"/>
          <c:spPr>
            <a:ln w="3175">
              <a:solidFill>
                <a:srgbClr val="000000"/>
              </a:solidFill>
              <a:prstDash val="solid"/>
            </a:ln>
          </c:spPr>
          <c:marker>
            <c:symbol val="none"/>
          </c:marker>
          <c:xVal>
            <c:numLit>
              <c:formatCode>General</c:formatCode>
              <c:ptCount val="2"/>
              <c:pt idx="0">
                <c:v>-4.9321057352905999</c:v>
              </c:pt>
              <c:pt idx="1">
                <c:v>-4.5026538133840264</c:v>
              </c:pt>
            </c:numLit>
          </c:xVal>
          <c:yVal>
            <c:numLit>
              <c:formatCode>General</c:formatCode>
              <c:ptCount val="2"/>
              <c:pt idx="0">
                <c:v>2.9917683192038989E-2</c:v>
              </c:pt>
              <c:pt idx="1">
                <c:v>2.9607763081968677E-2</c:v>
              </c:pt>
            </c:numLit>
          </c:yVal>
          <c:smooth val="0"/>
          <c:extLst>
            <c:ext xmlns:c16="http://schemas.microsoft.com/office/drawing/2014/chart" uri="{C3380CC4-5D6E-409C-BE32-E72D297353CC}">
              <c16:uniqueId val="{00000035-C14A-4FA0-9D89-6310253ECE5D}"/>
            </c:ext>
          </c:extLst>
        </c:ser>
        <c:ser>
          <c:idx val="54"/>
          <c:order val="54"/>
          <c:spPr>
            <a:ln w="3175">
              <a:solidFill>
                <a:srgbClr val="000000"/>
              </a:solidFill>
              <a:prstDash val="solid"/>
            </a:ln>
          </c:spPr>
          <c:marker>
            <c:symbol val="none"/>
          </c:marker>
          <c:xVal>
            <c:numLit>
              <c:formatCode>General</c:formatCode>
              <c:ptCount val="2"/>
              <c:pt idx="0">
                <c:v>-5.1440684242141916</c:v>
              </c:pt>
              <c:pt idx="1">
                <c:v>-4.9256879341415329</c:v>
              </c:pt>
            </c:numLit>
          </c:xVal>
          <c:yVal>
            <c:numLit>
              <c:formatCode>General</c:formatCode>
              <c:ptCount val="2"/>
              <c:pt idx="0">
                <c:v>2.9754144622409617E-2</c:v>
              </c:pt>
              <c:pt idx="1">
                <c:v>2.9602004197885314E-2</c:v>
              </c:pt>
            </c:numLit>
          </c:yVal>
          <c:smooth val="0"/>
          <c:extLst>
            <c:ext xmlns:c16="http://schemas.microsoft.com/office/drawing/2014/chart" uri="{C3380CC4-5D6E-409C-BE32-E72D297353CC}">
              <c16:uniqueId val="{00000036-C14A-4FA0-9D89-6310253ECE5D}"/>
            </c:ext>
          </c:extLst>
        </c:ser>
        <c:ser>
          <c:idx val="55"/>
          <c:order val="55"/>
          <c:spPr>
            <a:ln w="3175">
              <a:solidFill>
                <a:srgbClr val="000000"/>
              </a:solidFill>
              <a:prstDash val="solid"/>
            </a:ln>
          </c:spPr>
          <c:marker>
            <c:symbol val="none"/>
          </c:marker>
          <c:xVal>
            <c:numLit>
              <c:formatCode>General</c:formatCode>
              <c:ptCount val="2"/>
              <c:pt idx="0">
                <c:v>-5.3446800788427877</c:v>
              </c:pt>
              <c:pt idx="1">
                <c:v>-4.9010014554344146</c:v>
              </c:pt>
            </c:numLit>
          </c:xVal>
          <c:yVal>
            <c:numLit>
              <c:formatCode>General</c:formatCode>
              <c:ptCount val="2"/>
              <c:pt idx="0">
                <c:v>2.9593909075847288E-2</c:v>
              </c:pt>
              <c:pt idx="1">
                <c:v>2.9295153590473244E-2</c:v>
              </c:pt>
            </c:numLit>
          </c:yVal>
          <c:smooth val="0"/>
          <c:extLst>
            <c:ext xmlns:c16="http://schemas.microsoft.com/office/drawing/2014/chart" uri="{C3380CC4-5D6E-409C-BE32-E72D297353CC}">
              <c16:uniqueId val="{00000037-C14A-4FA0-9D89-6310253ECE5D}"/>
            </c:ext>
          </c:extLst>
        </c:ser>
        <c:ser>
          <c:idx val="56"/>
          <c:order val="56"/>
          <c:spPr>
            <a:ln w="3175">
              <a:solidFill>
                <a:srgbClr val="000000"/>
              </a:solidFill>
              <a:prstDash val="solid"/>
            </a:ln>
          </c:spPr>
          <c:marker>
            <c:symbol val="none"/>
          </c:marker>
          <c:xVal>
            <c:numLit>
              <c:formatCode>General</c:formatCode>
              <c:ptCount val="2"/>
              <c:pt idx="0">
                <c:v>-5.5345756674157736</c:v>
              </c:pt>
              <c:pt idx="1">
                <c:v>-5.3094622938396387</c:v>
              </c:pt>
            </c:numLit>
          </c:xVal>
          <c:yVal>
            <c:numLit>
              <c:formatCode>General</c:formatCode>
              <c:ptCount val="2"/>
              <c:pt idx="0">
                <c:v>2.9437069379158205E-2</c:v>
              </c:pt>
              <c:pt idx="1">
                <c:v>2.9290395769172719E-2</c:v>
              </c:pt>
            </c:numLit>
          </c:yVal>
          <c:smooth val="0"/>
          <c:extLst>
            <c:ext xmlns:c16="http://schemas.microsoft.com/office/drawing/2014/chart" uri="{C3380CC4-5D6E-409C-BE32-E72D297353CC}">
              <c16:uniqueId val="{00000038-C14A-4FA0-9D89-6310253ECE5D}"/>
            </c:ext>
          </c:extLst>
        </c:ser>
        <c:ser>
          <c:idx val="57"/>
          <c:order val="57"/>
          <c:spPr>
            <a:ln w="3175">
              <a:solidFill>
                <a:srgbClr val="000000"/>
              </a:solidFill>
              <a:prstDash val="solid"/>
            </a:ln>
          </c:spPr>
          <c:marker>
            <c:symbol val="none"/>
          </c:marker>
          <c:xVal>
            <c:numLit>
              <c:formatCode>General</c:formatCode>
              <c:ptCount val="2"/>
              <c:pt idx="0">
                <c:v>-5.714363112392145</c:v>
              </c:pt>
              <c:pt idx="1">
                <c:v>-5.2579367981717251</c:v>
              </c:pt>
            </c:numLit>
          </c:xVal>
          <c:yVal>
            <c:numLit>
              <c:formatCode>General</c:formatCode>
              <c:ptCount val="2"/>
              <c:pt idx="0">
                <c:v>2.9283689643078106E-2</c:v>
              </c:pt>
              <c:pt idx="1">
                <c:v>2.8995631379523688E-2</c:v>
              </c:pt>
            </c:numLit>
          </c:yVal>
          <c:smooth val="0"/>
          <c:extLst>
            <c:ext xmlns:c16="http://schemas.microsoft.com/office/drawing/2014/chart" uri="{C3380CC4-5D6E-409C-BE32-E72D297353CC}">
              <c16:uniqueId val="{00000039-C14A-4FA0-9D89-6310253ECE5D}"/>
            </c:ext>
          </c:extLst>
        </c:ser>
        <c:ser>
          <c:idx val="58"/>
          <c:order val="58"/>
          <c:spPr>
            <a:ln w="3175">
              <a:solidFill>
                <a:srgbClr val="000000"/>
              </a:solidFill>
              <a:prstDash val="solid"/>
            </a:ln>
          </c:spPr>
          <c:marker>
            <c:symbol val="none"/>
          </c:marker>
          <c:xVal>
            <c:numLit>
              <c:formatCode>General</c:formatCode>
              <c:ptCount val="2"/>
              <c:pt idx="0">
                <c:v>-6.0459048297431641</c:v>
              </c:pt>
              <c:pt idx="1">
                <c:v>-5.811975436126902</c:v>
              </c:pt>
            </c:numLit>
          </c:xVal>
          <c:yVal>
            <c:numLit>
              <c:formatCode>General</c:formatCode>
              <c:ptCount val="2"/>
              <c:pt idx="0">
                <c:v>2.8987445253082427E-2</c:v>
              </c:pt>
              <c:pt idx="1">
                <c:v>2.8848523783201695E-2</c:v>
              </c:pt>
            </c:numLit>
          </c:yVal>
          <c:smooth val="0"/>
          <c:extLst>
            <c:ext xmlns:c16="http://schemas.microsoft.com/office/drawing/2014/chart" uri="{C3380CC4-5D6E-409C-BE32-E72D297353CC}">
              <c16:uniqueId val="{0000003A-C14A-4FA0-9D89-6310253ECE5D}"/>
            </c:ext>
          </c:extLst>
        </c:ser>
        <c:ser>
          <c:idx val="59"/>
          <c:order val="59"/>
          <c:spPr>
            <a:ln w="3175">
              <a:solidFill>
                <a:srgbClr val="000000"/>
              </a:solidFill>
              <a:prstDash val="solid"/>
            </a:ln>
          </c:spPr>
          <c:marker>
            <c:symbol val="none"/>
          </c:marker>
          <c:xVal>
            <c:numLit>
              <c:formatCode>General</c:formatCode>
              <c:ptCount val="2"/>
              <c:pt idx="0">
                <c:v>-6.3436038686490521</c:v>
              </c:pt>
              <c:pt idx="1">
                <c:v>-6.1045417329826881</c:v>
              </c:pt>
            </c:numLit>
          </c:xVal>
          <c:yVal>
            <c:numLit>
              <c:formatCode>General</c:formatCode>
              <c:ptCount val="2"/>
              <c:pt idx="0">
                <c:v>2.8705249438049581E-2</c:v>
              </c:pt>
              <c:pt idx="1">
                <c:v>2.8571193413255622E-2</c:v>
              </c:pt>
            </c:numLit>
          </c:yVal>
          <c:smooth val="0"/>
          <c:extLst>
            <c:ext xmlns:c16="http://schemas.microsoft.com/office/drawing/2014/chart" uri="{C3380CC4-5D6E-409C-BE32-E72D297353CC}">
              <c16:uniqueId val="{0000003B-C14A-4FA0-9D89-6310253ECE5D}"/>
            </c:ext>
          </c:extLst>
        </c:ser>
        <c:ser>
          <c:idx val="60"/>
          <c:order val="60"/>
          <c:spPr>
            <a:ln w="3175">
              <a:solidFill>
                <a:srgbClr val="000000"/>
              </a:solidFill>
              <a:prstDash val="solid"/>
            </a:ln>
          </c:spPr>
          <c:marker>
            <c:symbol val="none"/>
          </c:marker>
          <c:xVal>
            <c:numLit>
              <c:formatCode>General</c:formatCode>
              <c:ptCount val="2"/>
              <c:pt idx="0">
                <c:v>-6.6113117622552888</c:v>
              </c:pt>
              <c:pt idx="1">
                <c:v>-6.3676339732508866</c:v>
              </c:pt>
            </c:numLit>
          </c:xVal>
          <c:yVal>
            <c:numLit>
              <c:formatCode>General</c:formatCode>
              <c:ptCount val="2"/>
              <c:pt idx="0">
                <c:v>2.843692272060656E-2</c:v>
              </c:pt>
              <c:pt idx="1">
                <c:v>2.8307493018527138E-2</c:v>
              </c:pt>
            </c:numLit>
          </c:yVal>
          <c:smooth val="0"/>
          <c:extLst>
            <c:ext xmlns:c16="http://schemas.microsoft.com/office/drawing/2014/chart" uri="{C3380CC4-5D6E-409C-BE32-E72D297353CC}">
              <c16:uniqueId val="{0000003C-C14A-4FA0-9D89-6310253ECE5D}"/>
            </c:ext>
          </c:extLst>
        </c:ser>
        <c:ser>
          <c:idx val="61"/>
          <c:order val="61"/>
          <c:spPr>
            <a:ln w="3175">
              <a:solidFill>
                <a:srgbClr val="000000"/>
              </a:solidFill>
              <a:prstDash val="solid"/>
            </a:ln>
          </c:spPr>
          <c:marker>
            <c:symbol val="none"/>
          </c:marker>
          <c:xVal>
            <c:numLit>
              <c:formatCode>General</c:formatCode>
              <c:ptCount val="2"/>
              <c:pt idx="0">
                <c:v>-6.8524545533004888</c:v>
              </c:pt>
              <c:pt idx="1">
                <c:v>-6.6046191299677215</c:v>
              </c:pt>
            </c:numLit>
          </c:xVal>
          <c:yVal>
            <c:numLit>
              <c:formatCode>General</c:formatCode>
              <c:ptCount val="2"/>
              <c:pt idx="0">
                <c:v>2.8182106961193734E-2</c:v>
              </c:pt>
              <c:pt idx="1">
                <c:v>2.80570706342766E-2</c:v>
              </c:pt>
            </c:numLit>
          </c:yVal>
          <c:smooth val="0"/>
          <c:extLst>
            <c:ext xmlns:c16="http://schemas.microsoft.com/office/drawing/2014/chart" uri="{C3380CC4-5D6E-409C-BE32-E72D297353CC}">
              <c16:uniqueId val="{0000003D-C14A-4FA0-9D89-6310253ECE5D}"/>
            </c:ext>
          </c:extLst>
        </c:ser>
        <c:ser>
          <c:idx val="62"/>
          <c:order val="62"/>
          <c:spPr>
            <a:ln w="3175">
              <a:solidFill>
                <a:srgbClr val="000000"/>
              </a:solidFill>
              <a:prstDash val="solid"/>
            </a:ln>
          </c:spPr>
          <c:marker>
            <c:symbol val="none"/>
          </c:marker>
          <c:xVal>
            <c:numLit>
              <c:formatCode>General</c:formatCode>
              <c:ptCount val="2"/>
              <c:pt idx="0">
                <c:v>-7.0700641161397257</c:v>
              </c:pt>
              <c:pt idx="1">
                <c:v>-6.5668894914452514</c:v>
              </c:pt>
            </c:numLit>
          </c:xVal>
          <c:yVal>
            <c:numLit>
              <c:formatCode>General</c:formatCode>
              <c:ptCount val="2"/>
              <c:pt idx="0">
                <c:v>2.7940323066302088E-2</c:v>
              </c:pt>
              <c:pt idx="1">
                <c:v>2.769858778815374E-2</c:v>
              </c:pt>
            </c:numLit>
          </c:yVal>
          <c:smooth val="0"/>
          <c:extLst>
            <c:ext xmlns:c16="http://schemas.microsoft.com/office/drawing/2014/chart" uri="{C3380CC4-5D6E-409C-BE32-E72D297353CC}">
              <c16:uniqueId val="{0000003E-C14A-4FA0-9D89-6310253ECE5D}"/>
            </c:ext>
          </c:extLst>
        </c:ser>
        <c:ser>
          <c:idx val="63"/>
          <c:order val="63"/>
          <c:spPr>
            <a:ln w="3175">
              <a:solidFill>
                <a:srgbClr val="000000"/>
              </a:solidFill>
              <a:prstDash val="solid"/>
            </a:ln>
          </c:spPr>
          <c:marker>
            <c:symbol val="none"/>
          </c:marker>
          <c:xVal>
            <c:numLit>
              <c:formatCode>General</c:formatCode>
              <c:ptCount val="2"/>
              <c:pt idx="0">
                <c:v>-7.2668139627913737</c:v>
              </c:pt>
              <c:pt idx="1">
                <c:v>-7.0118344117087634</c:v>
              </c:pt>
            </c:numLit>
          </c:xVal>
          <c:yVal>
            <c:numLit>
              <c:formatCode>General</c:formatCode>
              <c:ptCount val="2"/>
              <c:pt idx="0">
                <c:v>2.771101497108848E-2</c:v>
              </c:pt>
              <c:pt idx="1">
                <c:v>2.7594100919862818E-2</c:v>
              </c:pt>
            </c:numLit>
          </c:yVal>
          <c:smooth val="0"/>
          <c:extLst>
            <c:ext xmlns:c16="http://schemas.microsoft.com/office/drawing/2014/chart" uri="{C3380CC4-5D6E-409C-BE32-E72D297353CC}">
              <c16:uniqueId val="{0000003F-C14A-4FA0-9D89-6310253ECE5D}"/>
            </c:ext>
          </c:extLst>
        </c:ser>
        <c:ser>
          <c:idx val="64"/>
          <c:order val="64"/>
          <c:spPr>
            <a:ln w="3175">
              <a:solidFill>
                <a:srgbClr val="000000"/>
              </a:solidFill>
              <a:prstDash val="solid"/>
            </a:ln>
          </c:spPr>
          <c:marker>
            <c:symbol val="none"/>
          </c:marker>
          <c:xVal>
            <c:numLit>
              <c:formatCode>General</c:formatCode>
              <c:ptCount val="2"/>
              <c:pt idx="0">
                <c:v>-7.4450561220153224</c:v>
              </c:pt>
              <c:pt idx="1">
                <c:v>-7.1870034302564365</c:v>
              </c:pt>
            </c:numLit>
          </c:xVal>
          <c:yVal>
            <c:numLit>
              <c:formatCode>General</c:formatCode>
              <c:ptCount val="2"/>
              <c:pt idx="0">
                <c:v>2.7493582588817535E-2</c:v>
              </c:pt>
              <c:pt idx="1">
                <c:v>2.7380417371768957E-2</c:v>
              </c:pt>
            </c:numLit>
          </c:yVal>
          <c:smooth val="0"/>
          <c:extLst>
            <c:ext xmlns:c16="http://schemas.microsoft.com/office/drawing/2014/chart" uri="{C3380CC4-5D6E-409C-BE32-E72D297353CC}">
              <c16:uniqueId val="{00000040-C14A-4FA0-9D89-6310253ECE5D}"/>
            </c:ext>
          </c:extLst>
        </c:ser>
        <c:ser>
          <c:idx val="65"/>
          <c:order val="65"/>
          <c:spPr>
            <a:ln w="3175">
              <a:solidFill>
                <a:srgbClr val="000000"/>
              </a:solidFill>
              <a:prstDash val="solid"/>
            </a:ln>
          </c:spPr>
          <c:marker>
            <c:symbol val="none"/>
          </c:marker>
          <c:xVal>
            <c:numLit>
              <c:formatCode>General</c:formatCode>
              <c:ptCount val="2"/>
              <c:pt idx="0">
                <c:v>-7.6068569785848918</c:v>
              </c:pt>
              <c:pt idx="1">
                <c:v>-7.3460146168851512</c:v>
              </c:pt>
            </c:numLit>
          </c:xVal>
          <c:yVal>
            <c:numLit>
              <c:formatCode>General</c:formatCode>
              <c:ptCount val="2"/>
              <c:pt idx="0">
                <c:v>2.7287406065353549E-2</c:v>
              </c:pt>
              <c:pt idx="1">
                <c:v>2.7177795615950903E-2</c:v>
              </c:pt>
            </c:numLit>
          </c:yVal>
          <c:smooth val="0"/>
          <c:extLst>
            <c:ext xmlns:c16="http://schemas.microsoft.com/office/drawing/2014/chart" uri="{C3380CC4-5D6E-409C-BE32-E72D297353CC}">
              <c16:uniqueId val="{00000041-C14A-4FA0-9D89-6310253ECE5D}"/>
            </c:ext>
          </c:extLst>
        </c:ser>
        <c:ser>
          <c:idx val="66"/>
          <c:order val="66"/>
          <c:spPr>
            <a:ln w="3175">
              <a:solidFill>
                <a:srgbClr val="000000"/>
              </a:solidFill>
              <a:prstDash val="solid"/>
            </a:ln>
          </c:spPr>
          <c:marker>
            <c:symbol val="none"/>
          </c:marker>
          <c:xVal>
            <c:numLit>
              <c:formatCode>General</c:formatCode>
              <c:ptCount val="2"/>
              <c:pt idx="0">
                <c:v>-7.7540308580023209</c:v>
              </c:pt>
              <c:pt idx="1">
                <c:v>-7.4906510156229702</c:v>
              </c:pt>
            </c:numLit>
          </c:xVal>
          <c:yVal>
            <c:numLit>
              <c:formatCode>General</c:formatCode>
              <c:ptCount val="2"/>
              <c:pt idx="0">
                <c:v>2.7091863289154108E-2</c:v>
              </c:pt>
              <c:pt idx="1">
                <c:v>2.6985624266927313E-2</c:v>
              </c:pt>
            </c:numLit>
          </c:yVal>
          <c:smooth val="0"/>
          <c:extLst>
            <c:ext xmlns:c16="http://schemas.microsoft.com/office/drawing/2014/chart" uri="{C3380CC4-5D6E-409C-BE32-E72D297353CC}">
              <c16:uniqueId val="{00000042-C14A-4FA0-9D89-6310253ECE5D}"/>
            </c:ext>
          </c:extLst>
        </c:ser>
        <c:ser>
          <c:idx val="67"/>
          <c:order val="67"/>
          <c:spPr>
            <a:ln w="3175">
              <a:solidFill>
                <a:srgbClr val="000000"/>
              </a:solidFill>
              <a:prstDash val="solid"/>
            </a:ln>
          </c:spPr>
          <c:marker>
            <c:symbol val="none"/>
          </c:marker>
          <c:xVal>
            <c:numLit>
              <c:formatCode>General</c:formatCode>
              <c:ptCount val="2"/>
              <c:pt idx="0">
                <c:v>-7.8881707432153219</c:v>
              </c:pt>
              <c:pt idx="1">
                <c:v>-7.3567855451734125</c:v>
              </c:pt>
            </c:numLit>
          </c:xVal>
          <c:yVal>
            <c:numLit>
              <c:formatCode>General</c:formatCode>
              <c:ptCount val="2"/>
              <c:pt idx="0">
                <c:v>2.690634223888767E-2</c:v>
              </c:pt>
              <c:pt idx="1">
                <c:v>2.6700261472029474E-2</c:v>
              </c:pt>
            </c:numLit>
          </c:yVal>
          <c:smooth val="0"/>
          <c:extLst>
            <c:ext xmlns:c16="http://schemas.microsoft.com/office/drawing/2014/chart" uri="{C3380CC4-5D6E-409C-BE32-E72D297353CC}">
              <c16:uniqueId val="{00000043-C14A-4FA0-9D89-6310253ECE5D}"/>
            </c:ext>
          </c:extLst>
        </c:ser>
        <c:ser>
          <c:idx val="68"/>
          <c:order val="68"/>
          <c:spPr>
            <a:ln w="3175">
              <a:solidFill>
                <a:srgbClr val="000000"/>
              </a:solidFill>
              <a:prstDash val="solid"/>
            </a:ln>
          </c:spPr>
          <c:marker>
            <c:symbol val="none"/>
          </c:marker>
          <c:xVal>
            <c:numLit>
              <c:formatCode>General</c:formatCode>
              <c:ptCount val="2"/>
              <c:pt idx="0">
                <c:v>-8.0106758986490121</c:v>
              </c:pt>
              <c:pt idx="1">
                <c:v>-7.742871141775753</c:v>
              </c:pt>
            </c:numLit>
          </c:xVal>
          <c:yVal>
            <c:numLit>
              <c:formatCode>General</c:formatCode>
              <c:ptCount val="2"/>
              <c:pt idx="0">
                <c:v>2.673024942614733E-2</c:v>
              </c:pt>
              <c:pt idx="1">
                <c:v>2.6630245125696513E-2</c:v>
              </c:pt>
            </c:numLit>
          </c:yVal>
          <c:smooth val="0"/>
          <c:extLst>
            <c:ext xmlns:c16="http://schemas.microsoft.com/office/drawing/2014/chart" uri="{C3380CC4-5D6E-409C-BE32-E72D297353CC}">
              <c16:uniqueId val="{00000044-C14A-4FA0-9D89-6310253ECE5D}"/>
            </c:ext>
          </c:extLst>
        </c:ser>
        <c:ser>
          <c:idx val="69"/>
          <c:order val="69"/>
          <c:spPr>
            <a:ln w="3175">
              <a:solidFill>
                <a:srgbClr val="000000"/>
              </a:solidFill>
              <a:prstDash val="solid"/>
            </a:ln>
          </c:spPr>
          <c:marker>
            <c:symbol val="none"/>
          </c:marker>
          <c:xVal>
            <c:numLit>
              <c:formatCode>General</c:formatCode>
              <c:ptCount val="2"/>
              <c:pt idx="0">
                <c:v>-8.1227764177225303</c:v>
              </c:pt>
              <c:pt idx="1">
                <c:v>-7.853038893279038</c:v>
              </c:pt>
            </c:numLit>
          </c:xVal>
          <c:yVal>
            <c:numLit>
              <c:formatCode>General</c:formatCode>
              <c:ptCount val="2"/>
              <c:pt idx="0">
                <c:v>2.6563015417404752E-2</c:v>
              </c:pt>
              <c:pt idx="1">
                <c:v>2.6465894461932257E-2</c:v>
              </c:pt>
            </c:numLit>
          </c:yVal>
          <c:smooth val="0"/>
          <c:extLst>
            <c:ext xmlns:c16="http://schemas.microsoft.com/office/drawing/2014/chart" uri="{C3380CC4-5D6E-409C-BE32-E72D297353CC}">
              <c16:uniqueId val="{00000045-C14A-4FA0-9D89-6310253ECE5D}"/>
            </c:ext>
          </c:extLst>
        </c:ser>
        <c:ser>
          <c:idx val="70"/>
          <c:order val="70"/>
          <c:spPr>
            <a:ln w="3175">
              <a:solidFill>
                <a:srgbClr val="000000"/>
              </a:solidFill>
              <a:prstDash val="solid"/>
            </a:ln>
          </c:spPr>
          <c:marker>
            <c:symbol val="none"/>
          </c:marker>
          <c:xVal>
            <c:numLit>
              <c:formatCode>General</c:formatCode>
              <c:ptCount val="2"/>
              <c:pt idx="0">
                <c:v>-8.2255548505858034</c:v>
              </c:pt>
              <c:pt idx="1">
                <c:v>-7.9540452841963916</c:v>
              </c:pt>
            </c:numLit>
          </c:xVal>
          <c:yVal>
            <c:numLit>
              <c:formatCode>General</c:formatCode>
              <c:ptCount val="2"/>
              <c:pt idx="0">
                <c:v>2.640409819616079E-2</c:v>
              </c:pt>
              <c:pt idx="1">
                <c:v>2.6309717192778709E-2</c:v>
              </c:pt>
            </c:numLit>
          </c:yVal>
          <c:smooth val="0"/>
          <c:extLst>
            <c:ext xmlns:c16="http://schemas.microsoft.com/office/drawing/2014/chart" uri="{C3380CC4-5D6E-409C-BE32-E72D297353CC}">
              <c16:uniqueId val="{00000046-C14A-4FA0-9D89-6310253ECE5D}"/>
            </c:ext>
          </c:extLst>
        </c:ser>
        <c:ser>
          <c:idx val="71"/>
          <c:order val="71"/>
          <c:spPr>
            <a:ln w="3175">
              <a:solidFill>
                <a:srgbClr val="000000"/>
              </a:solidFill>
              <a:prstDash val="solid"/>
            </a:ln>
          </c:spPr>
          <c:marker>
            <c:symbol val="none"/>
          </c:marker>
          <c:xVal>
            <c:numLit>
              <c:formatCode>General</c:formatCode>
              <c:ptCount val="2"/>
              <c:pt idx="0">
                <c:v>-8.3199651431045574</c:v>
              </c:pt>
              <c:pt idx="1">
                <c:v>-8.0468278130510296</c:v>
              </c:pt>
            </c:numLit>
          </c:xVal>
          <c:yVal>
            <c:numLit>
              <c:formatCode>General</c:formatCode>
              <c:ptCount val="2"/>
              <c:pt idx="0">
                <c:v>2.6252984947883497E-2</c:v>
              </c:pt>
              <c:pt idx="1">
                <c:v>2.616120934533378E-2</c:v>
              </c:pt>
            </c:numLit>
          </c:yVal>
          <c:smooth val="0"/>
          <c:extLst>
            <c:ext xmlns:c16="http://schemas.microsoft.com/office/drawing/2014/chart" uri="{C3380CC4-5D6E-409C-BE32-E72D297353CC}">
              <c16:uniqueId val="{00000047-C14A-4FA0-9D89-6310253ECE5D}"/>
            </c:ext>
          </c:extLst>
        </c:ser>
        <c:ser>
          <c:idx val="72"/>
          <c:order val="72"/>
          <c:spPr>
            <a:ln w="3175">
              <a:solidFill>
                <a:srgbClr val="000000"/>
              </a:solidFill>
              <a:prstDash val="solid"/>
            </a:ln>
          </c:spPr>
          <c:marker>
            <c:symbol val="none"/>
          </c:marker>
          <c:xVal>
            <c:numLit>
              <c:formatCode>General</c:formatCode>
              <c:ptCount val="2"/>
              <c:pt idx="0">
                <c:v>-8.4068491498525173</c:v>
              </c:pt>
              <c:pt idx="1">
                <c:v>-7.8575784895127745</c:v>
              </c:pt>
            </c:numLit>
          </c:xVal>
          <c:yVal>
            <c:numLit>
              <c:formatCode>General</c:formatCode>
              <c:ptCount val="2"/>
              <c:pt idx="0">
                <c:v>2.610919271000376E-2</c:v>
              </c:pt>
              <c:pt idx="1">
                <c:v>2.5930599857934666E-2</c:v>
              </c:pt>
            </c:numLit>
          </c:yVal>
          <c:smooth val="0"/>
          <c:extLst>
            <c:ext xmlns:c16="http://schemas.microsoft.com/office/drawing/2014/chart" uri="{C3380CC4-5D6E-409C-BE32-E72D297353CC}">
              <c16:uniqueId val="{00000048-C14A-4FA0-9D89-6310253ECE5D}"/>
            </c:ext>
          </c:extLst>
        </c:ser>
        <c:ser>
          <c:idx val="73"/>
          <c:order val="73"/>
          <c:spPr>
            <a:ln w="3175">
              <a:solidFill>
                <a:srgbClr val="000000"/>
              </a:solidFill>
              <a:prstDash val="solid"/>
            </a:ln>
          </c:spPr>
          <c:marker>
            <c:symbol val="none"/>
          </c:marker>
          <c:xVal>
            <c:numLit>
              <c:formatCode>General</c:formatCode>
              <c:ptCount val="2"/>
              <c:pt idx="0">
                <c:v>-8.486950989224928</c:v>
              </c:pt>
              <c:pt idx="1">
                <c:v>-8.2109345928589796</c:v>
              </c:pt>
            </c:numLit>
          </c:xVal>
          <c:yVal>
            <c:numLit>
              <c:formatCode>General</c:formatCode>
              <c:ptCount val="2"/>
              <c:pt idx="0">
                <c:v>2.597226822015037E-2</c:v>
              </c:pt>
              <c:pt idx="1">
                <c:v>2.5885332561182261E-2</c:v>
              </c:pt>
            </c:numLit>
          </c:yVal>
          <c:smooth val="0"/>
          <c:extLst>
            <c:ext xmlns:c16="http://schemas.microsoft.com/office/drawing/2014/chart" uri="{C3380CC4-5D6E-409C-BE32-E72D297353CC}">
              <c16:uniqueId val="{00000049-C14A-4FA0-9D89-6310253ECE5D}"/>
            </c:ext>
          </c:extLst>
        </c:ser>
        <c:ser>
          <c:idx val="74"/>
          <c:order val="74"/>
          <c:spPr>
            <a:ln w="3175">
              <a:solidFill>
                <a:srgbClr val="000000"/>
              </a:solidFill>
              <a:prstDash val="solid"/>
            </a:ln>
          </c:spPr>
          <c:marker>
            <c:symbol val="none"/>
          </c:marker>
          <c:xVal>
            <c:numLit>
              <c:formatCode>General</c:formatCode>
              <c:ptCount val="2"/>
              <c:pt idx="0">
                <c:v>-8.5609294985956481</c:v>
              </c:pt>
              <c:pt idx="1">
                <c:v>-8.2836376106888263</c:v>
              </c:pt>
            </c:numLit>
          </c:xVal>
          <c:yVal>
            <c:numLit>
              <c:formatCode>General</c:formatCode>
              <c:ptCount val="2"/>
              <c:pt idx="0">
                <c:v>2.5841787211775113E-2</c:v>
              </c:pt>
              <c:pt idx="1">
                <c:v>2.57571012253652E-2</c:v>
              </c:pt>
            </c:numLit>
          </c:yVal>
          <c:smooth val="0"/>
          <c:extLst>
            <c:ext xmlns:c16="http://schemas.microsoft.com/office/drawing/2014/chart" uri="{C3380CC4-5D6E-409C-BE32-E72D297353CC}">
              <c16:uniqueId val="{0000004A-C14A-4FA0-9D89-6310253ECE5D}"/>
            </c:ext>
          </c:extLst>
        </c:ser>
        <c:ser>
          <c:idx val="75"/>
          <c:order val="75"/>
          <c:spPr>
            <a:ln w="3175">
              <a:solidFill>
                <a:srgbClr val="000000"/>
              </a:solidFill>
              <a:prstDash val="solid"/>
            </a:ln>
          </c:spPr>
          <c:marker>
            <c:symbol val="none"/>
          </c:marker>
          <c:xVal>
            <c:numLit>
              <c:formatCode>General</c:formatCode>
              <c:ptCount val="2"/>
              <c:pt idx="0">
                <c:v>-8.6293690287967184</c:v>
              </c:pt>
              <c:pt idx="1">
                <c:v>-8.350897148989878</c:v>
              </c:pt>
            </c:numLit>
          </c:xVal>
          <c:yVal>
            <c:numLit>
              <c:formatCode>General</c:formatCode>
              <c:ptCount val="2"/>
              <c:pt idx="0">
                <c:v>2.5717353342065267E-2</c:v>
              </c:pt>
              <c:pt idx="1">
                <c:v>2.5634812767202073E-2</c:v>
              </c:pt>
            </c:numLit>
          </c:yVal>
          <c:smooth val="0"/>
          <c:extLst>
            <c:ext xmlns:c16="http://schemas.microsoft.com/office/drawing/2014/chart" uri="{C3380CC4-5D6E-409C-BE32-E72D297353CC}">
              <c16:uniqueId val="{0000004B-C14A-4FA0-9D89-6310253ECE5D}"/>
            </c:ext>
          </c:extLst>
        </c:ser>
        <c:ser>
          <c:idx val="76"/>
          <c:order val="76"/>
          <c:spPr>
            <a:ln w="3175">
              <a:solidFill>
                <a:srgbClr val="000000"/>
              </a:solidFill>
              <a:prstDash val="solid"/>
            </a:ln>
          </c:spPr>
          <c:marker>
            <c:symbol val="none"/>
          </c:marker>
          <c:xVal>
            <c:numLit>
              <c:formatCode>General</c:formatCode>
              <c:ptCount val="2"/>
              <c:pt idx="0">
                <c:v>-8.6927887946424995</c:v>
              </c:pt>
              <c:pt idx="1">
                <c:v>-8.4132234705969378</c:v>
              </c:pt>
            </c:numLit>
          </c:xVal>
          <c:yVal>
            <c:numLit>
              <c:formatCode>General</c:formatCode>
              <c:ptCount val="2"/>
              <c:pt idx="0">
                <c:v>2.5598596888211325E-2</c:v>
              </c:pt>
              <c:pt idx="1">
                <c:v>2.5518103838414578E-2</c:v>
              </c:pt>
            </c:numLit>
          </c:yVal>
          <c:smooth val="0"/>
          <c:extLst>
            <c:ext xmlns:c16="http://schemas.microsoft.com/office/drawing/2014/chart" uri="{C3380CC4-5D6E-409C-BE32-E72D297353CC}">
              <c16:uniqueId val="{0000004C-C14A-4FA0-9D89-6310253ECE5D}"/>
            </c:ext>
          </c:extLst>
        </c:ser>
        <c:ser>
          <c:idx val="77"/>
          <c:order val="77"/>
          <c:spPr>
            <a:ln w="3175">
              <a:solidFill>
                <a:srgbClr val="000000"/>
              </a:solidFill>
              <a:prstDash val="solid"/>
            </a:ln>
          </c:spPr>
          <c:marker>
            <c:symbol val="none"/>
          </c:marker>
          <c:xVal>
            <c:numLit>
              <c:formatCode>General</c:formatCode>
              <c:ptCount val="2"/>
              <c:pt idx="0">
                <c:v>-8.7516509745654023</c:v>
              </c:pt>
              <c:pt idx="1">
                <c:v>-8.4710707853487577</c:v>
              </c:pt>
            </c:numLit>
          </c:xVal>
          <c:yVal>
            <c:numLit>
              <c:formatCode>General</c:formatCode>
              <c:ptCount val="2"/>
              <c:pt idx="0">
                <c:v>2.5485173311188873E-2</c:v>
              </c:pt>
              <c:pt idx="1">
                <c:v>2.5406635840306308E-2</c:v>
              </c:pt>
            </c:numLit>
          </c:yVal>
          <c:smooth val="0"/>
          <c:extLst>
            <c:ext xmlns:c16="http://schemas.microsoft.com/office/drawing/2014/chart" uri="{C3380CC4-5D6E-409C-BE32-E72D297353CC}">
              <c16:uniqueId val="{0000004D-C14A-4FA0-9D89-6310253ECE5D}"/>
            </c:ext>
          </c:extLst>
        </c:ser>
        <c:ser>
          <c:idx val="78"/>
          <c:order val="78"/>
          <c:spPr>
            <a:ln w="3175">
              <a:solidFill>
                <a:srgbClr val="000000"/>
              </a:solidFill>
              <a:prstDash val="solid"/>
            </a:ln>
          </c:spPr>
          <c:marker>
            <c:symbol val="none"/>
          </c:marker>
          <c:xVal>
            <c:numLit>
              <c:formatCode>General</c:formatCode>
              <c:ptCount val="2"/>
              <c:pt idx="0">
                <c:v>-8.8573072883626267</c:v>
              </c:pt>
              <c:pt idx="1">
                <c:v>-8.5749054385632704</c:v>
              </c:pt>
            </c:numLit>
          </c:xVal>
          <c:yVal>
            <c:numLit>
              <c:formatCode>General</c:formatCode>
              <c:ptCount val="2"/>
              <c:pt idx="0">
                <c:v>2.5273063556165737E-2</c:v>
              </c:pt>
              <c:pt idx="1">
                <c:v>2.519818315002495E-2</c:v>
              </c:pt>
            </c:numLit>
          </c:yVal>
          <c:smooth val="0"/>
          <c:extLst>
            <c:ext xmlns:c16="http://schemas.microsoft.com/office/drawing/2014/chart" uri="{C3380CC4-5D6E-409C-BE32-E72D297353CC}">
              <c16:uniqueId val="{0000004E-C14A-4FA0-9D89-6310253ECE5D}"/>
            </c:ext>
          </c:extLst>
        </c:ser>
        <c:ser>
          <c:idx val="79"/>
          <c:order val="79"/>
          <c:spPr>
            <a:ln w="3175">
              <a:solidFill>
                <a:srgbClr val="000000"/>
              </a:solidFill>
              <a:prstDash val="solid"/>
            </a:ln>
          </c:spPr>
          <c:marker>
            <c:symbol val="none"/>
          </c:marker>
          <c:xVal>
            <c:numLit>
              <c:formatCode>General</c:formatCode>
              <c:ptCount val="2"/>
              <c:pt idx="0">
                <c:v>-8.9491390821074628</c:v>
              </c:pt>
              <c:pt idx="1">
                <c:v>-8.6651539255194017</c:v>
              </c:pt>
            </c:numLit>
          </c:xVal>
          <c:yVal>
            <c:numLit>
              <c:formatCode>General</c:formatCode>
              <c:ptCount val="2"/>
              <c:pt idx="0">
                <c:v>2.5078714550976496E-2</c:v>
              </c:pt>
              <c:pt idx="1">
                <c:v>2.5007184989752764E-2</c:v>
              </c:pt>
            </c:numLit>
          </c:yVal>
          <c:smooth val="0"/>
          <c:extLst>
            <c:ext xmlns:c16="http://schemas.microsoft.com/office/drawing/2014/chart" uri="{C3380CC4-5D6E-409C-BE32-E72D297353CC}">
              <c16:uniqueId val="{0000004F-C14A-4FA0-9D89-6310253ECE5D}"/>
            </c:ext>
          </c:extLst>
        </c:ser>
        <c:ser>
          <c:idx val="80"/>
          <c:order val="80"/>
          <c:spPr>
            <a:ln w="3175">
              <a:solidFill>
                <a:srgbClr val="000000"/>
              </a:solidFill>
              <a:prstDash val="solid"/>
            </a:ln>
          </c:spPr>
          <c:marker>
            <c:symbol val="none"/>
          </c:marker>
          <c:xVal>
            <c:numLit>
              <c:formatCode>General</c:formatCode>
              <c:ptCount val="2"/>
              <c:pt idx="0">
                <c:v>-9.0293977395002667</c:v>
              </c:pt>
              <c:pt idx="1">
                <c:v>-8.7440288129571595</c:v>
              </c:pt>
            </c:numLit>
          </c:xVal>
          <c:yVal>
            <c:numLit>
              <c:formatCode>General</c:formatCode>
              <c:ptCount val="2"/>
              <c:pt idx="0">
                <c:v>2.4900125447290717E-2</c:v>
              </c:pt>
              <c:pt idx="1">
                <c:v>2.4831675008544326E-2</c:v>
              </c:pt>
            </c:numLit>
          </c:yVal>
          <c:smooth val="0"/>
          <c:extLst>
            <c:ext xmlns:c16="http://schemas.microsoft.com/office/drawing/2014/chart" uri="{C3380CC4-5D6E-409C-BE32-E72D297353CC}">
              <c16:uniqueId val="{00000050-C14A-4FA0-9D89-6310253ECE5D}"/>
            </c:ext>
          </c:extLst>
        </c:ser>
        <c:ser>
          <c:idx val="81"/>
          <c:order val="81"/>
          <c:spPr>
            <a:ln w="3175">
              <a:solidFill>
                <a:srgbClr val="000000"/>
              </a:solidFill>
              <a:prstDash val="solid"/>
            </a:ln>
          </c:spPr>
          <c:marker>
            <c:symbol val="none"/>
          </c:marker>
          <c:xVal>
            <c:numLit>
              <c:formatCode>General</c:formatCode>
              <c:ptCount val="2"/>
              <c:pt idx="0">
                <c:v>-9.0999057043833709</c:v>
              </c:pt>
              <c:pt idx="1">
                <c:v>-8.8133211232733135</c:v>
              </c:pt>
            </c:numLit>
          </c:xVal>
          <c:yVal>
            <c:numLit>
              <c:formatCode>General</c:formatCode>
              <c:ptCount val="2"/>
              <c:pt idx="0">
                <c:v>2.4735561478973527E-2</c:v>
              </c:pt>
              <c:pt idx="1">
                <c:v>2.466994835002571E-2</c:v>
              </c:pt>
            </c:numLit>
          </c:yVal>
          <c:smooth val="0"/>
          <c:extLst>
            <c:ext xmlns:c16="http://schemas.microsoft.com/office/drawing/2014/chart" uri="{C3380CC4-5D6E-409C-BE32-E72D297353CC}">
              <c16:uniqueId val="{00000051-C14A-4FA0-9D89-6310253ECE5D}"/>
            </c:ext>
          </c:extLst>
        </c:ser>
        <c:ser>
          <c:idx val="82"/>
          <c:order val="82"/>
          <c:spPr>
            <a:ln w="3175">
              <a:solidFill>
                <a:srgbClr val="000000"/>
              </a:solidFill>
              <a:prstDash val="solid"/>
            </a:ln>
          </c:spPr>
          <c:marker>
            <c:symbol val="none"/>
          </c:marker>
          <c:xVal>
            <c:numLit>
              <c:formatCode>General</c:formatCode>
              <c:ptCount val="2"/>
              <c:pt idx="0">
                <c:v>-9.1621483944066782</c:v>
              </c:pt>
              <c:pt idx="1">
                <c:v>-8.5868329325305854</c:v>
              </c:pt>
            </c:numLit>
          </c:xVal>
          <c:yVal>
            <c:numLit>
              <c:formatCode>General</c:formatCode>
              <c:ptCount val="2"/>
              <c:pt idx="0">
                <c:v>2.4583516169954973E-2</c:v>
              </c:pt>
              <c:pt idx="1">
                <c:v>2.4457532853749627E-2</c:v>
              </c:pt>
            </c:numLit>
          </c:yVal>
          <c:smooth val="0"/>
          <c:extLst>
            <c:ext xmlns:c16="http://schemas.microsoft.com/office/drawing/2014/chart" uri="{C3380CC4-5D6E-409C-BE32-E72D297353CC}">
              <c16:uniqueId val="{00000052-C14A-4FA0-9D89-6310253ECE5D}"/>
            </c:ext>
          </c:extLst>
        </c:ser>
        <c:ser>
          <c:idx val="83"/>
          <c:order val="83"/>
          <c:spPr>
            <a:ln w="3175">
              <a:solidFill>
                <a:srgbClr val="000000"/>
              </a:solidFill>
              <a:prstDash val="solid"/>
            </a:ln>
          </c:spPr>
          <c:marker>
            <c:symbol val="none"/>
          </c:marker>
          <c:xVal>
            <c:numLit>
              <c:formatCode>General</c:formatCode>
              <c:ptCount val="2"/>
              <c:pt idx="0">
                <c:v>-9.2890805085034174</c:v>
              </c:pt>
              <c:pt idx="1">
                <c:v>-8.9992342928395654</c:v>
              </c:pt>
            </c:numLit>
          </c:xVal>
          <c:yVal>
            <c:numLit>
              <c:formatCode>General</c:formatCode>
              <c:ptCount val="2"/>
              <c:pt idx="0">
                <c:v>2.4249973889194042E-2</c:v>
              </c:pt>
              <c:pt idx="1">
                <c:v>2.4192732960070008E-2</c:v>
              </c:pt>
            </c:numLit>
          </c:yVal>
          <c:smooth val="0"/>
          <c:extLst>
            <c:ext xmlns:c16="http://schemas.microsoft.com/office/drawing/2014/chart" uri="{C3380CC4-5D6E-409C-BE32-E72D297353CC}">
              <c16:uniqueId val="{00000053-C14A-4FA0-9D89-6310253ECE5D}"/>
            </c:ext>
          </c:extLst>
        </c:ser>
        <c:ser>
          <c:idx val="84"/>
          <c:order val="84"/>
          <c:spPr>
            <a:ln w="3175">
              <a:solidFill>
                <a:srgbClr val="000000"/>
              </a:solidFill>
              <a:prstDash val="solid"/>
            </a:ln>
          </c:spPr>
          <c:marker>
            <c:symbol val="none"/>
          </c:marker>
          <c:xVal>
            <c:numLit>
              <c:formatCode>General</c:formatCode>
              <c:ptCount val="2"/>
              <c:pt idx="0">
                <c:v>-9.3854262264463078</c:v>
              </c:pt>
              <c:pt idx="1">
                <c:v>-8.8024115289826401</c:v>
              </c:pt>
            </c:numLit>
          </c:xVal>
          <c:yVal>
            <c:numLit>
              <c:formatCode>General</c:formatCode>
              <c:ptCount val="2"/>
              <c:pt idx="0">
                <c:v>2.3970556092921879E-2</c:v>
              </c:pt>
              <c:pt idx="1">
                <c:v>2.3865709331096985E-2</c:v>
              </c:pt>
            </c:numLit>
          </c:yVal>
          <c:smooth val="0"/>
          <c:extLst>
            <c:ext xmlns:c16="http://schemas.microsoft.com/office/drawing/2014/chart" uri="{C3380CC4-5D6E-409C-BE32-E72D297353CC}">
              <c16:uniqueId val="{00000054-C14A-4FA0-9D89-6310253ECE5D}"/>
            </c:ext>
          </c:extLst>
        </c:ser>
        <c:ser>
          <c:idx val="85"/>
          <c:order val="85"/>
          <c:spPr>
            <a:ln w="3175">
              <a:solidFill>
                <a:srgbClr val="000000"/>
              </a:solidFill>
              <a:prstDash val="solid"/>
            </a:ln>
          </c:spPr>
          <c:marker>
            <c:symbol val="none"/>
          </c:marker>
          <c:xVal>
            <c:numLit>
              <c:formatCode>General</c:formatCode>
              <c:ptCount val="2"/>
              <c:pt idx="0">
                <c:v>-9.4601719381821585</c:v>
              </c:pt>
              <c:pt idx="1">
                <c:v>-9.1673758702824664</c:v>
              </c:pt>
            </c:numLit>
          </c:xVal>
          <c:yVal>
            <c:numLit>
              <c:formatCode>General</c:formatCode>
              <c:ptCount val="2"/>
              <c:pt idx="0">
                <c:v>2.3733423854580125E-2</c:v>
              </c:pt>
              <c:pt idx="1">
                <c:v>2.3685088960535641E-2</c:v>
              </c:pt>
            </c:numLit>
          </c:yVal>
          <c:smooth val="0"/>
          <c:extLst>
            <c:ext xmlns:c16="http://schemas.microsoft.com/office/drawing/2014/chart" uri="{C3380CC4-5D6E-409C-BE32-E72D297353CC}">
              <c16:uniqueId val="{00000055-C14A-4FA0-9D89-6310253ECE5D}"/>
            </c:ext>
          </c:extLst>
        </c:ser>
        <c:ser>
          <c:idx val="86"/>
          <c:order val="86"/>
          <c:spPr>
            <a:ln w="3175">
              <a:solidFill>
                <a:srgbClr val="000000"/>
              </a:solidFill>
              <a:prstDash val="solid"/>
            </a:ln>
          </c:spPr>
          <c:marker>
            <c:symbol val="none"/>
          </c:marker>
          <c:xVal>
            <c:numLit>
              <c:formatCode>General</c:formatCode>
              <c:ptCount val="2"/>
              <c:pt idx="0">
                <c:v>-9.5192631793601503</c:v>
              </c:pt>
              <c:pt idx="1">
                <c:v>-8.9316334145546268</c:v>
              </c:pt>
            </c:numLit>
          </c:xVal>
          <c:yVal>
            <c:numLit>
              <c:formatCode>General</c:formatCode>
              <c:ptCount val="2"/>
              <c:pt idx="0">
                <c:v>2.3529865143833231E-2</c:v>
              </c:pt>
              <c:pt idx="1">
                <c:v>2.3440214621632083E-2</c:v>
              </c:pt>
            </c:numLit>
          </c:yVal>
          <c:smooth val="0"/>
          <c:extLst>
            <c:ext xmlns:c16="http://schemas.microsoft.com/office/drawing/2014/chart" uri="{C3380CC4-5D6E-409C-BE32-E72D297353CC}">
              <c16:uniqueId val="{00000056-C14A-4FA0-9D89-6310253ECE5D}"/>
            </c:ext>
          </c:extLst>
        </c:ser>
        <c:ser>
          <c:idx val="87"/>
          <c:order val="87"/>
          <c:spPr>
            <a:ln w="3175">
              <a:solidFill>
                <a:srgbClr val="000000"/>
              </a:solidFill>
              <a:prstDash val="solid"/>
            </a:ln>
          </c:spPr>
          <c:marker>
            <c:symbol val="none"/>
          </c:marker>
          <c:xVal>
            <c:numLit>
              <c:formatCode>General</c:formatCode>
              <c:ptCount val="2"/>
              <c:pt idx="0">
                <c:v>-9.5667494735594438</c:v>
              </c:pt>
              <c:pt idx="1">
                <c:v>-9.2721158619463502</c:v>
              </c:pt>
            </c:numLit>
          </c:xVal>
          <c:yVal>
            <c:numLit>
              <c:formatCode>General</c:formatCode>
              <c:ptCount val="2"/>
              <c:pt idx="0">
                <c:v>2.3353355225599216E-2</c:v>
              </c:pt>
              <c:pt idx="1">
                <c:v>2.3311573238950951E-2</c:v>
              </c:pt>
            </c:numLit>
          </c:yVal>
          <c:smooth val="0"/>
          <c:extLst>
            <c:ext xmlns:c16="http://schemas.microsoft.com/office/drawing/2014/chart" uri="{C3380CC4-5D6E-409C-BE32-E72D297353CC}">
              <c16:uniqueId val="{00000057-C14A-4FA0-9D89-6310253ECE5D}"/>
            </c:ext>
          </c:extLst>
        </c:ser>
        <c:ser>
          <c:idx val="88"/>
          <c:order val="88"/>
          <c:spPr>
            <a:ln w="3175">
              <a:solidFill>
                <a:srgbClr val="000000"/>
              </a:solidFill>
              <a:prstDash val="solid"/>
            </a:ln>
          </c:spPr>
          <c:marker>
            <c:symbol val="none"/>
          </c:marker>
          <c:xVal>
            <c:numLit>
              <c:formatCode>General</c:formatCode>
              <c:ptCount val="2"/>
              <c:pt idx="0">
                <c:v>-9.6054604899925025</c:v>
              </c:pt>
              <c:pt idx="1">
                <c:v>-9.0148584041306901</c:v>
              </c:pt>
            </c:numLit>
          </c:xVal>
          <c:yVal>
            <c:numLit>
              <c:formatCode>General</c:formatCode>
              <c:ptCount val="2"/>
              <c:pt idx="0">
                <c:v>2.3198926159195745E-2</c:v>
              </c:pt>
              <c:pt idx="1">
                <c:v>2.3120687326120031E-2</c:v>
              </c:pt>
            </c:numLit>
          </c:yVal>
          <c:smooth val="0"/>
          <c:extLst>
            <c:ext xmlns:c16="http://schemas.microsoft.com/office/drawing/2014/chart" uri="{C3380CC4-5D6E-409C-BE32-E72D297353CC}">
              <c16:uniqueId val="{00000058-C14A-4FA0-9D89-6310253ECE5D}"/>
            </c:ext>
          </c:extLst>
        </c:ser>
        <c:ser>
          <c:idx val="89"/>
          <c:order val="89"/>
          <c:spPr>
            <a:ln w="3175">
              <a:solidFill>
                <a:srgbClr val="000000"/>
              </a:solidFill>
              <a:prstDash val="solid"/>
            </a:ln>
          </c:spPr>
          <c:marker>
            <c:symbol val="none"/>
          </c:marker>
          <c:xVal>
            <c:numLit>
              <c:formatCode>General</c:formatCode>
              <c:ptCount val="2"/>
              <c:pt idx="0">
                <c:v>-9.6640995467395676</c:v>
              </c:pt>
              <c:pt idx="1">
                <c:v>-9.3677874855888845</c:v>
              </c:pt>
            </c:numLit>
          </c:xVal>
          <c:yVal>
            <c:numLit>
              <c:formatCode>General</c:formatCode>
              <c:ptCount val="2"/>
              <c:pt idx="0">
                <c:v>2.294177753595765E-2</c:v>
              </c:pt>
              <c:pt idx="1">
                <c:v>2.2907091716372171E-2</c:v>
              </c:pt>
            </c:numLit>
          </c:yVal>
          <c:smooth val="0"/>
          <c:extLst>
            <c:ext xmlns:c16="http://schemas.microsoft.com/office/drawing/2014/chart" uri="{C3380CC4-5D6E-409C-BE32-E72D297353CC}">
              <c16:uniqueId val="{00000059-C14A-4FA0-9D89-6310253ECE5D}"/>
            </c:ext>
          </c:extLst>
        </c:ser>
        <c:ser>
          <c:idx val="90"/>
          <c:order val="90"/>
          <c:spPr>
            <a:ln w="3175">
              <a:solidFill>
                <a:srgbClr val="000000"/>
              </a:solidFill>
              <a:prstDash val="solid"/>
            </a:ln>
          </c:spPr>
          <c:marker>
            <c:symbol val="none"/>
          </c:marker>
          <c:xVal>
            <c:numLit>
              <c:formatCode>General</c:formatCode>
              <c:ptCount val="2"/>
              <c:pt idx="0">
                <c:v>-9.7057408037734945</c:v>
              </c:pt>
              <c:pt idx="1">
                <c:v>-9.4087107899153306</c:v>
              </c:pt>
            </c:numLit>
          </c:xVal>
          <c:yVal>
            <c:numLit>
              <c:formatCode>General</c:formatCode>
              <c:ptCount val="2"/>
              <c:pt idx="0">
                <c:v>2.2736452704669185E-2</c:v>
              </c:pt>
              <c:pt idx="1">
                <c:v>2.2705306968381786E-2</c:v>
              </c:pt>
            </c:numLit>
          </c:yVal>
          <c:smooth val="0"/>
          <c:extLst>
            <c:ext xmlns:c16="http://schemas.microsoft.com/office/drawing/2014/chart" uri="{C3380CC4-5D6E-409C-BE32-E72D297353CC}">
              <c16:uniqueId val="{0000005A-C14A-4FA0-9D89-6310253ECE5D}"/>
            </c:ext>
          </c:extLst>
        </c:ser>
        <c:ser>
          <c:idx val="91"/>
          <c:order val="91"/>
          <c:spPr>
            <a:ln w="3175">
              <a:solidFill>
                <a:srgbClr val="000000"/>
              </a:solidFill>
              <a:prstDash val="solid"/>
            </a:ln>
          </c:spPr>
          <c:marker>
            <c:symbol val="none"/>
          </c:marker>
          <c:xVal>
            <c:numLit>
              <c:formatCode>General</c:formatCode>
              <c:ptCount val="2"/>
              <c:pt idx="0">
                <c:v>-9.7363488755763594</c:v>
              </c:pt>
              <c:pt idx="1">
                <c:v>-9.4387911363422834</c:v>
              </c:pt>
            </c:numLit>
          </c:xVal>
          <c:yVal>
            <c:numLit>
              <c:formatCode>General</c:formatCode>
              <c:ptCount val="2"/>
              <c:pt idx="0">
                <c:v>2.2568842643838953E-2</c:v>
              </c:pt>
              <c:pt idx="1">
                <c:v>2.2540586736186558E-2</c:v>
              </c:pt>
            </c:numLit>
          </c:yVal>
          <c:smooth val="0"/>
          <c:extLst>
            <c:ext xmlns:c16="http://schemas.microsoft.com/office/drawing/2014/chart" uri="{C3380CC4-5D6E-409C-BE32-E72D297353CC}">
              <c16:uniqueId val="{0000005B-C14A-4FA0-9D89-6310253ECE5D}"/>
            </c:ext>
          </c:extLst>
        </c:ser>
        <c:ser>
          <c:idx val="92"/>
          <c:order val="92"/>
          <c:spPr>
            <a:ln w="3175">
              <a:solidFill>
                <a:srgbClr val="000000"/>
              </a:solidFill>
              <a:prstDash val="solid"/>
            </a:ln>
          </c:spPr>
          <c:marker>
            <c:symbol val="none"/>
          </c:marker>
          <c:xVal>
            <c:numLit>
              <c:formatCode>General</c:formatCode>
              <c:ptCount val="2"/>
              <c:pt idx="0">
                <c:v>-9.7594920592975569</c:v>
              </c:pt>
              <c:pt idx="1">
                <c:v>-9.4615352996544964</c:v>
              </c:pt>
            </c:numLit>
          </c:xVal>
          <c:yVal>
            <c:numLit>
              <c:formatCode>General</c:formatCode>
              <c:ptCount val="2"/>
              <c:pt idx="0">
                <c:v>2.2429498103471914E-2</c:v>
              </c:pt>
              <c:pt idx="1">
                <c:v>2.2403644687894811E-2</c:v>
              </c:pt>
            </c:numLit>
          </c:yVal>
          <c:smooth val="0"/>
          <c:extLst>
            <c:ext xmlns:c16="http://schemas.microsoft.com/office/drawing/2014/chart" uri="{C3380CC4-5D6E-409C-BE32-E72D297353CC}">
              <c16:uniqueId val="{0000005C-C14A-4FA0-9D89-6310253ECE5D}"/>
            </c:ext>
          </c:extLst>
        </c:ser>
        <c:ser>
          <c:idx val="93"/>
          <c:order val="93"/>
          <c:spPr>
            <a:ln w="3175">
              <a:solidFill>
                <a:srgbClr val="000000"/>
              </a:solidFill>
              <a:prstDash val="solid"/>
            </a:ln>
          </c:spPr>
          <c:marker>
            <c:symbol val="none"/>
          </c:marker>
          <c:xVal>
            <c:numLit>
              <c:formatCode>General</c:formatCode>
              <c:ptCount val="2"/>
              <c:pt idx="0">
                <c:v>-9.7774082431157812</c:v>
              </c:pt>
              <c:pt idx="1">
                <c:v>-9.1808769243876487</c:v>
              </c:pt>
            </c:numLit>
          </c:xVal>
          <c:yVal>
            <c:numLit>
              <c:formatCode>General</c:formatCode>
              <c:ptCount val="2"/>
              <c:pt idx="0">
                <c:v>2.2311864752467405E-2</c:v>
              </c:pt>
              <c:pt idx="1">
                <c:v>2.2264214243761633E-2</c:v>
              </c:pt>
            </c:numLit>
          </c:yVal>
          <c:smooth val="0"/>
          <c:extLst>
            <c:ext xmlns:c16="http://schemas.microsoft.com/office/drawing/2014/chart" uri="{C3380CC4-5D6E-409C-BE32-E72D297353CC}">
              <c16:uniqueId val="{0000005D-C14A-4FA0-9D89-6310253ECE5D}"/>
            </c:ext>
          </c:extLst>
        </c:ser>
        <c:ser>
          <c:idx val="94"/>
          <c:order val="94"/>
          <c:spPr>
            <a:ln w="3175">
              <a:solidFill>
                <a:srgbClr val="000000"/>
              </a:solidFill>
              <a:prstDash val="solid"/>
            </a:ln>
          </c:spPr>
          <c:marker>
            <c:symbol val="none"/>
          </c:marker>
          <c:xVal>
            <c:numLit>
              <c:formatCode>General</c:formatCode>
              <c:ptCount val="2"/>
              <c:pt idx="0">
                <c:v>-9.826239533393677</c:v>
              </c:pt>
              <c:pt idx="1">
                <c:v>-9.5271319552317166</c:v>
              </c:pt>
            </c:numLit>
          </c:xVal>
          <c:yVal>
            <c:numLit>
              <c:formatCode>General</c:formatCode>
              <c:ptCount val="2"/>
              <c:pt idx="0">
                <c:v>2.19219477646126E-2</c:v>
              </c:pt>
              <c:pt idx="1">
                <c:v>2.1904845216946866E-2</c:v>
              </c:pt>
            </c:numLit>
          </c:yVal>
          <c:smooth val="0"/>
          <c:extLst>
            <c:ext xmlns:c16="http://schemas.microsoft.com/office/drawing/2014/chart" uri="{C3380CC4-5D6E-409C-BE32-E72D297353CC}">
              <c16:uniqueId val="{0000005E-C14A-4FA0-9D89-6310253ECE5D}"/>
            </c:ext>
          </c:extLst>
        </c:ser>
        <c:ser>
          <c:idx val="95"/>
          <c:order val="95"/>
          <c:spPr>
            <a:ln w="3175">
              <a:solidFill>
                <a:srgbClr val="000000"/>
              </a:solidFill>
              <a:prstDash val="solid"/>
            </a:ln>
          </c:spPr>
          <c:marker>
            <c:symbol val="none"/>
          </c:marker>
          <c:xVal>
            <c:numLit>
              <c:formatCode>General</c:formatCode>
              <c:ptCount val="2"/>
              <c:pt idx="0">
                <c:v>-9.8465584490956477</c:v>
              </c:pt>
              <c:pt idx="1">
                <c:v>-9.2476426405061414</c:v>
              </c:pt>
            </c:numLit>
          </c:xVal>
          <c:yVal>
            <c:numLit>
              <c:formatCode>General</c:formatCode>
              <c:ptCount val="2"/>
              <c:pt idx="0">
                <c:v>2.1703336717703383E-2</c:v>
              </c:pt>
              <c:pt idx="1">
                <c:v>2.16766699343343E-2</c:v>
              </c:pt>
            </c:numLit>
          </c:yVal>
          <c:smooth val="0"/>
          <c:extLst>
            <c:ext xmlns:c16="http://schemas.microsoft.com/office/drawing/2014/chart" uri="{C3380CC4-5D6E-409C-BE32-E72D297353CC}">
              <c16:uniqueId val="{0000005F-C14A-4FA0-9D89-6310253ECE5D}"/>
            </c:ext>
          </c:extLst>
        </c:ser>
        <c:ser>
          <c:idx val="96"/>
          <c:order val="96"/>
          <c:spPr>
            <a:ln w="3175">
              <a:solidFill>
                <a:srgbClr val="000000"/>
              </a:solidFill>
              <a:prstDash val="solid"/>
            </a:ln>
          </c:spPr>
          <c:marker>
            <c:symbol val="none"/>
          </c:marker>
          <c:xVal>
            <c:numLit>
              <c:formatCode>General</c:formatCode>
              <c:ptCount val="2"/>
              <c:pt idx="0">
                <c:v>-9.862870431265371</c:v>
              </c:pt>
              <c:pt idx="1">
                <c:v>-9.5631312858987254</c:v>
              </c:pt>
            </c:numLit>
          </c:xVal>
          <c:yVal>
            <c:numLit>
              <c:formatCode>General</c:formatCode>
              <c:ptCount val="2"/>
              <c:pt idx="0">
                <c:v>2.1466576659932901E-2</c:v>
              </c:pt>
              <c:pt idx="1">
                <c:v>2.1457325338209921E-2</c:v>
              </c:pt>
            </c:numLit>
          </c:yVal>
          <c:smooth val="0"/>
          <c:extLst>
            <c:ext xmlns:c16="http://schemas.microsoft.com/office/drawing/2014/chart" uri="{C3380CC4-5D6E-409C-BE32-E72D297353CC}">
              <c16:uniqueId val="{00000060-C14A-4FA0-9D89-6310253ECE5D}"/>
            </c:ext>
          </c:extLst>
        </c:ser>
        <c:ser>
          <c:idx val="97"/>
          <c:order val="97"/>
          <c:spPr>
            <a:ln w="3175">
              <a:solidFill>
                <a:srgbClr val="000000"/>
              </a:solidFill>
              <a:prstDash val="solid"/>
            </a:ln>
          </c:spPr>
          <c:marker>
            <c:symbol val="none"/>
          </c:marker>
          <c:xVal>
            <c:numLit>
              <c:formatCode>General</c:formatCode>
              <c:ptCount val="2"/>
              <c:pt idx="0">
                <c:v>-9.8691357952931487</c:v>
              </c:pt>
              <c:pt idx="1">
                <c:v>-9.2694414575244188</c:v>
              </c:pt>
            </c:numLit>
          </c:xVal>
          <c:yVal>
            <c:numLit>
              <c:formatCode>General</c:formatCode>
              <c:ptCount val="2"/>
              <c:pt idx="0">
                <c:v>2.1340749932151591E-2</c:v>
              </c:pt>
              <c:pt idx="1">
                <c:v>2.1326586141387743E-2</c:v>
              </c:pt>
            </c:numLit>
          </c:yVal>
          <c:smooth val="0"/>
          <c:extLst>
            <c:ext xmlns:c16="http://schemas.microsoft.com/office/drawing/2014/chart" uri="{C3380CC4-5D6E-409C-BE32-E72D297353CC}">
              <c16:uniqueId val="{00000061-C14A-4FA0-9D89-6310253ECE5D}"/>
            </c:ext>
          </c:extLst>
        </c:ser>
        <c:ser>
          <c:idx val="98"/>
          <c:order val="98"/>
          <c:spPr>
            <a:ln w="3175">
              <a:solidFill>
                <a:srgbClr val="000000"/>
              </a:solidFill>
              <a:prstDash val="solid"/>
            </a:ln>
          </c:spPr>
          <c:marker>
            <c:symbol val="none"/>
          </c:marker>
          <c:xVal>
            <c:numLit>
              <c:formatCode>General</c:formatCode>
              <c:ptCount val="2"/>
              <c:pt idx="0">
                <c:v>-9.8780000000000001</c:v>
              </c:pt>
              <c:pt idx="1">
                <c:v>-9.2779999999999987</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62-C14A-4FA0-9D89-6310253ECE5D}"/>
            </c:ext>
          </c:extLst>
        </c:ser>
        <c:ser>
          <c:idx val="99"/>
          <c:order val="99"/>
          <c:spPr>
            <a:ln w="3175">
              <a:solidFill>
                <a:srgbClr val="000000"/>
              </a:solidFill>
              <a:prstDash val="solid"/>
            </a:ln>
          </c:spPr>
          <c:marker>
            <c:symbol val="none"/>
          </c:marker>
          <c:xVal>
            <c:numLit>
              <c:formatCode>General</c:formatCode>
              <c:ptCount val="2"/>
              <c:pt idx="0">
                <c:v>-9.8665090567206697</c:v>
              </c:pt>
              <c:pt idx="1">
                <c:v>-9.2669052961440936</c:v>
              </c:pt>
            </c:numLit>
          </c:xVal>
          <c:yVal>
            <c:numLit>
              <c:formatCode>General</c:formatCode>
              <c:ptCount val="2"/>
              <c:pt idx="0">
                <c:v>2.0462352026117177E-2</c:v>
              </c:pt>
              <c:pt idx="1">
                <c:v>2.0478477818320035E-2</c:v>
              </c:pt>
            </c:numLit>
          </c:yVal>
          <c:smooth val="0"/>
          <c:extLst>
            <c:ext xmlns:c16="http://schemas.microsoft.com/office/drawing/2014/chart" uri="{C3380CC4-5D6E-409C-BE32-E72D297353CC}">
              <c16:uniqueId val="{00000063-C14A-4FA0-9D89-6310253ECE5D}"/>
            </c:ext>
          </c:extLst>
        </c:ser>
        <c:ser>
          <c:idx val="100"/>
          <c:order val="100"/>
          <c:spPr>
            <a:ln w="3175">
              <a:solidFill>
                <a:srgbClr val="000000"/>
              </a:solidFill>
              <a:prstDash val="solid"/>
            </a:ln>
          </c:spPr>
          <c:marker>
            <c:symbol val="none"/>
          </c:marker>
          <c:xVal>
            <c:numLit>
              <c:formatCode>General</c:formatCode>
              <c:ptCount val="2"/>
              <c:pt idx="0">
                <c:v>-9.8566117153194046</c:v>
              </c:pt>
              <c:pt idx="1">
                <c:v>-9.5569804788483808</c:v>
              </c:pt>
            </c:numLit>
          </c:xVal>
          <c:yVal>
            <c:numLit>
              <c:formatCode>General</c:formatCode>
              <c:ptCount val="2"/>
              <c:pt idx="0">
                <c:v>2.0292078253462336E-2</c:v>
              </c:pt>
              <c:pt idx="1">
                <c:v>2.0303076904264708E-2</c:v>
              </c:pt>
            </c:numLit>
          </c:yVal>
          <c:smooth val="0"/>
          <c:extLst>
            <c:ext xmlns:c16="http://schemas.microsoft.com/office/drawing/2014/chart" uri="{C3380CC4-5D6E-409C-BE32-E72D297353CC}">
              <c16:uniqueId val="{00000064-C14A-4FA0-9D89-6310253ECE5D}"/>
            </c:ext>
          </c:extLst>
        </c:ser>
        <c:ser>
          <c:idx val="101"/>
          <c:order val="101"/>
          <c:spPr>
            <a:ln w="3175">
              <a:solidFill>
                <a:srgbClr val="000000"/>
              </a:solidFill>
              <a:prstDash val="solid"/>
            </a:ln>
          </c:spPr>
          <c:marker>
            <c:symbol val="none"/>
          </c:marker>
          <c:xVal>
            <c:numLit>
              <c:formatCode>General</c:formatCode>
              <c:ptCount val="2"/>
              <c:pt idx="0">
                <c:v>-9.825120498007605</c:v>
              </c:pt>
              <c:pt idx="1">
                <c:v>-9.2269439291107886</c:v>
              </c:pt>
            </c:numLit>
          </c:xVal>
          <c:yVal>
            <c:numLit>
              <c:formatCode>General</c:formatCode>
              <c:ptCount val="2"/>
              <c:pt idx="0">
                <c:v>1.9927403009249937E-2</c:v>
              </c:pt>
              <c:pt idx="1">
                <c:v>1.9961975319275804E-2</c:v>
              </c:pt>
            </c:numLit>
          </c:yVal>
          <c:smooth val="0"/>
          <c:extLst>
            <c:ext xmlns:c16="http://schemas.microsoft.com/office/drawing/2014/chart" uri="{C3380CC4-5D6E-409C-BE32-E72D297353CC}">
              <c16:uniqueId val="{00000065-C14A-4FA0-9D89-6310253ECE5D}"/>
            </c:ext>
          </c:extLst>
        </c:ser>
        <c:ser>
          <c:idx val="102"/>
          <c:order val="102"/>
          <c:spPr>
            <a:ln w="3175">
              <a:solidFill>
                <a:srgbClr val="000000"/>
              </a:solidFill>
              <a:prstDash val="solid"/>
            </a:ln>
          </c:spPr>
          <c:marker>
            <c:symbol val="none"/>
          </c:marker>
          <c:xVal>
            <c:numLit>
              <c:formatCode>General</c:formatCode>
              <c:ptCount val="2"/>
              <c:pt idx="0">
                <c:v>-9.7743638069967425</c:v>
              </c:pt>
              <c:pt idx="1">
                <c:v>-9.1779374688244388</c:v>
              </c:pt>
            </c:numLit>
          </c:xVal>
          <c:yVal>
            <c:numLit>
              <c:formatCode>General</c:formatCode>
              <c:ptCount val="2"/>
              <c:pt idx="0">
                <c:v>1.9527441400141971E-2</c:v>
              </c:pt>
              <c:pt idx="1">
                <c:v>1.957580548979225E-2</c:v>
              </c:pt>
            </c:numLit>
          </c:yVal>
          <c:smooth val="0"/>
          <c:extLst>
            <c:ext xmlns:c16="http://schemas.microsoft.com/office/drawing/2014/chart" uri="{C3380CC4-5D6E-409C-BE32-E72D297353CC}">
              <c16:uniqueId val="{00000066-C14A-4FA0-9D89-6310253ECE5D}"/>
            </c:ext>
          </c:extLst>
        </c:ser>
        <c:ser>
          <c:idx val="103"/>
          <c:order val="103"/>
          <c:spPr>
            <a:ln w="3175">
              <a:solidFill>
                <a:srgbClr val="000000"/>
              </a:solidFill>
              <a:prstDash val="solid"/>
            </a:ln>
          </c:spPr>
          <c:marker>
            <c:symbol val="none"/>
          </c:marker>
          <c:xVal>
            <c:numLit>
              <c:formatCode>General</c:formatCode>
              <c:ptCount val="2"/>
              <c:pt idx="0">
                <c:v>-9.7555947041230944</c:v>
              </c:pt>
              <c:pt idx="1">
                <c:v>-9.4577051402589021</c:v>
              </c:pt>
            </c:numLit>
          </c:xVal>
          <c:yVal>
            <c:numLit>
              <c:formatCode>General</c:formatCode>
              <c:ptCount val="2"/>
              <c:pt idx="0">
                <c:v>1.9406130083083659E-2</c:v>
              </c:pt>
              <c:pt idx="1">
                <c:v>1.9432403702340839E-2</c:v>
              </c:pt>
            </c:numLit>
          </c:yVal>
          <c:smooth val="0"/>
          <c:extLst>
            <c:ext xmlns:c16="http://schemas.microsoft.com/office/drawing/2014/chart" uri="{C3380CC4-5D6E-409C-BE32-E72D297353CC}">
              <c16:uniqueId val="{00000067-C14A-4FA0-9D89-6310253ECE5D}"/>
            </c:ext>
          </c:extLst>
        </c:ser>
        <c:ser>
          <c:idx val="104"/>
          <c:order val="104"/>
          <c:spPr>
            <a:ln w="3175">
              <a:solidFill>
                <a:srgbClr val="000000"/>
              </a:solidFill>
              <a:prstDash val="solid"/>
            </a:ln>
          </c:spPr>
          <c:marker>
            <c:symbol val="none"/>
          </c:marker>
          <c:xVal>
            <c:numLit>
              <c:formatCode>General</c:formatCode>
              <c:ptCount val="2"/>
              <c:pt idx="0">
                <c:v>-9.7312495160578543</c:v>
              </c:pt>
              <c:pt idx="1">
                <c:v>-9.4337796968154759</c:v>
              </c:pt>
            </c:numLit>
          </c:xVal>
          <c:yVal>
            <c:numLit>
              <c:formatCode>General</c:formatCode>
              <c:ptCount val="2"/>
              <c:pt idx="0">
                <c:v>1.9262042185935597E-2</c:v>
              </c:pt>
              <c:pt idx="1">
                <c:v>1.9290800079281533E-2</c:v>
              </c:pt>
            </c:numLit>
          </c:yVal>
          <c:smooth val="0"/>
          <c:extLst>
            <c:ext xmlns:c16="http://schemas.microsoft.com/office/drawing/2014/chart" uri="{C3380CC4-5D6E-409C-BE32-E72D297353CC}">
              <c16:uniqueId val="{00000068-C14A-4FA0-9D89-6310253ECE5D}"/>
            </c:ext>
          </c:extLst>
        </c:ser>
        <c:ser>
          <c:idx val="105"/>
          <c:order val="105"/>
          <c:spPr>
            <a:ln w="3175">
              <a:solidFill>
                <a:srgbClr val="000000"/>
              </a:solidFill>
              <a:prstDash val="solid"/>
            </a:ln>
          </c:spPr>
          <c:marker>
            <c:symbol val="none"/>
          </c:marker>
          <c:xVal>
            <c:numLit>
              <c:formatCode>General</c:formatCode>
              <c:ptCount val="2"/>
              <c:pt idx="0">
                <c:v>-9.6988930377242379</c:v>
              </c:pt>
              <c:pt idx="1">
                <c:v>-9.1050691398716754</c:v>
              </c:pt>
            </c:numLit>
          </c:xVal>
          <c:yVal>
            <c:numLit>
              <c:formatCode>General</c:formatCode>
              <c:ptCount val="2"/>
              <c:pt idx="0">
                <c:v>1.9088173676807301E-2</c:v>
              </c:pt>
              <c:pt idx="1">
                <c:v>1.9151684929331187E-2</c:v>
              </c:pt>
            </c:numLit>
          </c:yVal>
          <c:smooth val="0"/>
          <c:extLst>
            <c:ext xmlns:c16="http://schemas.microsoft.com/office/drawing/2014/chart" uri="{C3380CC4-5D6E-409C-BE32-E72D297353CC}">
              <c16:uniqueId val="{00000069-C14A-4FA0-9D89-6310253ECE5D}"/>
            </c:ext>
          </c:extLst>
        </c:ser>
        <c:ser>
          <c:idx val="106"/>
          <c:order val="106"/>
          <c:spPr>
            <a:ln w="3175">
              <a:solidFill>
                <a:srgbClr val="000000"/>
              </a:solidFill>
              <a:prstDash val="solid"/>
            </a:ln>
          </c:spPr>
          <c:marker>
            <c:symbol val="none"/>
          </c:marker>
          <c:xVal>
            <c:numLit>
              <c:formatCode>General</c:formatCode>
              <c:ptCount val="2"/>
              <c:pt idx="0">
                <c:v>-9.6546103310984979</c:v>
              </c:pt>
              <c:pt idx="1">
                <c:v>-9.3584618771140402</c:v>
              </c:pt>
            </c:numLit>
          </c:xVal>
          <c:yVal>
            <c:numLit>
              <c:formatCode>General</c:formatCode>
              <c:ptCount val="2"/>
              <c:pt idx="0">
                <c:v>1.8874364740294421E-2</c:v>
              </c:pt>
              <c:pt idx="1">
                <c:v>1.8909806727530724E-2</c:v>
              </c:pt>
            </c:numLit>
          </c:yVal>
          <c:smooth val="0"/>
          <c:extLst>
            <c:ext xmlns:c16="http://schemas.microsoft.com/office/drawing/2014/chart" uri="{C3380CC4-5D6E-409C-BE32-E72D297353CC}">
              <c16:uniqueId val="{0000006A-C14A-4FA0-9D89-6310253ECE5D}"/>
            </c:ext>
          </c:extLst>
        </c:ser>
        <c:ser>
          <c:idx val="107"/>
          <c:order val="107"/>
          <c:spPr>
            <a:ln w="3175">
              <a:solidFill>
                <a:srgbClr val="000000"/>
              </a:solidFill>
              <a:prstDash val="solid"/>
            </a:ln>
          </c:spPr>
          <c:marker>
            <c:symbol val="none"/>
          </c:marker>
          <c:xVal>
            <c:numLit>
              <c:formatCode>General</c:formatCode>
              <c:ptCount val="2"/>
              <c:pt idx="0">
                <c:v>-9.5917920119000488</c:v>
              </c:pt>
              <c:pt idx="1">
                <c:v>-9.0016612528690114</c:v>
              </c:pt>
            </c:numLit>
          </c:xVal>
          <c:yVal>
            <c:numLit>
              <c:formatCode>General</c:formatCode>
              <c:ptCount val="2"/>
              <c:pt idx="0">
                <c:v>1.8605334220365727E-2</c:v>
              </c:pt>
              <c:pt idx="1">
                <c:v>1.8685495109318634E-2</c:v>
              </c:pt>
            </c:numLit>
          </c:yVal>
          <c:smooth val="0"/>
          <c:extLst>
            <c:ext xmlns:c16="http://schemas.microsoft.com/office/drawing/2014/chart" uri="{C3380CC4-5D6E-409C-BE32-E72D297353CC}">
              <c16:uniqueId val="{0000006B-C14A-4FA0-9D89-6310253ECE5D}"/>
            </c:ext>
          </c:extLst>
        </c:ser>
        <c:ser>
          <c:idx val="108"/>
          <c:order val="108"/>
          <c:spPr>
            <a:ln w="3175">
              <a:solidFill>
                <a:srgbClr val="000000"/>
              </a:solidFill>
              <a:prstDash val="solid"/>
            </a:ln>
          </c:spPr>
          <c:marker>
            <c:symbol val="none"/>
          </c:marker>
          <c:xVal>
            <c:numLit>
              <c:formatCode>General</c:formatCode>
              <c:ptCount val="2"/>
              <c:pt idx="0">
                <c:v>-9.5500552853147749</c:v>
              </c:pt>
              <c:pt idx="1">
                <c:v>-9.2557095045334847</c:v>
              </c:pt>
            </c:numLit>
          </c:xVal>
          <c:yVal>
            <c:numLit>
              <c:formatCode>General</c:formatCode>
              <c:ptCount val="2"/>
              <c:pt idx="0">
                <c:v>1.8443106339845548E-2</c:v>
              </c:pt>
              <c:pt idx="1">
                <c:v>1.8485983816744763E-2</c:v>
              </c:pt>
            </c:numLit>
          </c:yVal>
          <c:smooth val="0"/>
          <c:extLst>
            <c:ext xmlns:c16="http://schemas.microsoft.com/office/drawing/2014/chart" uri="{C3380CC4-5D6E-409C-BE32-E72D297353CC}">
              <c16:uniqueId val="{0000006C-C14A-4FA0-9D89-6310253ECE5D}"/>
            </c:ext>
          </c:extLst>
        </c:ser>
        <c:ser>
          <c:idx val="109"/>
          <c:order val="109"/>
          <c:spPr>
            <a:ln w="3175">
              <a:solidFill>
                <a:srgbClr val="000000"/>
              </a:solidFill>
              <a:prstDash val="solid"/>
            </a:ln>
          </c:spPr>
          <c:marker>
            <c:symbol val="none"/>
          </c:marker>
          <c:xVal>
            <c:numLit>
              <c:formatCode>General</c:formatCode>
              <c:ptCount val="2"/>
              <c:pt idx="0">
                <c:v>-9.4985920174877663</c:v>
              </c:pt>
              <c:pt idx="1">
                <c:v>-8.9116750513674958</c:v>
              </c:pt>
            </c:numLit>
          </c:xVal>
          <c:yVal>
            <c:numLit>
              <c:formatCode>General</c:formatCode>
              <c:ptCount val="2"/>
              <c:pt idx="0">
                <c:v>1.8257081553294929E-2</c:v>
              </c:pt>
              <c:pt idx="1">
                <c:v>1.8349251154905447E-2</c:v>
              </c:pt>
            </c:numLit>
          </c:yVal>
          <c:smooth val="0"/>
          <c:extLst>
            <c:ext xmlns:c16="http://schemas.microsoft.com/office/drawing/2014/chart" uri="{C3380CC4-5D6E-409C-BE32-E72D297353CC}">
              <c16:uniqueId val="{0000006D-C14A-4FA0-9D89-6310253ECE5D}"/>
            </c:ext>
          </c:extLst>
        </c:ser>
        <c:ser>
          <c:idx val="110"/>
          <c:order val="110"/>
          <c:spPr>
            <a:ln w="3175">
              <a:solidFill>
                <a:srgbClr val="000000"/>
              </a:solidFill>
              <a:prstDash val="solid"/>
            </a:ln>
          </c:spPr>
          <c:marker>
            <c:symbol val="none"/>
          </c:marker>
          <c:xVal>
            <c:numLit>
              <c:formatCode>General</c:formatCode>
              <c:ptCount val="2"/>
              <c:pt idx="0">
                <c:v>-9.4341733564072943</c:v>
              </c:pt>
              <c:pt idx="1">
                <c:v>-9.1418255399175123</c:v>
              </c:pt>
            </c:numLit>
          </c:xVal>
          <c:yVal>
            <c:numLit>
              <c:formatCode>General</c:formatCode>
              <c:ptCount val="2"/>
              <c:pt idx="0">
                <c:v>1.8041765933534418E-2</c:v>
              </c:pt>
              <c:pt idx="1">
                <c:v>1.8091563072611408E-2</c:v>
              </c:pt>
            </c:numLit>
          </c:yVal>
          <c:smooth val="0"/>
          <c:extLst>
            <c:ext xmlns:c16="http://schemas.microsoft.com/office/drawing/2014/chart" uri="{C3380CC4-5D6E-409C-BE32-E72D297353CC}">
              <c16:uniqueId val="{0000006E-C14A-4FA0-9D89-6310253ECE5D}"/>
            </c:ext>
          </c:extLst>
        </c:ser>
        <c:ser>
          <c:idx val="111"/>
          <c:order val="111"/>
          <c:spPr>
            <a:ln w="3175">
              <a:solidFill>
                <a:srgbClr val="000000"/>
              </a:solidFill>
              <a:prstDash val="solid"/>
            </a:ln>
          </c:spPr>
          <c:marker>
            <c:symbol val="none"/>
          </c:marker>
          <c:xVal>
            <c:numLit>
              <c:formatCode>General</c:formatCode>
              <c:ptCount val="2"/>
              <c:pt idx="0">
                <c:v>-9.3521355422659074</c:v>
              </c:pt>
              <c:pt idx="1">
                <c:v>-8.7702687994291519</c:v>
              </c:pt>
            </c:numLit>
          </c:xVal>
          <c:yVal>
            <c:numLit>
              <c:formatCode>General</c:formatCode>
              <c:ptCount val="2"/>
              <c:pt idx="0">
                <c:v>1.7789900045223919E-2</c:v>
              </c:pt>
              <c:pt idx="1">
                <c:v>1.7898179354009301E-2</c:v>
              </c:pt>
            </c:numLit>
          </c:yVal>
          <c:smooth val="0"/>
          <c:extLst>
            <c:ext xmlns:c16="http://schemas.microsoft.com/office/drawing/2014/chart" uri="{C3380CC4-5D6E-409C-BE32-E72D297353CC}">
              <c16:uniqueId val="{0000006F-C14A-4FA0-9D89-6310253ECE5D}"/>
            </c:ext>
          </c:extLst>
        </c:ser>
        <c:ser>
          <c:idx val="112"/>
          <c:order val="112"/>
          <c:spPr>
            <a:ln w="3175">
              <a:solidFill>
                <a:srgbClr val="000000"/>
              </a:solidFill>
              <a:prstDash val="solid"/>
            </a:ln>
          </c:spPr>
          <c:marker>
            <c:symbol val="none"/>
          </c:marker>
          <c:xVal>
            <c:numLit>
              <c:formatCode>General</c:formatCode>
              <c:ptCount val="2"/>
              <c:pt idx="0">
                <c:v>-9.2455590364770597</c:v>
              </c:pt>
              <c:pt idx="1">
                <c:v>-8.9564631910205588</c:v>
              </c:pt>
            </c:numLit>
          </c:xVal>
          <c:yVal>
            <c:numLit>
              <c:formatCode>General</c:formatCode>
              <c:ptCount val="2"/>
              <c:pt idx="0">
                <c:v>1.7491727600755014E-2</c:v>
              </c:pt>
              <c:pt idx="1">
                <c:v>1.7551008159362686E-2</c:v>
              </c:pt>
            </c:numLit>
          </c:yVal>
          <c:smooth val="0"/>
          <c:extLst>
            <c:ext xmlns:c16="http://schemas.microsoft.com/office/drawing/2014/chart" uri="{C3380CC4-5D6E-409C-BE32-E72D297353CC}">
              <c16:uniqueId val="{00000070-C14A-4FA0-9D89-6310253ECE5D}"/>
            </c:ext>
          </c:extLst>
        </c:ser>
        <c:ser>
          <c:idx val="113"/>
          <c:order val="113"/>
          <c:spPr>
            <a:ln w="3175">
              <a:solidFill>
                <a:srgbClr val="000000"/>
              </a:solidFill>
              <a:prstDash val="solid"/>
            </a:ln>
          </c:spPr>
          <c:marker>
            <c:symbol val="none"/>
          </c:marker>
          <c:xVal>
            <c:numLit>
              <c:formatCode>General</c:formatCode>
              <c:ptCount val="2"/>
              <c:pt idx="0">
                <c:v>-9.1038600359190358</c:v>
              </c:pt>
              <c:pt idx="1">
                <c:v>-8.530554517439068</c:v>
              </c:pt>
            </c:numLit>
          </c:xVal>
          <c:yVal>
            <c:numLit>
              <c:formatCode>General</c:formatCode>
              <c:ptCount val="2"/>
              <c:pt idx="0">
                <c:v>1.7133900318625845E-2</c:v>
              </c:pt>
              <c:pt idx="1">
                <c:v>1.7264800307638748E-2</c:v>
              </c:pt>
            </c:numLit>
          </c:yVal>
          <c:smooth val="0"/>
          <c:extLst>
            <c:ext xmlns:c16="http://schemas.microsoft.com/office/drawing/2014/chart" uri="{C3380CC4-5D6E-409C-BE32-E72D297353CC}">
              <c16:uniqueId val="{00000071-C14A-4FA0-9D89-6310253ECE5D}"/>
            </c:ext>
          </c:extLst>
        </c:ser>
        <c:ser>
          <c:idx val="114"/>
          <c:order val="114"/>
          <c:spPr>
            <a:ln w="3175">
              <a:solidFill>
                <a:srgbClr val="000000"/>
              </a:solidFill>
              <a:prstDash val="solid"/>
            </a:ln>
          </c:spPr>
          <c:marker>
            <c:symbol val="none"/>
          </c:marker>
          <c:xVal>
            <c:numLit>
              <c:formatCode>General</c:formatCode>
              <c:ptCount val="2"/>
              <c:pt idx="0">
                <c:v>-9.033886916005148</c:v>
              </c:pt>
              <c:pt idx="1">
                <c:v>-8.748440589867128</c:v>
              </c:pt>
            </c:numLit>
          </c:xVal>
          <c:yVal>
            <c:numLit>
              <c:formatCode>General</c:formatCode>
              <c:ptCount val="2"/>
              <c:pt idx="0">
                <c:v>1.6970127856038714E-2</c:v>
              </c:pt>
              <c:pt idx="1">
                <c:v>1.7038401513693218E-2</c:v>
              </c:pt>
            </c:numLit>
          </c:yVal>
          <c:smooth val="0"/>
          <c:extLst>
            <c:ext xmlns:c16="http://schemas.microsoft.com/office/drawing/2014/chart" uri="{C3380CC4-5D6E-409C-BE32-E72D297353CC}">
              <c16:uniqueId val="{00000072-C14A-4FA0-9D89-6310253ECE5D}"/>
            </c:ext>
          </c:extLst>
        </c:ser>
        <c:ser>
          <c:idx val="115"/>
          <c:order val="115"/>
          <c:spPr>
            <a:ln w="3175">
              <a:solidFill>
                <a:srgbClr val="000000"/>
              </a:solidFill>
              <a:prstDash val="solid"/>
            </a:ln>
          </c:spPr>
          <c:marker>
            <c:symbol val="none"/>
          </c:marker>
          <c:xVal>
            <c:numLit>
              <c:formatCode>General</c:formatCode>
              <c:ptCount val="2"/>
              <c:pt idx="0">
                <c:v>-8.954260939861248</c:v>
              </c:pt>
              <c:pt idx="1">
                <c:v>-8.6701874753808799</c:v>
              </c:pt>
            </c:numLit>
          </c:xVal>
          <c:yVal>
            <c:numLit>
              <c:formatCode>General</c:formatCode>
              <c:ptCount val="2"/>
              <c:pt idx="0">
                <c:v>1.6792426733524612E-2</c:v>
              </c:pt>
              <c:pt idx="1">
                <c:v>1.6863764203636257E-2</c:v>
              </c:pt>
            </c:numLit>
          </c:yVal>
          <c:smooth val="0"/>
          <c:extLst>
            <c:ext xmlns:c16="http://schemas.microsoft.com/office/drawing/2014/chart" uri="{C3380CC4-5D6E-409C-BE32-E72D297353CC}">
              <c16:uniqueId val="{00000073-C14A-4FA0-9D89-6310253ECE5D}"/>
            </c:ext>
          </c:extLst>
        </c:ser>
        <c:ser>
          <c:idx val="116"/>
          <c:order val="116"/>
          <c:spPr>
            <a:ln w="3175">
              <a:solidFill>
                <a:srgbClr val="000000"/>
              </a:solidFill>
              <a:prstDash val="solid"/>
            </a:ln>
          </c:spPr>
          <c:marker>
            <c:symbol val="none"/>
          </c:marker>
          <c:xVal>
            <c:numLit>
              <c:formatCode>General</c:formatCode>
              <c:ptCount val="2"/>
              <c:pt idx="0">
                <c:v>-8.8631822315685405</c:v>
              </c:pt>
              <c:pt idx="1">
                <c:v>-8.5806790896449439</c:v>
              </c:pt>
            </c:numLit>
          </c:xVal>
          <c:yVal>
            <c:numLit>
              <c:formatCode>General</c:formatCode>
              <c:ptCount val="2"/>
              <c:pt idx="0">
                <c:v>1.6599076898329495E-2</c:v>
              </c:pt>
              <c:pt idx="1">
                <c:v>1.6673747986289334E-2</c:v>
              </c:pt>
            </c:numLit>
          </c:yVal>
          <c:smooth val="0"/>
          <c:extLst>
            <c:ext xmlns:c16="http://schemas.microsoft.com/office/drawing/2014/chart" uri="{C3380CC4-5D6E-409C-BE32-E72D297353CC}">
              <c16:uniqueId val="{00000074-C14A-4FA0-9D89-6310253ECE5D}"/>
            </c:ext>
          </c:extLst>
        </c:ser>
        <c:ser>
          <c:idx val="117"/>
          <c:order val="117"/>
          <c:spPr>
            <a:ln w="3175">
              <a:solidFill>
                <a:srgbClr val="000000"/>
              </a:solidFill>
              <a:prstDash val="solid"/>
            </a:ln>
          </c:spPr>
          <c:marker>
            <c:symbol val="none"/>
          </c:marker>
          <c:xVal>
            <c:numLit>
              <c:formatCode>General</c:formatCode>
              <c:ptCount val="2"/>
              <c:pt idx="0">
                <c:v>-8.7584282202067296</c:v>
              </c:pt>
              <c:pt idx="1">
                <c:v>-8.477731181927302</c:v>
              </c:pt>
            </c:numLit>
          </c:xVal>
          <c:yVal>
            <c:numLit>
              <c:formatCode>General</c:formatCode>
              <c:ptCount val="2"/>
              <c:pt idx="0">
                <c:v>1.6388094622981707E-2</c:v>
              </c:pt>
              <c:pt idx="1">
                <c:v>1.6466403336378575E-2</c:v>
              </c:pt>
            </c:numLit>
          </c:yVal>
          <c:smooth val="0"/>
          <c:extLst>
            <c:ext xmlns:c16="http://schemas.microsoft.com/office/drawing/2014/chart" uri="{C3380CC4-5D6E-409C-BE32-E72D297353CC}">
              <c16:uniqueId val="{00000075-C14A-4FA0-9D89-6310253ECE5D}"/>
            </c:ext>
          </c:extLst>
        </c:ser>
        <c:ser>
          <c:idx val="118"/>
          <c:order val="118"/>
          <c:spPr>
            <a:ln w="3175">
              <a:solidFill>
                <a:srgbClr val="000000"/>
              </a:solidFill>
              <a:prstDash val="solid"/>
            </a:ln>
          </c:spPr>
          <c:marker>
            <c:symbol val="none"/>
          </c:marker>
          <c:xVal>
            <c:numLit>
              <c:formatCode>General</c:formatCode>
              <c:ptCount val="2"/>
              <c:pt idx="0">
                <c:v>-8.6372348348493126</c:v>
              </c:pt>
              <c:pt idx="1">
                <c:v>-8.0800198405441641</c:v>
              </c:pt>
            </c:numLit>
          </c:xVal>
          <c:yVal>
            <c:numLit>
              <c:formatCode>General</c:formatCode>
              <c:ptCount val="2"/>
              <c:pt idx="0">
                <c:v>1.6157190180898885E-2</c:v>
              </c:pt>
              <c:pt idx="1">
                <c:v>1.6321769829833407E-2</c:v>
              </c:pt>
            </c:numLit>
          </c:yVal>
          <c:smooth val="0"/>
          <c:extLst>
            <c:ext xmlns:c16="http://schemas.microsoft.com/office/drawing/2014/chart" uri="{C3380CC4-5D6E-409C-BE32-E72D297353CC}">
              <c16:uniqueId val="{00000076-C14A-4FA0-9D89-6310253ECE5D}"/>
            </c:ext>
          </c:extLst>
        </c:ser>
        <c:ser>
          <c:idx val="119"/>
          <c:order val="119"/>
          <c:spPr>
            <a:ln w="3175">
              <a:solidFill>
                <a:srgbClr val="000000"/>
              </a:solidFill>
              <a:prstDash val="solid"/>
            </a:ln>
          </c:spPr>
          <c:marker>
            <c:symbol val="none"/>
          </c:marker>
          <c:xVal>
            <c:numLit>
              <c:formatCode>General</c:formatCode>
              <c:ptCount val="2"/>
              <c:pt idx="0">
                <c:v>-8.5694238961193641</c:v>
              </c:pt>
              <c:pt idx="1">
                <c:v>-8.2919855530828226</c:v>
              </c:pt>
            </c:numLit>
          </c:xVal>
          <c:yVal>
            <c:numLit>
              <c:formatCode>General</c:formatCode>
              <c:ptCount val="2"/>
              <c:pt idx="0">
                <c:v>1.6033456612372633E-2</c:v>
              </c:pt>
              <c:pt idx="1">
                <c:v>1.611787977422828E-2</c:v>
              </c:pt>
            </c:numLit>
          </c:yVal>
          <c:smooth val="0"/>
          <c:extLst>
            <c:ext xmlns:c16="http://schemas.microsoft.com/office/drawing/2014/chart" uri="{C3380CC4-5D6E-409C-BE32-E72D297353CC}">
              <c16:uniqueId val="{00000077-C14A-4FA0-9D89-6310253ECE5D}"/>
            </c:ext>
          </c:extLst>
        </c:ser>
        <c:ser>
          <c:idx val="120"/>
          <c:order val="120"/>
          <c:spPr>
            <a:ln w="3175">
              <a:solidFill>
                <a:srgbClr val="000000"/>
              </a:solidFill>
              <a:prstDash val="solid"/>
            </a:ln>
          </c:spPr>
          <c:marker>
            <c:symbol val="none"/>
          </c:marker>
          <c:xVal>
            <c:numLit>
              <c:formatCode>General</c:formatCode>
              <c:ptCount val="2"/>
              <c:pt idx="0">
                <c:v>-8.496139552640436</c:v>
              </c:pt>
              <c:pt idx="1">
                <c:v>-8.2199647327673251</c:v>
              </c:pt>
            </c:numLit>
          </c:xVal>
          <c:yVal>
            <c:numLit>
              <c:formatCode>General</c:formatCode>
              <c:ptCount val="2"/>
              <c:pt idx="0">
                <c:v>1.590372165004483E-2</c:v>
              </c:pt>
              <c:pt idx="1">
                <c:v>1.599038162159578E-2</c:v>
              </c:pt>
            </c:numLit>
          </c:yVal>
          <c:smooth val="0"/>
          <c:extLst>
            <c:ext xmlns:c16="http://schemas.microsoft.com/office/drawing/2014/chart" uri="{C3380CC4-5D6E-409C-BE32-E72D297353CC}">
              <c16:uniqueId val="{00000078-C14A-4FA0-9D89-6310253ECE5D}"/>
            </c:ext>
          </c:extLst>
        </c:ser>
        <c:ser>
          <c:idx val="121"/>
          <c:order val="121"/>
          <c:spPr>
            <a:ln w="3175">
              <a:solidFill>
                <a:srgbClr val="000000"/>
              </a:solidFill>
              <a:prstDash val="solid"/>
            </a:ln>
          </c:spPr>
          <c:marker>
            <c:symbol val="none"/>
          </c:marker>
          <c:xVal>
            <c:numLit>
              <c:formatCode>General</c:formatCode>
              <c:ptCount val="2"/>
              <c:pt idx="0">
                <c:v>-8.4168057372568565</c:v>
              </c:pt>
              <c:pt idx="1">
                <c:v>-8.1419987417869102</c:v>
              </c:pt>
            </c:numLit>
          </c:xVal>
          <c:yVal>
            <c:numLit>
              <c:formatCode>General</c:formatCode>
              <c:ptCount val="2"/>
              <c:pt idx="0">
                <c:v>1.5767592217746176E-2</c:v>
              </c:pt>
              <c:pt idx="1">
                <c:v>1.5856599248474688E-2</c:v>
              </c:pt>
            </c:numLit>
          </c:yVal>
          <c:smooth val="0"/>
          <c:extLst>
            <c:ext xmlns:c16="http://schemas.microsoft.com/office/drawing/2014/chart" uri="{C3380CC4-5D6E-409C-BE32-E72D297353CC}">
              <c16:uniqueId val="{00000079-C14A-4FA0-9D89-6310253ECE5D}"/>
            </c:ext>
          </c:extLst>
        </c:ser>
        <c:ser>
          <c:idx val="122"/>
          <c:order val="122"/>
          <c:spPr>
            <a:ln w="3175">
              <a:solidFill>
                <a:srgbClr val="000000"/>
              </a:solidFill>
              <a:prstDash val="solid"/>
            </a:ln>
          </c:spPr>
          <c:marker>
            <c:symbol val="none"/>
          </c:marker>
          <c:xVal>
            <c:numLit>
              <c:formatCode>General</c:formatCode>
              <c:ptCount val="2"/>
              <c:pt idx="0">
                <c:v>-8.3307730905498314</c:v>
              </c:pt>
              <c:pt idx="1">
                <c:v>-8.0574494165748334</c:v>
              </c:pt>
            </c:numLit>
          </c:xVal>
          <c:yVal>
            <c:numLit>
              <c:formatCode>General</c:formatCode>
              <c:ptCount val="2"/>
              <c:pt idx="0">
                <c:v>1.5624647462044871E-2</c:v>
              </c:pt>
              <c:pt idx="1">
                <c:v>1.5716119057526855E-2</c:v>
              </c:pt>
            </c:numLit>
          </c:yVal>
          <c:smooth val="0"/>
          <c:extLst>
            <c:ext xmlns:c16="http://schemas.microsoft.com/office/drawing/2014/chart" uri="{C3380CC4-5D6E-409C-BE32-E72D297353CC}">
              <c16:uniqueId val="{0000007A-C14A-4FA0-9D89-6310253ECE5D}"/>
            </c:ext>
          </c:extLst>
        </c:ser>
        <c:ser>
          <c:idx val="123"/>
          <c:order val="123"/>
          <c:spPr>
            <a:ln w="3175">
              <a:solidFill>
                <a:srgbClr val="000000"/>
              </a:solidFill>
              <a:prstDash val="solid"/>
            </a:ln>
          </c:spPr>
          <c:marker>
            <c:symbol val="none"/>
          </c:marker>
          <c:xVal>
            <c:numLit>
              <c:formatCode>General</c:formatCode>
              <c:ptCount val="2"/>
              <c:pt idx="0">
                <c:v>-8.2373083506110412</c:v>
              </c:pt>
              <c:pt idx="1">
                <c:v>-7.6938839247279001</c:v>
              </c:pt>
            </c:numLit>
          </c:xVal>
          <c:yVal>
            <c:numLit>
              <c:formatCode>General</c:formatCode>
              <c:ptCount val="2"/>
              <c:pt idx="0">
                <c:v>1.5474437646003199E-2</c:v>
              </c:pt>
              <c:pt idx="1">
                <c:v>1.5662560485796194E-2</c:v>
              </c:pt>
            </c:numLit>
          </c:yVal>
          <c:smooth val="0"/>
          <c:extLst>
            <c:ext xmlns:c16="http://schemas.microsoft.com/office/drawing/2014/chart" uri="{C3380CC4-5D6E-409C-BE32-E72D297353CC}">
              <c16:uniqueId val="{0000007B-C14A-4FA0-9D89-6310253ECE5D}"/>
            </c:ext>
          </c:extLst>
        </c:ser>
        <c:ser>
          <c:idx val="124"/>
          <c:order val="124"/>
          <c:spPr>
            <a:ln w="3175">
              <a:solidFill>
                <a:srgbClr val="000000"/>
              </a:solidFill>
              <a:prstDash val="solid"/>
            </a:ln>
          </c:spPr>
          <c:marker>
            <c:symbol val="none"/>
          </c:marker>
          <c:xVal>
            <c:numLit>
              <c:formatCode>General</c:formatCode>
              <c:ptCount val="2"/>
              <c:pt idx="0">
                <c:v>-8.135582109378646</c:v>
              </c:pt>
              <c:pt idx="1">
                <c:v>-7.865623797147979</c:v>
              </c:pt>
            </c:numLit>
          </c:xVal>
          <c:yVal>
            <c:numLit>
              <c:formatCode>General</c:formatCode>
              <c:ptCount val="2"/>
              <c:pt idx="0">
                <c:v>1.5316483392004664E-2</c:v>
              </c:pt>
              <c:pt idx="1">
                <c:v>1.5413268161108032E-2</c:v>
              </c:pt>
            </c:numLit>
          </c:yVal>
          <c:smooth val="0"/>
          <c:extLst>
            <c:ext xmlns:c16="http://schemas.microsoft.com/office/drawing/2014/chart" uri="{C3380CC4-5D6E-409C-BE32-E72D297353CC}">
              <c16:uniqueId val="{0000007C-C14A-4FA0-9D89-6310253ECE5D}"/>
            </c:ext>
          </c:extLst>
        </c:ser>
        <c:ser>
          <c:idx val="125"/>
          <c:order val="125"/>
          <c:spPr>
            <a:ln w="3175">
              <a:solidFill>
                <a:srgbClr val="000000"/>
              </a:solidFill>
              <a:prstDash val="solid"/>
            </a:ln>
          </c:spPr>
          <c:marker>
            <c:symbol val="none"/>
          </c:marker>
          <c:xVal>
            <c:numLit>
              <c:formatCode>General</c:formatCode>
              <c:ptCount val="2"/>
              <c:pt idx="0">
                <c:v>-8.0246546988258096</c:v>
              </c:pt>
              <c:pt idx="1">
                <c:v>-7.7566089281563979</c:v>
              </c:pt>
            </c:numLit>
          </c:xVal>
          <c:yVal>
            <c:numLit>
              <c:formatCode>General</c:formatCode>
              <c:ptCount val="2"/>
              <c:pt idx="0">
                <c:v>1.5150275451951677E-2</c:v>
              </c:pt>
              <c:pt idx="1">
                <c:v>1.5249925875193889E-2</c:v>
              </c:pt>
            </c:numLit>
          </c:yVal>
          <c:smooth val="0"/>
          <c:extLst>
            <c:ext xmlns:c16="http://schemas.microsoft.com/office/drawing/2014/chart" uri="{C3380CC4-5D6E-409C-BE32-E72D297353CC}">
              <c16:uniqueId val="{0000007D-C14A-4FA0-9D89-6310253ECE5D}"/>
            </c:ext>
          </c:extLst>
        </c:ser>
        <c:ser>
          <c:idx val="126"/>
          <c:order val="126"/>
          <c:spPr>
            <a:ln w="3175">
              <a:solidFill>
                <a:srgbClr val="000000"/>
              </a:solidFill>
              <a:prstDash val="solid"/>
            </a:ln>
          </c:spPr>
          <c:marker>
            <c:symbol val="none"/>
          </c:marker>
          <c:xVal>
            <c:numLit>
              <c:formatCode>General</c:formatCode>
              <c:ptCount val="2"/>
              <c:pt idx="0">
                <c:v>-7.9034599509797507</c:v>
              </c:pt>
              <c:pt idx="1">
                <c:v>-7.6375037449283747</c:v>
              </c:pt>
            </c:numLit>
          </c:xVal>
          <c:yVal>
            <c:numLit>
              <c:formatCode>General</c:formatCode>
              <c:ptCount val="2"/>
              <c:pt idx="0">
                <c:v>1.4975275245324009E-2</c:v>
              </c:pt>
              <c:pt idx="1">
                <c:v>1.5077942913508079E-2</c:v>
              </c:pt>
            </c:numLit>
          </c:yVal>
          <c:smooth val="0"/>
          <c:extLst>
            <c:ext xmlns:c16="http://schemas.microsoft.com/office/drawing/2014/chart" uri="{C3380CC4-5D6E-409C-BE32-E72D297353CC}">
              <c16:uniqueId val="{0000007E-C14A-4FA0-9D89-6310253ECE5D}"/>
            </c:ext>
          </c:extLst>
        </c:ser>
        <c:ser>
          <c:idx val="127"/>
          <c:order val="127"/>
          <c:spPr>
            <a:ln w="3175">
              <a:solidFill>
                <a:srgbClr val="000000"/>
              </a:solidFill>
              <a:prstDash val="solid"/>
            </a:ln>
          </c:spPr>
          <c:marker>
            <c:symbol val="none"/>
          </c:marker>
          <c:xVal>
            <c:numLit>
              <c:formatCode>General</c:formatCode>
              <c:ptCount val="2"/>
              <c:pt idx="0">
                <c:v>-7.7707865642283949</c:v>
              </c:pt>
              <c:pt idx="1">
                <c:v>-7.5071178303623878</c:v>
              </c:pt>
            </c:numLit>
          </c:xVal>
          <c:yVal>
            <c:numLit>
              <c:formatCode>General</c:formatCode>
              <c:ptCount val="2"/>
              <c:pt idx="0">
                <c:v>1.4790916486985731E-2</c:v>
              </c:pt>
              <c:pt idx="1">
                <c:v>1.4896762754451495E-2</c:v>
              </c:pt>
            </c:numLit>
          </c:yVal>
          <c:smooth val="0"/>
          <c:extLst>
            <c:ext xmlns:c16="http://schemas.microsoft.com/office/drawing/2014/chart" uri="{C3380CC4-5D6E-409C-BE32-E72D297353CC}">
              <c16:uniqueId val="{0000007F-C14A-4FA0-9D89-6310253ECE5D}"/>
            </c:ext>
          </c:extLst>
        </c:ser>
        <c:ser>
          <c:idx val="128"/>
          <c:order val="128"/>
          <c:spPr>
            <a:ln w="3175">
              <a:solidFill>
                <a:srgbClr val="000000"/>
              </a:solidFill>
              <a:prstDash val="solid"/>
            </a:ln>
          </c:spPr>
          <c:marker>
            <c:symbol val="none"/>
          </c:marker>
          <c:xVal>
            <c:numLit>
              <c:formatCode>General</c:formatCode>
              <c:ptCount val="2"/>
              <c:pt idx="0">
                <c:v>-7.6252568113761559</c:v>
              </c:pt>
              <c:pt idx="1">
                <c:v>-7.1029376109838731</c:v>
              </c:pt>
            </c:numLit>
          </c:xVal>
          <c:yVal>
            <c:numLit>
              <c:formatCode>General</c:formatCode>
              <c:ptCount val="2"/>
              <c:pt idx="0">
                <c:v>1.4596608332400495E-2</c:v>
              </c:pt>
              <c:pt idx="1">
                <c:v>1.4815001148524616E-2</c:v>
              </c:pt>
            </c:numLit>
          </c:yVal>
          <c:smooth val="0"/>
          <c:extLst>
            <c:ext xmlns:c16="http://schemas.microsoft.com/office/drawing/2014/chart" uri="{C3380CC4-5D6E-409C-BE32-E72D297353CC}">
              <c16:uniqueId val="{00000080-C14A-4FA0-9D89-6310253ECE5D}"/>
            </c:ext>
          </c:extLst>
        </c:ser>
        <c:ser>
          <c:idx val="129"/>
          <c:order val="129"/>
          <c:spPr>
            <a:ln w="3175">
              <a:solidFill>
                <a:srgbClr val="000000"/>
              </a:solidFill>
              <a:prstDash val="solid"/>
            </a:ln>
          </c:spPr>
          <c:marker>
            <c:symbol val="none"/>
          </c:marker>
          <c:xVal>
            <c:numLit>
              <c:formatCode>General</c:formatCode>
              <c:ptCount val="2"/>
              <c:pt idx="0">
                <c:v>-7.4653023527450681</c:v>
              </c:pt>
              <c:pt idx="1">
                <c:v>-7.2069005880425658</c:v>
              </c:pt>
            </c:numLit>
          </c:xVal>
          <c:yVal>
            <c:numLit>
              <c:formatCode>General</c:formatCode>
              <c:ptCount val="2"/>
              <c:pt idx="0">
                <c:v>1.4391740604136366E-2</c:v>
              </c:pt>
              <c:pt idx="1">
                <c:v>1.4504469214409878E-2</c:v>
              </c:pt>
            </c:numLit>
          </c:yVal>
          <c:smooth val="0"/>
          <c:extLst>
            <c:ext xmlns:c16="http://schemas.microsoft.com/office/drawing/2014/chart" uri="{C3380CC4-5D6E-409C-BE32-E72D297353CC}">
              <c16:uniqueId val="{00000081-C14A-4FA0-9D89-6310253ECE5D}"/>
            </c:ext>
          </c:extLst>
        </c:ser>
        <c:ser>
          <c:idx val="130"/>
          <c:order val="130"/>
          <c:spPr>
            <a:ln w="3175">
              <a:solidFill>
                <a:srgbClr val="000000"/>
              </a:solidFill>
              <a:prstDash val="solid"/>
            </a:ln>
          </c:spPr>
          <c:marker>
            <c:symbol val="none"/>
          </c:marker>
          <c:xVal>
            <c:numLit>
              <c:formatCode>General</c:formatCode>
              <c:ptCount val="2"/>
              <c:pt idx="0">
                <c:v>-7.2891369857220321</c:v>
              </c:pt>
              <c:pt idx="1">
                <c:v>-7.0337725549337202</c:v>
              </c:pt>
            </c:numLit>
          </c:xVal>
          <c:yVal>
            <c:numLit>
              <c:formatCode>General</c:formatCode>
              <c:ptCount val="2"/>
              <c:pt idx="0">
                <c:v>1.4175691836973547E-2</c:v>
              </c:pt>
              <c:pt idx="1">
                <c:v>1.4292145425991245E-2</c:v>
              </c:pt>
            </c:numLit>
          </c:yVal>
          <c:smooth val="0"/>
          <c:extLst>
            <c:ext xmlns:c16="http://schemas.microsoft.com/office/drawing/2014/chart" uri="{C3380CC4-5D6E-409C-BE32-E72D297353CC}">
              <c16:uniqueId val="{00000082-C14A-4FA0-9D89-6310253ECE5D}"/>
            </c:ext>
          </c:extLst>
        </c:ser>
        <c:ser>
          <c:idx val="131"/>
          <c:order val="131"/>
          <c:spPr>
            <a:ln w="3175">
              <a:solidFill>
                <a:srgbClr val="000000"/>
              </a:solidFill>
              <a:prstDash val="solid"/>
            </a:ln>
          </c:spPr>
          <c:marker>
            <c:symbol val="none"/>
          </c:marker>
          <c:xVal>
            <c:numLit>
              <c:formatCode>General</c:formatCode>
              <c:ptCount val="2"/>
              <c:pt idx="0">
                <c:v>-7.0947262932026645</c:v>
              </c:pt>
              <c:pt idx="1">
                <c:v>-6.8427137709060659</c:v>
              </c:pt>
            </c:numLit>
          </c:xVal>
          <c:yVal>
            <c:numLit>
              <c:formatCode>General</c:formatCode>
              <c:ptCount val="2"/>
              <c:pt idx="0">
                <c:v>1.3947841096409371E-2</c:v>
              </c:pt>
              <c:pt idx="1">
                <c:v>1.4068223146471279E-2</c:v>
              </c:pt>
            </c:numLit>
          </c:yVal>
          <c:smooth val="0"/>
          <c:extLst>
            <c:ext xmlns:c16="http://schemas.microsoft.com/office/drawing/2014/chart" uri="{C3380CC4-5D6E-409C-BE32-E72D297353CC}">
              <c16:uniqueId val="{00000083-C14A-4FA0-9D89-6310253ECE5D}"/>
            </c:ext>
          </c:extLst>
        </c:ser>
        <c:ser>
          <c:idx val="132"/>
          <c:order val="132"/>
          <c:spPr>
            <a:ln w="3175">
              <a:solidFill>
                <a:srgbClr val="000000"/>
              </a:solidFill>
              <a:prstDash val="solid"/>
            </a:ln>
          </c:spPr>
          <c:marker>
            <c:symbol val="none"/>
          </c:marker>
          <c:xVal>
            <c:numLit>
              <c:formatCode>General</c:formatCode>
              <c:ptCount val="2"/>
              <c:pt idx="0">
                <c:v>-6.8797543799888556</c:v>
              </c:pt>
              <c:pt idx="1">
                <c:v>-6.6314482699890469</c:v>
              </c:pt>
            </c:numLit>
          </c:xVal>
          <c:yVal>
            <c:numLit>
              <c:formatCode>General</c:formatCode>
              <c:ptCount val="2"/>
              <c:pt idx="0">
                <c:v>1.3707584792488141E-2</c:v>
              </c:pt>
              <c:pt idx="1">
                <c:v>1.3832109192617657E-2</c:v>
              </c:pt>
            </c:numLit>
          </c:yVal>
          <c:smooth val="0"/>
          <c:extLst>
            <c:ext xmlns:c16="http://schemas.microsoft.com/office/drawing/2014/chart" uri="{C3380CC4-5D6E-409C-BE32-E72D297353CC}">
              <c16:uniqueId val="{00000084-C14A-4FA0-9D89-6310253ECE5D}"/>
            </c:ext>
          </c:extLst>
        </c:ser>
        <c:ser>
          <c:idx val="133"/>
          <c:order val="133"/>
          <c:spPr>
            <a:ln w="3175">
              <a:solidFill>
                <a:srgbClr val="000000"/>
              </a:solidFill>
              <a:prstDash val="solid"/>
            </a:ln>
          </c:spPr>
          <c:marker>
            <c:symbol val="none"/>
          </c:marker>
          <c:xVal>
            <c:numLit>
              <c:formatCode>General</c:formatCode>
              <c:ptCount val="2"/>
              <c:pt idx="0">
                <c:v>-6.6415882541581794</c:v>
              </c:pt>
              <c:pt idx="1">
                <c:v>-6.1531886591872063</c:v>
              </c:pt>
            </c:numLit>
          </c:xVal>
          <c:yVal>
            <c:numLit>
              <c:formatCode>General</c:formatCode>
              <c:ptCount val="2"/>
              <c:pt idx="0">
                <c:v>1.3454360029547155E-2</c:v>
              </c:pt>
              <c:pt idx="1">
                <c:v>1.3712140718183462E-2</c:v>
              </c:pt>
            </c:numLit>
          </c:yVal>
          <c:smooth val="0"/>
          <c:extLst>
            <c:ext xmlns:c16="http://schemas.microsoft.com/office/drawing/2014/chart" uri="{C3380CC4-5D6E-409C-BE32-E72D297353CC}">
              <c16:uniqueId val="{00000085-C14A-4FA0-9D89-6310253ECE5D}"/>
            </c:ext>
          </c:extLst>
        </c:ser>
        <c:ser>
          <c:idx val="134"/>
          <c:order val="134"/>
          <c:spPr>
            <a:ln w="3175">
              <a:solidFill>
                <a:srgbClr val="000000"/>
              </a:solidFill>
              <a:prstDash val="solid"/>
            </a:ln>
          </c:spPr>
          <c:marker>
            <c:symbol val="none"/>
          </c:marker>
          <c:xVal>
            <c:numLit>
              <c:formatCode>General</c:formatCode>
              <c:ptCount val="2"/>
              <c:pt idx="0">
                <c:v>-6.5128887746212865</c:v>
              </c:pt>
              <c:pt idx="1">
                <c:v>-6.2709079336795401</c:v>
              </c:pt>
            </c:numLit>
          </c:xVal>
          <c:yVal>
            <c:numLit>
              <c:formatCode>General</c:formatCode>
              <c:ptCount val="2"/>
              <c:pt idx="0">
                <c:v>1.3322727312893847E-2</c:v>
              </c:pt>
              <c:pt idx="1">
                <c:v>1.3453887186809472E-2</c:v>
              </c:pt>
            </c:numLit>
          </c:yVal>
          <c:smooth val="0"/>
          <c:extLst>
            <c:ext xmlns:c16="http://schemas.microsoft.com/office/drawing/2014/chart" uri="{C3380CC4-5D6E-409C-BE32-E72D297353CC}">
              <c16:uniqueId val="{00000086-C14A-4FA0-9D89-6310253ECE5D}"/>
            </c:ext>
          </c:extLst>
        </c:ser>
        <c:ser>
          <c:idx val="135"/>
          <c:order val="135"/>
          <c:spPr>
            <a:ln w="3175">
              <a:solidFill>
                <a:srgbClr val="000000"/>
              </a:solidFill>
              <a:prstDash val="solid"/>
            </a:ln>
          </c:spPr>
          <c:marker>
            <c:symbol val="none"/>
          </c:marker>
          <c:xVal>
            <c:numLit>
              <c:formatCode>General</c:formatCode>
              <c:ptCount val="2"/>
              <c:pt idx="0">
                <c:v>-6.377240982176394</c:v>
              </c:pt>
              <c:pt idx="1">
                <c:v>-5.8979568103772069</c:v>
              </c:pt>
            </c:numLit>
          </c:xVal>
          <c:yVal>
            <c:numLit>
              <c:formatCode>General</c:formatCode>
              <c:ptCount val="2"/>
              <c:pt idx="0">
                <c:v>1.3187676396417802E-2</c:v>
              </c:pt>
              <c:pt idx="1">
                <c:v>1.3454653072403396E-2</c:v>
              </c:pt>
            </c:numLit>
          </c:yVal>
          <c:smooth val="0"/>
          <c:extLst>
            <c:ext xmlns:c16="http://schemas.microsoft.com/office/drawing/2014/chart" uri="{C3380CC4-5D6E-409C-BE32-E72D297353CC}">
              <c16:uniqueId val="{00000087-C14A-4FA0-9D89-6310253ECE5D}"/>
            </c:ext>
          </c:extLst>
        </c:ser>
        <c:ser>
          <c:idx val="136"/>
          <c:order val="136"/>
          <c:spPr>
            <a:ln w="3175">
              <a:solidFill>
                <a:srgbClr val="000000"/>
              </a:solidFill>
              <a:prstDash val="solid"/>
            </a:ln>
          </c:spPr>
          <c:marker>
            <c:symbol val="none"/>
          </c:marker>
          <c:xVal>
            <c:numLit>
              <c:formatCode>General</c:formatCode>
              <c:ptCount val="2"/>
              <c:pt idx="0">
                <c:v>-6.2342102755987439</c:v>
              </c:pt>
              <c:pt idx="1">
                <c:v>-5.9970342363642821</c:v>
              </c:pt>
            </c:numLit>
          </c:xVal>
          <c:yVal>
            <c:numLit>
              <c:formatCode>General</c:formatCode>
              <c:ptCount val="2"/>
              <c:pt idx="0">
                <c:v>1.304916427263535E-2</c:v>
              </c:pt>
              <c:pt idx="1">
                <c:v>1.3185040750693362E-2</c:v>
              </c:pt>
            </c:numLit>
          </c:yVal>
          <c:smooth val="0"/>
          <c:extLst>
            <c:ext xmlns:c16="http://schemas.microsoft.com/office/drawing/2014/chart" uri="{C3380CC4-5D6E-409C-BE32-E72D297353CC}">
              <c16:uniqueId val="{00000088-C14A-4FA0-9D89-6310253ECE5D}"/>
            </c:ext>
          </c:extLst>
        </c:ser>
        <c:ser>
          <c:idx val="137"/>
          <c:order val="137"/>
          <c:spPr>
            <a:ln w="3175">
              <a:solidFill>
                <a:srgbClr val="000000"/>
              </a:solidFill>
              <a:prstDash val="solid"/>
            </a:ln>
          </c:spPr>
          <c:marker>
            <c:symbol val="none"/>
          </c:marker>
          <c:xVal>
            <c:numLit>
              <c:formatCode>General</c:formatCode>
              <c:ptCount val="2"/>
              <c:pt idx="0">
                <c:v>-6.0833356038875808</c:v>
              </c:pt>
              <c:pt idx="1">
                <c:v>-5.6141861003052496</c:v>
              </c:pt>
            </c:numLit>
          </c:xVal>
          <c:yVal>
            <c:numLit>
              <c:formatCode>General</c:formatCode>
              <c:ptCount val="2"/>
              <c:pt idx="0">
                <c:v>1.2907158489149532E-2</c:v>
              </c:pt>
              <c:pt idx="1">
                <c:v>1.3183808196420238E-2</c:v>
              </c:pt>
            </c:numLit>
          </c:yVal>
          <c:smooth val="0"/>
          <c:extLst>
            <c:ext xmlns:c16="http://schemas.microsoft.com/office/drawing/2014/chart" uri="{C3380CC4-5D6E-409C-BE32-E72D297353CC}">
              <c16:uniqueId val="{00000089-C14A-4FA0-9D89-6310253ECE5D}"/>
            </c:ext>
          </c:extLst>
        </c:ser>
        <c:ser>
          <c:idx val="138"/>
          <c:order val="138"/>
          <c:spPr>
            <a:ln w="3175">
              <a:solidFill>
                <a:srgbClr val="000000"/>
              </a:solidFill>
              <a:prstDash val="solid"/>
            </a:ln>
          </c:spPr>
          <c:marker>
            <c:symbol val="none"/>
          </c:marker>
          <c:xVal>
            <c:numLit>
              <c:formatCode>General</c:formatCode>
              <c:ptCount val="2"/>
              <c:pt idx="0">
                <c:v>-5.9241286231448873</c:v>
              </c:pt>
              <c:pt idx="1">
                <c:v>-5.6922988192975605</c:v>
              </c:pt>
            </c:numLit>
          </c:xVal>
          <c:yVal>
            <c:numLit>
              <c:formatCode>General</c:formatCode>
              <c:ptCount val="2"/>
              <c:pt idx="0">
                <c:v>1.2761639254297252E-2</c:v>
              </c:pt>
              <c:pt idx="1">
                <c:v>1.2902473060257644E-2</c:v>
              </c:pt>
            </c:numLit>
          </c:yVal>
          <c:smooth val="0"/>
          <c:extLst>
            <c:ext xmlns:c16="http://schemas.microsoft.com/office/drawing/2014/chart" uri="{C3380CC4-5D6E-409C-BE32-E72D297353CC}">
              <c16:uniqueId val="{0000008A-C14A-4FA0-9D89-6310253ECE5D}"/>
            </c:ext>
          </c:extLst>
        </c:ser>
        <c:ser>
          <c:idx val="139"/>
          <c:order val="139"/>
          <c:spPr>
            <a:ln w="3175">
              <a:solidFill>
                <a:srgbClr val="000000"/>
              </a:solidFill>
              <a:prstDash val="solid"/>
            </a:ln>
          </c:spPr>
          <c:marker>
            <c:symbol val="none"/>
          </c:marker>
          <c:xVal>
            <c:numLit>
              <c:formatCode>General</c:formatCode>
              <c:ptCount val="2"/>
              <c:pt idx="0">
                <c:v>-5.7560730377038629</c:v>
              </c:pt>
              <c:pt idx="1">
                <c:v>-5.2982084501968325</c:v>
              </c:pt>
            </c:numLit>
          </c:xVal>
          <c:yVal>
            <c:numLit>
              <c:formatCode>General</c:formatCode>
              <c:ptCount val="2"/>
              <c:pt idx="0">
                <c:v>1.2612601820716014E-2</c:v>
              </c:pt>
              <c:pt idx="1">
                <c:v>1.2899408654484428E-2</c:v>
              </c:pt>
            </c:numLit>
          </c:yVal>
          <c:smooth val="0"/>
          <c:extLst>
            <c:ext xmlns:c16="http://schemas.microsoft.com/office/drawing/2014/chart" uri="{C3380CC4-5D6E-409C-BE32-E72D297353CC}">
              <c16:uniqueId val="{0000008B-C14A-4FA0-9D89-6310253ECE5D}"/>
            </c:ext>
          </c:extLst>
        </c:ser>
        <c:ser>
          <c:idx val="140"/>
          <c:order val="140"/>
          <c:spPr>
            <a:ln w="3175">
              <a:solidFill>
                <a:srgbClr val="000000"/>
              </a:solidFill>
              <a:prstDash val="solid"/>
            </a:ln>
          </c:spPr>
          <c:marker>
            <c:symbol val="none"/>
          </c:marker>
          <c:xVal>
            <c:numLit>
              <c:formatCode>General</c:formatCode>
              <c:ptCount val="2"/>
              <c:pt idx="0">
                <c:v>-5.578624186981501</c:v>
              </c:pt>
              <c:pt idx="1">
                <c:v>-5.352751356171475</c:v>
              </c:pt>
            </c:numLit>
          </c:xVal>
          <c:yVal>
            <c:numLit>
              <c:formatCode>General</c:formatCode>
              <c:ptCount val="2"/>
              <c:pt idx="0">
                <c:v>1.2460059169599368E-2</c:v>
              </c:pt>
              <c:pt idx="1">
                <c:v>1.2606092632192483E-2</c:v>
              </c:pt>
            </c:numLit>
          </c:yVal>
          <c:smooth val="0"/>
          <c:extLst>
            <c:ext xmlns:c16="http://schemas.microsoft.com/office/drawing/2014/chart" uri="{C3380CC4-5D6E-409C-BE32-E72D297353CC}">
              <c16:uniqueId val="{0000008C-C14A-4FA0-9D89-6310253ECE5D}"/>
            </c:ext>
          </c:extLst>
        </c:ser>
        <c:ser>
          <c:idx val="141"/>
          <c:order val="141"/>
          <c:spPr>
            <a:ln w="3175">
              <a:solidFill>
                <a:srgbClr val="000000"/>
              </a:solidFill>
              <a:prstDash val="solid"/>
            </a:ln>
          </c:spPr>
          <c:marker>
            <c:symbol val="none"/>
          </c:marker>
          <c:xVal>
            <c:numLit>
              <c:formatCode>General</c:formatCode>
              <c:ptCount val="2"/>
              <c:pt idx="0">
                <c:v>-5.3912089513591752</c:v>
              </c:pt>
              <c:pt idx="1">
                <c:v>-4.9459258840709275</c:v>
              </c:pt>
            </c:numLit>
          </c:xVal>
          <c:yVal>
            <c:numLit>
              <c:formatCode>General</c:formatCode>
              <c:ptCount val="2"/>
              <c:pt idx="0">
                <c:v>1.2304045016555564E-2</c:v>
              </c:pt>
              <c:pt idx="1">
                <c:v>1.2601491740122614E-2</c:v>
              </c:pt>
            </c:numLit>
          </c:yVal>
          <c:smooth val="0"/>
          <c:extLst>
            <c:ext xmlns:c16="http://schemas.microsoft.com/office/drawing/2014/chart" uri="{C3380CC4-5D6E-409C-BE32-E72D297353CC}">
              <c16:uniqueId val="{0000008D-C14A-4FA0-9D89-6310253ECE5D}"/>
            </c:ext>
          </c:extLst>
        </c:ser>
        <c:ser>
          <c:idx val="142"/>
          <c:order val="142"/>
          <c:spPr>
            <a:ln w="3175">
              <a:solidFill>
                <a:srgbClr val="000000"/>
              </a:solidFill>
              <a:prstDash val="solid"/>
            </a:ln>
          </c:spPr>
          <c:marker>
            <c:symbol val="none"/>
          </c:marker>
          <c:xVal>
            <c:numLit>
              <c:formatCode>General</c:formatCode>
              <c:ptCount val="2"/>
              <c:pt idx="0">
                <c:v>-5.1932260635615615</c:v>
              </c:pt>
              <c:pt idx="1">
                <c:v>-4.9739980279829137</c:v>
              </c:pt>
            </c:numLit>
          </c:xVal>
          <c:yVal>
            <c:numLit>
              <c:formatCode>General</c:formatCode>
              <c:ptCount val="2"/>
              <c:pt idx="0">
                <c:v>1.214461715663261E-2</c:v>
              </c:pt>
              <c:pt idx="1">
                <c:v>1.2296089274621703E-2</c:v>
              </c:pt>
            </c:numLit>
          </c:yVal>
          <c:smooth val="0"/>
          <c:extLst>
            <c:ext xmlns:c16="http://schemas.microsoft.com/office/drawing/2014/chart" uri="{C3380CC4-5D6E-409C-BE32-E72D297353CC}">
              <c16:uniqueId val="{0000008E-C14A-4FA0-9D89-6310253ECE5D}"/>
            </c:ext>
          </c:extLst>
        </c:ser>
        <c:ser>
          <c:idx val="143"/>
          <c:order val="143"/>
          <c:spPr>
            <a:ln w="3175">
              <a:solidFill>
                <a:srgbClr val="000000"/>
              </a:solidFill>
              <a:prstDash val="solid"/>
            </a:ln>
          </c:spPr>
          <c:marker>
            <c:symbol val="none"/>
          </c:marker>
          <c:xVal>
            <c:numLit>
              <c:formatCode>General</c:formatCode>
              <c:ptCount val="2"/>
              <c:pt idx="0">
                <c:v>-4.9840469263693068</c:v>
              </c:pt>
              <c:pt idx="1">
                <c:v>-4.5528039289082951</c:v>
              </c:pt>
            </c:numLit>
          </c:xVal>
          <c:yVal>
            <c:numLit>
              <c:formatCode>General</c:formatCode>
              <c:ptCount val="2"/>
              <c:pt idx="0">
                <c:v>1.1981861160791238E-2</c:v>
              </c:pt>
              <c:pt idx="1">
                <c:v>1.2290417672488093E-2</c:v>
              </c:pt>
            </c:numLit>
          </c:yVal>
          <c:smooth val="0"/>
          <c:extLst>
            <c:ext xmlns:c16="http://schemas.microsoft.com/office/drawing/2014/chart" uri="{C3380CC4-5D6E-409C-BE32-E72D297353CC}">
              <c16:uniqueId val="{0000008F-C14A-4FA0-9D89-6310253ECE5D}"/>
            </c:ext>
          </c:extLst>
        </c:ser>
        <c:ser>
          <c:idx val="144"/>
          <c:order val="144"/>
          <c:spPr>
            <a:ln w="3175">
              <a:solidFill>
                <a:srgbClr val="000000"/>
              </a:solidFill>
              <a:prstDash val="solid"/>
            </a:ln>
          </c:spPr>
          <c:marker>
            <c:symbol val="none"/>
          </c:marker>
          <c:xVal>
            <c:numLit>
              <c:formatCode>General</c:formatCode>
              <c:ptCount val="2"/>
              <c:pt idx="0">
                <c:v>-4.763017052784714</c:v>
              </c:pt>
              <c:pt idx="1">
                <c:v>-4.5512064139435973</c:v>
              </c:pt>
            </c:numLit>
          </c:xVal>
          <c:yVal>
            <c:numLit>
              <c:formatCode>General</c:formatCode>
              <c:ptCount val="2"/>
              <c:pt idx="0">
                <c:v>1.1815894428391283E-2</c:v>
              </c:pt>
              <c:pt idx="1">
                <c:v>1.1973034179625917E-2</c:v>
              </c:pt>
            </c:numLit>
          </c:yVal>
          <c:smooth val="0"/>
          <c:extLst>
            <c:ext xmlns:c16="http://schemas.microsoft.com/office/drawing/2014/chart" uri="{C3380CC4-5D6E-409C-BE32-E72D297353CC}">
              <c16:uniqueId val="{00000090-C14A-4FA0-9D89-6310253ECE5D}"/>
            </c:ext>
          </c:extLst>
        </c:ser>
        <c:ser>
          <c:idx val="145"/>
          <c:order val="145"/>
          <c:spPr>
            <a:ln w="3175">
              <a:solidFill>
                <a:srgbClr val="000000"/>
              </a:solidFill>
              <a:prstDash val="solid"/>
            </a:ln>
          </c:spPr>
          <c:marker>
            <c:symbol val="none"/>
          </c:marker>
          <c:xVal>
            <c:numLit>
              <c:formatCode>General</c:formatCode>
              <c:ptCount val="2"/>
              <c:pt idx="0">
                <c:v>-4.5294582604980791</c:v>
              </c:pt>
              <c:pt idx="1">
                <c:v>-4.1138907342740056</c:v>
              </c:pt>
            </c:numLit>
          </c:xVal>
          <c:yVal>
            <c:numLit>
              <c:formatCode>General</c:formatCode>
              <c:ptCount val="2"/>
              <c:pt idx="0">
                <c:v>1.1646870589539764E-2</c:v>
              </c:pt>
              <c:pt idx="1">
                <c:v>1.1966978500245291E-2</c:v>
              </c:pt>
            </c:numLit>
          </c:yVal>
          <c:smooth val="0"/>
          <c:extLst>
            <c:ext xmlns:c16="http://schemas.microsoft.com/office/drawing/2014/chart" uri="{C3380CC4-5D6E-409C-BE32-E72D297353CC}">
              <c16:uniqueId val="{00000091-C14A-4FA0-9D89-6310253ECE5D}"/>
            </c:ext>
          </c:extLst>
        </c:ser>
        <c:ser>
          <c:idx val="146"/>
          <c:order val="146"/>
          <c:spPr>
            <a:ln w="3175">
              <a:solidFill>
                <a:srgbClr val="000000"/>
              </a:solidFill>
              <a:prstDash val="solid"/>
            </a:ln>
          </c:spPr>
          <c:marker>
            <c:symbol val="none"/>
          </c:marker>
          <c:xVal>
            <c:numLit>
              <c:formatCode>General</c:formatCode>
              <c:ptCount val="2"/>
              <c:pt idx="0">
                <c:v>-4.2826717679503306</c:v>
              </c:pt>
              <c:pt idx="1">
                <c:v>-4.07914294436498</c:v>
              </c:pt>
            </c:numLit>
          </c:xVal>
          <c:yVal>
            <c:numLit>
              <c:formatCode>General</c:formatCode>
              <c:ptCount val="2"/>
              <c:pt idx="0">
                <c:v>1.1474984236816857E-2</c:v>
              </c:pt>
              <c:pt idx="1">
                <c:v>1.1638001749975188E-2</c:v>
              </c:pt>
            </c:numLit>
          </c:yVal>
          <c:smooth val="0"/>
          <c:extLst>
            <c:ext xmlns:c16="http://schemas.microsoft.com/office/drawing/2014/chart" uri="{C3380CC4-5D6E-409C-BE32-E72D297353CC}">
              <c16:uniqueId val="{00000092-C14A-4FA0-9D89-6310253ECE5D}"/>
            </c:ext>
          </c:extLst>
        </c:ser>
        <c:ser>
          <c:idx val="147"/>
          <c:order val="147"/>
          <c:spPr>
            <a:ln w="3175">
              <a:solidFill>
                <a:srgbClr val="000000"/>
              </a:solidFill>
              <a:prstDash val="solid"/>
            </a:ln>
          </c:spPr>
          <c:marker>
            <c:symbol val="none"/>
          </c:marker>
          <c:xVal>
            <c:numLit>
              <c:formatCode>General</c:formatCode>
              <c:ptCount val="2"/>
              <c:pt idx="0">
                <c:v>-4.021942353411518</c:v>
              </c:pt>
              <c:pt idx="1">
                <c:v>-3.6238753757076712</c:v>
              </c:pt>
            </c:numLit>
          </c:xVal>
          <c:yVal>
            <c:numLit>
              <c:formatCode>General</c:formatCode>
              <c:ptCount val="2"/>
              <c:pt idx="0">
                <c:v>1.1300475947320083E-2</c:v>
              </c:pt>
              <c:pt idx="1">
                <c:v>1.1632528500860769E-2</c:v>
              </c:pt>
            </c:numLit>
          </c:yVal>
          <c:smooth val="0"/>
          <c:extLst>
            <c:ext xmlns:c16="http://schemas.microsoft.com/office/drawing/2014/chart" uri="{C3380CC4-5D6E-409C-BE32-E72D297353CC}">
              <c16:uniqueId val="{00000093-C14A-4FA0-9D89-6310253ECE5D}"/>
            </c:ext>
          </c:extLst>
        </c:ser>
        <c:ser>
          <c:idx val="148"/>
          <c:order val="148"/>
          <c:spPr>
            <a:ln w="3175">
              <a:solidFill>
                <a:srgbClr val="000000"/>
              </a:solidFill>
              <a:prstDash val="solid"/>
            </a:ln>
          </c:spPr>
          <c:marker>
            <c:symbol val="none"/>
          </c:marker>
          <c:xVal>
            <c:numLit>
              <c:formatCode>General</c:formatCode>
              <c:ptCount val="147"/>
              <c:pt idx="0">
                <c:v>19.065942353411515</c:v>
              </c:pt>
              <c:pt idx="1">
                <c:v>18.790543749866966</c:v>
              </c:pt>
              <c:pt idx="2">
                <c:v>18.499745455246352</c:v>
              </c:pt>
              <c:pt idx="3">
                <c:v>18.192821137276322</c:v>
              </c:pt>
              <c:pt idx="4">
                <c:v>17.869058802111013</c:v>
              </c:pt>
              <c:pt idx="5">
                <c:v>17.527772872567621</c:v>
              </c:pt>
              <c:pt idx="6">
                <c:v>17.168318281619168</c:v>
              </c:pt>
              <c:pt idx="7">
                <c:v>16.790106626063352</c:v>
              </c:pt>
              <c:pt idx="8">
                <c:v>16.392624340635372</c:v>
              </c:pt>
              <c:pt idx="9">
                <c:v>15.9754527418382</c:v>
              </c:pt>
              <c:pt idx="10">
                <c:v>15.538289652700842</c:v>
              </c:pt>
              <c:pt idx="11">
                <c:v>15.08097215642557</c:v>
              </c:pt>
              <c:pt idx="12">
                <c:v>14.603499843901423</c:v>
              </c:pt>
              <c:pt idx="13">
                <c:v>14.106057727229052</c:v>
              </c:pt>
              <c:pt idx="14">
                <c:v>13.589037803579986</c:v>
              </c:pt>
              <c:pt idx="15">
                <c:v>13.053058090665036</c:v>
              </c:pt>
              <c:pt idx="16">
                <c:v>12.498977840522226</c:v>
              </c:pt>
              <c:pt idx="17">
                <c:v>11.927907597824111</c:v>
              </c:pt>
              <c:pt idx="18">
                <c:v>11.341212826619152</c:v>
              </c:pt>
              <c:pt idx="19">
                <c:v>10.740510003894533</c:v>
              </c:pt>
              <c:pt idx="20">
                <c:v>10.127654377823859</c:v>
              </c:pt>
              <c:pt idx="21">
                <c:v>9.5047190068155949</c:v>
              </c:pt>
              <c:pt idx="22">
                <c:v>8.8739652091894179</c:v>
              </c:pt>
              <c:pt idx="23">
                <c:v>8.2378051220730821</c:v>
              </c:pt>
              <c:pt idx="24">
                <c:v>7.5987576377376911</c:v>
              </c:pt>
              <c:pt idx="25">
                <c:v>6.9593994946761999</c:v>
              </c:pt>
              <c:pt idx="26">
                <c:v>6.3223136896666619</c:v>
              </c:pt>
              <c:pt idx="27">
                <c:v>5.690037597761866</c:v>
              </c:pt>
              <c:pt idx="28">
                <c:v>5.0650132114445139</c:v>
              </c:pt>
              <c:pt idx="29">
                <c:v>4.4495417349447202</c:v>
              </c:pt>
              <c:pt idx="30">
                <c:v>3.8457444174013791</c:v>
              </c:pt>
              <c:pt idx="31">
                <c:v>3.255531023136959</c:v>
              </c:pt>
              <c:pt idx="32">
                <c:v>2.6805767765256308</c:v>
              </c:pt>
              <c:pt idx="33">
                <c:v>2.1223080446173976</c:v>
              </c:pt>
              <c:pt idx="34">
                <c:v>1.5818964894711631</c:v>
              </c:pt>
              <c:pt idx="35">
                <c:v>1.0602609781934789</c:v>
              </c:pt>
              <c:pt idx="36">
                <c:v>0.55807620951249115</c:v>
              </c:pt>
              <c:pt idx="37">
                <c:v>7.5786811510906382E-2</c:v>
              </c:pt>
              <c:pt idx="38">
                <c:v>-0.38637441921499299</c:v>
              </c:pt>
              <c:pt idx="39">
                <c:v>-0.82836544769946818</c:v>
              </c:pt>
              <c:pt idx="40">
                <c:v>-1.2503123116501493</c:v>
              </c:pt>
              <c:pt idx="41">
                <c:v>-1.6524858712974235</c:v>
              </c:pt>
              <c:pt idx="42">
                <c:v>-2.0352788721065513</c:v>
              </c:pt>
              <c:pt idx="43">
                <c:v>-2.3991840012325829</c:v>
              </c:pt>
              <c:pt idx="44">
                <c:v>-2.7447734321668316</c:v>
              </c:pt>
              <c:pt idx="45">
                <c:v>-3.072680183386634</c:v>
              </c:pt>
              <c:pt idx="46">
                <c:v>-3.3835814724217705</c:v>
              </c:pt>
              <c:pt idx="47">
                <c:v>-3.6781841292440793</c:v>
              </c:pt>
              <c:pt idx="48">
                <c:v>-3.9572120420841821</c:v>
              </c:pt>
              <c:pt idx="49">
                <c:v>-4.221395542588029</c:v>
              </c:pt>
              <c:pt idx="50">
                <c:v>-4.4714625924504272</c:v>
              </c:pt>
              <c:pt idx="51">
                <c:v>-4.7081316066320262</c:v>
              </c:pt>
              <c:pt idx="52">
                <c:v>-4.9321057352905999</c:v>
              </c:pt>
              <c:pt idx="53">
                <c:v>-5.1440684242141916</c:v>
              </c:pt>
              <c:pt idx="54">
                <c:v>-5.3446800788427877</c:v>
              </c:pt>
              <c:pt idx="55">
                <c:v>-5.5345756674157736</c:v>
              </c:pt>
              <c:pt idx="56">
                <c:v>-5.714363112392145</c:v>
              </c:pt>
              <c:pt idx="57">
                <c:v>-6.0459048297431641</c:v>
              </c:pt>
              <c:pt idx="58">
                <c:v>-6.3436038686490521</c:v>
              </c:pt>
              <c:pt idx="59">
                <c:v>-6.6113117622552888</c:v>
              </c:pt>
              <c:pt idx="60">
                <c:v>-6.8524545533004888</c:v>
              </c:pt>
              <c:pt idx="61">
                <c:v>-7.0700641161397257</c:v>
              </c:pt>
              <c:pt idx="62">
                <c:v>-7.2668139627913737</c:v>
              </c:pt>
              <c:pt idx="63">
                <c:v>-7.4450561220153224</c:v>
              </c:pt>
              <c:pt idx="64">
                <c:v>-7.6068569785848918</c:v>
              </c:pt>
              <c:pt idx="65">
                <c:v>-7.7540308580023209</c:v>
              </c:pt>
              <c:pt idx="66">
                <c:v>-7.8881707432153219</c:v>
              </c:pt>
              <c:pt idx="67">
                <c:v>-8.0106758986490121</c:v>
              </c:pt>
              <c:pt idx="68">
                <c:v>-8.1227764177225303</c:v>
              </c:pt>
              <c:pt idx="69">
                <c:v>-8.2255548505858034</c:v>
              </c:pt>
              <c:pt idx="70">
                <c:v>-8.3199651431045574</c:v>
              </c:pt>
              <c:pt idx="71">
                <c:v>-8.4068491498525173</c:v>
              </c:pt>
              <c:pt idx="72">
                <c:v>-8.486950989224928</c:v>
              </c:pt>
              <c:pt idx="73">
                <c:v>-8.5609294985956481</c:v>
              </c:pt>
              <c:pt idx="74">
                <c:v>-8.6293690287967184</c:v>
              </c:pt>
              <c:pt idx="75">
                <c:v>-8.6927887946424995</c:v>
              </c:pt>
              <c:pt idx="76">
                <c:v>-8.7516509745654023</c:v>
              </c:pt>
              <c:pt idx="77">
                <c:v>-8.8573072883626267</c:v>
              </c:pt>
              <c:pt idx="78">
                <c:v>-8.9491390821074628</c:v>
              </c:pt>
              <c:pt idx="79">
                <c:v>-9.0293977395002667</c:v>
              </c:pt>
              <c:pt idx="80">
                <c:v>-9.0999057043833709</c:v>
              </c:pt>
              <c:pt idx="81">
                <c:v>-9.1621483944066782</c:v>
              </c:pt>
              <c:pt idx="82">
                <c:v>-9.2890805085034174</c:v>
              </c:pt>
              <c:pt idx="83">
                <c:v>-9.3854262264463078</c:v>
              </c:pt>
              <c:pt idx="84">
                <c:v>-9.4601719381821585</c:v>
              </c:pt>
              <c:pt idx="85">
                <c:v>-9.5192631793601503</c:v>
              </c:pt>
              <c:pt idx="86">
                <c:v>-9.5667494735594438</c:v>
              </c:pt>
              <c:pt idx="87">
                <c:v>-9.6054604899925025</c:v>
              </c:pt>
              <c:pt idx="88">
                <c:v>-9.6640995467395676</c:v>
              </c:pt>
              <c:pt idx="89">
                <c:v>-9.7057408037734945</c:v>
              </c:pt>
              <c:pt idx="90">
                <c:v>-9.7363488755763594</c:v>
              </c:pt>
              <c:pt idx="91">
                <c:v>-9.7594920592975569</c:v>
              </c:pt>
              <c:pt idx="92">
                <c:v>-9.7774082431157812</c:v>
              </c:pt>
              <c:pt idx="93">
                <c:v>-9.826239533393677</c:v>
              </c:pt>
              <c:pt idx="94">
                <c:v>-9.8465584490956477</c:v>
              </c:pt>
              <c:pt idx="95">
                <c:v>-9.862870431265371</c:v>
              </c:pt>
              <c:pt idx="96">
                <c:v>-9.8691357952931487</c:v>
              </c:pt>
              <c:pt idx="97">
                <c:v>-9.8780000000000001</c:v>
              </c:pt>
              <c:pt idx="98">
                <c:v>-9.8665090567206697</c:v>
              </c:pt>
              <c:pt idx="99">
                <c:v>-9.8566117153194046</c:v>
              </c:pt>
              <c:pt idx="100">
                <c:v>-9.825120498007605</c:v>
              </c:pt>
              <c:pt idx="101">
                <c:v>-9.7743638069967425</c:v>
              </c:pt>
              <c:pt idx="102">
                <c:v>-9.7555947041230944</c:v>
              </c:pt>
              <c:pt idx="103">
                <c:v>-9.7312495160578543</c:v>
              </c:pt>
              <c:pt idx="104">
                <c:v>-9.6988930377242379</c:v>
              </c:pt>
              <c:pt idx="105">
                <c:v>-9.6546103310984979</c:v>
              </c:pt>
              <c:pt idx="106">
                <c:v>-9.5917920119000488</c:v>
              </c:pt>
              <c:pt idx="107">
                <c:v>-9.5500552853147749</c:v>
              </c:pt>
              <c:pt idx="108">
                <c:v>-9.4985920174877663</c:v>
              </c:pt>
              <c:pt idx="109">
                <c:v>-9.4341733564072943</c:v>
              </c:pt>
              <c:pt idx="110">
                <c:v>-9.3521355422659074</c:v>
              </c:pt>
              <c:pt idx="111">
                <c:v>-9.2455590364770597</c:v>
              </c:pt>
              <c:pt idx="112">
                <c:v>-9.1038600359190358</c:v>
              </c:pt>
              <c:pt idx="113">
                <c:v>-9.033886916005148</c:v>
              </c:pt>
              <c:pt idx="114">
                <c:v>-8.954260939861248</c:v>
              </c:pt>
              <c:pt idx="115">
                <c:v>-8.8631822315685405</c:v>
              </c:pt>
              <c:pt idx="116">
                <c:v>-8.7584282202067296</c:v>
              </c:pt>
              <c:pt idx="117">
                <c:v>-8.6372348348493126</c:v>
              </c:pt>
              <c:pt idx="118">
                <c:v>-8.5694238961193641</c:v>
              </c:pt>
              <c:pt idx="119">
                <c:v>-8.496139552640436</c:v>
              </c:pt>
              <c:pt idx="120">
                <c:v>-8.4168057372568565</c:v>
              </c:pt>
              <c:pt idx="121">
                <c:v>-8.3307730905498314</c:v>
              </c:pt>
              <c:pt idx="122">
                <c:v>-8.2373083506110412</c:v>
              </c:pt>
              <c:pt idx="123">
                <c:v>-8.135582109378646</c:v>
              </c:pt>
              <c:pt idx="124">
                <c:v>-8.0246546988258096</c:v>
              </c:pt>
              <c:pt idx="125">
                <c:v>-7.9034599509797507</c:v>
              </c:pt>
              <c:pt idx="126">
                <c:v>-7.7707865642283949</c:v>
              </c:pt>
              <c:pt idx="127">
                <c:v>-7.6252568113761559</c:v>
              </c:pt>
              <c:pt idx="128">
                <c:v>-7.4653023527450681</c:v>
              </c:pt>
              <c:pt idx="129">
                <c:v>-7.2891369857220321</c:v>
              </c:pt>
              <c:pt idx="130">
                <c:v>-7.0947262932026645</c:v>
              </c:pt>
              <c:pt idx="131">
                <c:v>-6.8797543799888556</c:v>
              </c:pt>
              <c:pt idx="132">
                <c:v>-6.6415882541581794</c:v>
              </c:pt>
              <c:pt idx="133">
                <c:v>-6.5128887746212865</c:v>
              </c:pt>
              <c:pt idx="134">
                <c:v>-6.377240982176394</c:v>
              </c:pt>
              <c:pt idx="135">
                <c:v>-6.2342102755987439</c:v>
              </c:pt>
              <c:pt idx="136">
                <c:v>-6.0833356038875808</c:v>
              </c:pt>
              <c:pt idx="137">
                <c:v>-5.9241286231448873</c:v>
              </c:pt>
              <c:pt idx="138">
                <c:v>-5.7560730377038629</c:v>
              </c:pt>
              <c:pt idx="139">
                <c:v>-5.578624186981501</c:v>
              </c:pt>
              <c:pt idx="140">
                <c:v>-5.3912089513591752</c:v>
              </c:pt>
              <c:pt idx="141">
                <c:v>-5.1932260635615615</c:v>
              </c:pt>
              <c:pt idx="142">
                <c:v>-4.9840469263693068</c:v>
              </c:pt>
              <c:pt idx="143">
                <c:v>-4.763017052784714</c:v>
              </c:pt>
              <c:pt idx="144">
                <c:v>-4.5294582604980791</c:v>
              </c:pt>
              <c:pt idx="145">
                <c:v>-4.2826717679503306</c:v>
              </c:pt>
              <c:pt idx="146">
                <c:v>-4.021942353411518</c:v>
              </c:pt>
            </c:numLit>
          </c:xVal>
          <c:yVal>
            <c:numLit>
              <c:formatCode>General</c:formatCode>
              <c:ptCount val="147"/>
              <c:pt idx="0">
                <c:v>3.0559524052679921E-2</c:v>
              </c:pt>
              <c:pt idx="1">
                <c:v>3.0736362467444784E-2</c:v>
              </c:pt>
              <c:pt idx="2">
                <c:v>3.0915182575025162E-2</c:v>
              </c:pt>
              <c:pt idx="3">
                <c:v>3.1095573924337105E-2</c:v>
              </c:pt>
              <c:pt idx="4">
                <c:v>3.1277058802111013E-2</c:v>
              </c:pt>
              <c:pt idx="5">
                <c:v>3.145908735335045E-2</c:v>
              </c:pt>
              <c:pt idx="6">
                <c:v>3.1641033323740492E-2</c:v>
              </c:pt>
              <c:pt idx="7">
                <c:v>3.1822190731097821E-2</c:v>
              </c:pt>
              <c:pt idx="8">
                <c:v>3.2001771819701222E-2</c:v>
              </c:pt>
              <c:pt idx="9">
                <c:v>3.2178906690858773E-2</c:v>
              </c:pt>
              <c:pt idx="10">
                <c:v>3.2352645029202619E-2</c:v>
              </c:pt>
              <c:pt idx="11">
                <c:v>3.2521960349640437E-2</c:v>
              </c:pt>
              <c:pt idx="12">
                <c:v>3.2685757166608632E-2</c:v>
              </c:pt>
              <c:pt idx="13">
                <c:v>3.2842881427324513E-2</c:v>
              </c:pt>
              <c:pt idx="14">
                <c:v>3.2992134447433728E-2</c:v>
              </c:pt>
              <c:pt idx="15">
                <c:v>3.3132290436861909E-2</c:v>
              </c:pt>
              <c:pt idx="16">
                <c:v>3.3262117506318627E-2</c:v>
              </c:pt>
              <c:pt idx="17">
                <c:v>3.3380401807334426E-2</c:v>
              </c:pt>
              <c:pt idx="18">
                <c:v>3.348597419470218E-2</c:v>
              </c:pt>
              <c:pt idx="19">
                <c:v>3.3577738530929296E-2</c:v>
              </c:pt>
              <c:pt idx="20">
                <c:v>3.3654700505295149E-2</c:v>
              </c:pt>
              <c:pt idx="21">
                <c:v>3.3715995646515944E-2</c:v>
              </c:pt>
              <c:pt idx="22">
                <c:v>3.3760915098533552E-2</c:v>
              </c:pt>
              <c:pt idx="23">
                <c:v>3.378892772867001E-2</c:v>
              </c:pt>
              <c:pt idx="24">
                <c:v>3.3799697260686282E-2</c:v>
              </c:pt>
              <c:pt idx="25">
                <c:v>3.3793093371721462E-2</c:v>
              </c:pt>
              <c:pt idx="26">
                <c:v>3.3769196044631293E-2</c:v>
              </c:pt>
              <c:pt idx="27">
                <c:v>3.3728292893413635E-2</c:v>
              </c:pt>
              <c:pt idx="28">
                <c:v>3.3670869635499083E-2</c:v>
              </c:pt>
              <c:pt idx="29">
                <c:v>3.3597594322318097E-2</c:v>
              </c:pt>
              <c:pt idx="30">
                <c:v>3.3509296313245625E-2</c:v>
              </c:pt>
              <c:pt idx="31">
                <c:v>3.3406941252105297E-2</c:v>
              </c:pt>
              <c:pt idx="32">
                <c:v>3.3291603458921876E-2</c:v>
              </c:pt>
              <c:pt idx="33">
                <c:v>3.3164437178186706E-2</c:v>
              </c:pt>
              <c:pt idx="34">
                <c:v>3.3026648039659948E-2</c:v>
              </c:pt>
              <c:pt idx="35">
                <c:v>3.2879465911649565E-2</c:v>
              </c:pt>
              <c:pt idx="36">
                <c:v>3.2724120089613527E-2</c:v>
              </c:pt>
              <c:pt idx="37">
                <c:v>3.2561817496304393E-2</c:v>
              </c:pt>
              <c:pt idx="38">
                <c:v>3.2393724302205024E-2</c:v>
              </c:pt>
              <c:pt idx="39">
                <c:v>3.2220951129550625E-2</c:v>
              </c:pt>
              <c:pt idx="40">
                <c:v>3.2044541795365311E-2</c:v>
              </c:pt>
              <c:pt idx="41">
                <c:v>3.1865465386878213E-2</c:v>
              </c:pt>
              <c:pt idx="42">
                <c:v>3.1684611348254135E-2</c:v>
              </c:pt>
              <c:pt idx="43">
                <c:v>3.1502787187754219E-2</c:v>
              </c:pt>
              <c:pt idx="44">
                <c:v>3.1320718383058194E-2</c:v>
              </c:pt>
              <c:pt idx="45">
                <c:v>3.1139050061769116E-2</c:v>
              </c:pt>
              <c:pt idx="46">
                <c:v>3.0958350055992959E-2</c:v>
              </c:pt>
              <c:pt idx="47">
                <c:v>3.0779112966800307E-2</c:v>
              </c:pt>
              <c:pt idx="48">
                <c:v>3.0601764919879974E-2</c:v>
              </c:pt>
              <c:pt idx="49">
                <c:v>3.0426668742639516E-2</c:v>
              </c:pt>
              <c:pt idx="50">
                <c:v>3.0254129341580477E-2</c:v>
              </c:pt>
              <c:pt idx="51">
                <c:v>3.0084399104368914E-2</c:v>
              </c:pt>
              <c:pt idx="52">
                <c:v>2.9917683192038989E-2</c:v>
              </c:pt>
              <c:pt idx="53">
                <c:v>2.9754144622409617E-2</c:v>
              </c:pt>
              <c:pt idx="54">
                <c:v>2.9593909075847288E-2</c:v>
              </c:pt>
              <c:pt idx="55">
                <c:v>2.9437069379158205E-2</c:v>
              </c:pt>
              <c:pt idx="56">
                <c:v>2.9283689643078106E-2</c:v>
              </c:pt>
              <c:pt idx="57">
                <c:v>2.8987445253082427E-2</c:v>
              </c:pt>
              <c:pt idx="58">
                <c:v>2.8705249438049581E-2</c:v>
              </c:pt>
              <c:pt idx="59">
                <c:v>2.843692272060656E-2</c:v>
              </c:pt>
              <c:pt idx="60">
                <c:v>2.8182106961193734E-2</c:v>
              </c:pt>
              <c:pt idx="61">
                <c:v>2.7940323066302088E-2</c:v>
              </c:pt>
              <c:pt idx="62">
                <c:v>2.771101497108848E-2</c:v>
              </c:pt>
              <c:pt idx="63">
                <c:v>2.7493582588817535E-2</c:v>
              </c:pt>
              <c:pt idx="64">
                <c:v>2.7287406065353549E-2</c:v>
              </c:pt>
              <c:pt idx="65">
                <c:v>2.7091863289154108E-2</c:v>
              </c:pt>
              <c:pt idx="66">
                <c:v>2.690634223888767E-2</c:v>
              </c:pt>
              <c:pt idx="67">
                <c:v>2.673024942614733E-2</c:v>
              </c:pt>
              <c:pt idx="68">
                <c:v>2.6563015417404752E-2</c:v>
              </c:pt>
              <c:pt idx="69">
                <c:v>2.640409819616079E-2</c:v>
              </c:pt>
              <c:pt idx="70">
                <c:v>2.6252984947883497E-2</c:v>
              </c:pt>
              <c:pt idx="71">
                <c:v>2.610919271000376E-2</c:v>
              </c:pt>
              <c:pt idx="72">
                <c:v>2.597226822015037E-2</c:v>
              </c:pt>
              <c:pt idx="73">
                <c:v>2.5841787211775113E-2</c:v>
              </c:pt>
              <c:pt idx="74">
                <c:v>2.5717353342065267E-2</c:v>
              </c:pt>
              <c:pt idx="75">
                <c:v>2.5598596888211325E-2</c:v>
              </c:pt>
              <c:pt idx="76">
                <c:v>2.5485173311188873E-2</c:v>
              </c:pt>
              <c:pt idx="77">
                <c:v>2.5273063556165737E-2</c:v>
              </c:pt>
              <c:pt idx="78">
                <c:v>2.5078714550976496E-2</c:v>
              </c:pt>
              <c:pt idx="79">
                <c:v>2.4900125447290717E-2</c:v>
              </c:pt>
              <c:pt idx="80">
                <c:v>2.4735561478973527E-2</c:v>
              </c:pt>
              <c:pt idx="81">
                <c:v>2.4583516169954973E-2</c:v>
              </c:pt>
              <c:pt idx="82">
                <c:v>2.4249973889194042E-2</c:v>
              </c:pt>
              <c:pt idx="83">
                <c:v>2.3970556092921879E-2</c:v>
              </c:pt>
              <c:pt idx="84">
                <c:v>2.3733423854580125E-2</c:v>
              </c:pt>
              <c:pt idx="85">
                <c:v>2.3529865143833231E-2</c:v>
              </c:pt>
              <c:pt idx="86">
                <c:v>2.3353355225599216E-2</c:v>
              </c:pt>
              <c:pt idx="87">
                <c:v>2.3198926159195745E-2</c:v>
              </c:pt>
              <c:pt idx="88">
                <c:v>2.294177753595765E-2</c:v>
              </c:pt>
              <c:pt idx="89">
                <c:v>2.2736452704669185E-2</c:v>
              </c:pt>
              <c:pt idx="90">
                <c:v>2.2568842643838953E-2</c:v>
              </c:pt>
              <c:pt idx="91">
                <c:v>2.2429498103471914E-2</c:v>
              </c:pt>
              <c:pt idx="92">
                <c:v>2.2311864752467405E-2</c:v>
              </c:pt>
              <c:pt idx="93">
                <c:v>2.19219477646126E-2</c:v>
              </c:pt>
              <c:pt idx="94">
                <c:v>2.1703336717703383E-2</c:v>
              </c:pt>
              <c:pt idx="95">
                <c:v>2.1466576659932901E-2</c:v>
              </c:pt>
              <c:pt idx="96">
                <c:v>2.1340749932151591E-2</c:v>
              </c:pt>
              <c:pt idx="97">
                <c:v>2.0930000000000001E-2</c:v>
              </c:pt>
              <c:pt idx="98">
                <c:v>2.0462352026117177E-2</c:v>
              </c:pt>
              <c:pt idx="99">
                <c:v>2.0292078253462336E-2</c:v>
              </c:pt>
              <c:pt idx="100">
                <c:v>1.9927403009249937E-2</c:v>
              </c:pt>
              <c:pt idx="101">
                <c:v>1.9527441400141971E-2</c:v>
              </c:pt>
              <c:pt idx="102">
                <c:v>1.9406130083083659E-2</c:v>
              </c:pt>
              <c:pt idx="103">
                <c:v>1.9262042185935597E-2</c:v>
              </c:pt>
              <c:pt idx="104">
                <c:v>1.9088173676807301E-2</c:v>
              </c:pt>
              <c:pt idx="105">
                <c:v>1.8874364740294421E-2</c:v>
              </c:pt>
              <c:pt idx="106">
                <c:v>1.8605334220365727E-2</c:v>
              </c:pt>
              <c:pt idx="107">
                <c:v>1.8443106339845548E-2</c:v>
              </c:pt>
              <c:pt idx="108">
                <c:v>1.8257081553294929E-2</c:v>
              </c:pt>
              <c:pt idx="109">
                <c:v>1.8041765933534418E-2</c:v>
              </c:pt>
              <c:pt idx="110">
                <c:v>1.7789900045223919E-2</c:v>
              </c:pt>
              <c:pt idx="111">
                <c:v>1.7491727600755014E-2</c:v>
              </c:pt>
              <c:pt idx="112">
                <c:v>1.7133900318625845E-2</c:v>
              </c:pt>
              <c:pt idx="113">
                <c:v>1.6970127856038714E-2</c:v>
              </c:pt>
              <c:pt idx="114">
                <c:v>1.6792426733524612E-2</c:v>
              </c:pt>
              <c:pt idx="115">
                <c:v>1.6599076898329495E-2</c:v>
              </c:pt>
              <c:pt idx="116">
                <c:v>1.6388094622981707E-2</c:v>
              </c:pt>
              <c:pt idx="117">
                <c:v>1.6157190180898885E-2</c:v>
              </c:pt>
              <c:pt idx="118">
                <c:v>1.6033456612372633E-2</c:v>
              </c:pt>
              <c:pt idx="119">
                <c:v>1.590372165004483E-2</c:v>
              </c:pt>
              <c:pt idx="120">
                <c:v>1.5767592217746176E-2</c:v>
              </c:pt>
              <c:pt idx="121">
                <c:v>1.5624647462044871E-2</c:v>
              </c:pt>
              <c:pt idx="122">
                <c:v>1.5474437646003199E-2</c:v>
              </c:pt>
              <c:pt idx="123">
                <c:v>1.5316483392004664E-2</c:v>
              </c:pt>
              <c:pt idx="124">
                <c:v>1.5150275451951677E-2</c:v>
              </c:pt>
              <c:pt idx="125">
                <c:v>1.4975275245324009E-2</c:v>
              </c:pt>
              <c:pt idx="126">
                <c:v>1.4790916486985731E-2</c:v>
              </c:pt>
              <c:pt idx="127">
                <c:v>1.4596608332400495E-2</c:v>
              </c:pt>
              <c:pt idx="128">
                <c:v>1.4391740604136366E-2</c:v>
              </c:pt>
              <c:pt idx="129">
                <c:v>1.4175691836973547E-2</c:v>
              </c:pt>
              <c:pt idx="130">
                <c:v>1.3947841096409371E-2</c:v>
              </c:pt>
              <c:pt idx="131">
                <c:v>1.3707584792488141E-2</c:v>
              </c:pt>
              <c:pt idx="132">
                <c:v>1.3454360029547155E-2</c:v>
              </c:pt>
              <c:pt idx="133">
                <c:v>1.3322727312893847E-2</c:v>
              </c:pt>
              <c:pt idx="134">
                <c:v>1.3187676396417802E-2</c:v>
              </c:pt>
              <c:pt idx="135">
                <c:v>1.304916427263535E-2</c:v>
              </c:pt>
              <c:pt idx="136">
                <c:v>1.2907158489149532E-2</c:v>
              </c:pt>
              <c:pt idx="137">
                <c:v>1.2761639254297252E-2</c:v>
              </c:pt>
              <c:pt idx="138">
                <c:v>1.2612601820716014E-2</c:v>
              </c:pt>
              <c:pt idx="139">
                <c:v>1.2460059169599368E-2</c:v>
              </c:pt>
              <c:pt idx="140">
                <c:v>1.2304045016555564E-2</c:v>
              </c:pt>
              <c:pt idx="141">
                <c:v>1.214461715663261E-2</c:v>
              </c:pt>
              <c:pt idx="142">
                <c:v>1.1981861160791238E-2</c:v>
              </c:pt>
              <c:pt idx="143">
                <c:v>1.1815894428391283E-2</c:v>
              </c:pt>
              <c:pt idx="144">
                <c:v>1.1646870589539764E-2</c:v>
              </c:pt>
              <c:pt idx="145">
                <c:v>1.1474984236816857E-2</c:v>
              </c:pt>
              <c:pt idx="146">
                <c:v>1.1300475947320083E-2</c:v>
              </c:pt>
            </c:numLit>
          </c:yVal>
          <c:smooth val="1"/>
          <c:extLst>
            <c:ext xmlns:c16="http://schemas.microsoft.com/office/drawing/2014/chart" uri="{C3380CC4-5D6E-409C-BE32-E72D297353CC}">
              <c16:uniqueId val="{00000094-C14A-4FA0-9D89-6310253ECE5D}"/>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8F2E-4270-8906-1944D030A90F}"/>
            </c:ext>
          </c:extLst>
        </c:ser>
        <c:ser>
          <c:idx val="1"/>
          <c:order val="1"/>
          <c:spPr>
            <a:ln w="3175">
              <a:solidFill>
                <a:srgbClr val="000000"/>
              </a:solidFill>
              <a:prstDash val="solid"/>
            </a:ln>
          </c:spPr>
          <c:marker>
            <c:symbol val="none"/>
          </c:marker>
          <c:xVal>
            <c:numLit>
              <c:formatCode>General</c:formatCode>
              <c:ptCount val="2"/>
              <c:pt idx="0">
                <c:v>16.810229479756391</c:v>
              </c:pt>
              <c:pt idx="1">
                <c:v>17.208296457460236</c:v>
              </c:pt>
            </c:numLit>
          </c:xVal>
          <c:yVal>
            <c:numLit>
              <c:formatCode>General</c:formatCode>
              <c:ptCount val="2"/>
              <c:pt idx="0">
                <c:v>2.8677892915949361E-2</c:v>
              </c:pt>
              <c:pt idx="1">
                <c:v>2.900994546949005E-2</c:v>
              </c:pt>
            </c:numLit>
          </c:yVal>
          <c:smooth val="0"/>
          <c:extLst>
            <c:ext xmlns:c16="http://schemas.microsoft.com/office/drawing/2014/chart" uri="{C3380CC4-5D6E-409C-BE32-E72D297353CC}">
              <c16:uniqueId val="{00000001-8F2E-4270-8906-1944D030A90F}"/>
            </c:ext>
          </c:extLst>
        </c:ser>
        <c:ser>
          <c:idx val="2"/>
          <c:order val="2"/>
          <c:spPr>
            <a:ln w="3175">
              <a:solidFill>
                <a:srgbClr val="000000"/>
              </a:solidFill>
              <a:prstDash val="solid"/>
            </a:ln>
          </c:spPr>
          <c:marker>
            <c:symbol val="none"/>
          </c:marker>
          <c:dLbls>
            <c:dLbl>
              <c:idx val="0"/>
              <c:tx>
                <c:rich>
                  <a:bodyPr rot="-28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3800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F2E-4270-8906-1944D030A9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17.938085916583955</c:v>
              </c:pt>
            </c:numLit>
          </c:xVal>
          <c:yVal>
            <c:numLit>
              <c:formatCode>General</c:formatCode>
              <c:ptCount val="1"/>
              <c:pt idx="0">
                <c:v>2.9618708484314641E-2</c:v>
              </c:pt>
            </c:numLit>
          </c:yVal>
          <c:smooth val="0"/>
          <c:extLst>
            <c:ext xmlns:c16="http://schemas.microsoft.com/office/drawing/2014/chart" uri="{C3380CC4-5D6E-409C-BE32-E72D297353CC}">
              <c16:uniqueId val="{00000003-8F2E-4270-8906-1944D030A90F}"/>
            </c:ext>
          </c:extLst>
        </c:ser>
        <c:ser>
          <c:idx val="3"/>
          <c:order val="3"/>
          <c:spPr>
            <a:ln w="3175">
              <a:solidFill>
                <a:srgbClr val="000000"/>
              </a:solidFill>
              <a:prstDash val="solid"/>
            </a:ln>
          </c:spPr>
          <c:marker>
            <c:symbol val="none"/>
          </c:marker>
          <c:xVal>
            <c:numLit>
              <c:formatCode>General</c:formatCode>
              <c:ptCount val="2"/>
              <c:pt idx="0">
                <c:v>16.588644396444685</c:v>
              </c:pt>
              <c:pt idx="1">
                <c:v>16.782929633511358</c:v>
              </c:pt>
            </c:numLit>
          </c:xVal>
          <c:yVal>
            <c:numLit>
              <c:formatCode>General</c:formatCode>
              <c:ptCount val="2"/>
              <c:pt idx="0">
                <c:v>2.882017669794408E-2</c:v>
              </c:pt>
              <c:pt idx="1">
                <c:v>2.8989251912900024E-2</c:v>
              </c:pt>
            </c:numLit>
          </c:yVal>
          <c:smooth val="0"/>
          <c:extLst>
            <c:ext xmlns:c16="http://schemas.microsoft.com/office/drawing/2014/chart" uri="{C3380CC4-5D6E-409C-BE32-E72D297353CC}">
              <c16:uniqueId val="{00000004-8F2E-4270-8906-1944D030A90F}"/>
            </c:ext>
          </c:extLst>
        </c:ser>
        <c:ser>
          <c:idx val="4"/>
          <c:order val="4"/>
          <c:spPr>
            <a:ln w="3175">
              <a:solidFill>
                <a:srgbClr val="000000"/>
              </a:solidFill>
              <a:prstDash val="solid"/>
            </a:ln>
          </c:spPr>
          <c:marker>
            <c:symbol val="none"/>
          </c:marker>
          <c:xVal>
            <c:numLit>
              <c:formatCode>General</c:formatCode>
              <c:ptCount val="2"/>
              <c:pt idx="0">
                <c:v>16.354668757094764</c:v>
              </c:pt>
              <c:pt idx="1">
                <c:v>16.733211703827397</c:v>
              </c:pt>
            </c:numLit>
          </c:xVal>
          <c:yVal>
            <c:numLit>
              <c:formatCode>General</c:formatCode>
              <c:ptCount val="2"/>
              <c:pt idx="0">
                <c:v>2.8964054945422545E-2</c:v>
              </c:pt>
              <c:pt idx="1">
                <c:v>2.9308371585940653E-2</c:v>
              </c:pt>
            </c:numLit>
          </c:yVal>
          <c:smooth val="0"/>
          <c:extLst>
            <c:ext xmlns:c16="http://schemas.microsoft.com/office/drawing/2014/chart" uri="{C3380CC4-5D6E-409C-BE32-E72D297353CC}">
              <c16:uniqueId val="{00000005-8F2E-4270-8906-1944D030A90F}"/>
            </c:ext>
          </c:extLst>
        </c:ser>
        <c:ser>
          <c:idx val="5"/>
          <c:order val="5"/>
          <c:spPr>
            <a:ln w="3175">
              <a:solidFill>
                <a:srgbClr val="000000"/>
              </a:solidFill>
              <a:prstDash val="solid"/>
            </a:ln>
          </c:spPr>
          <c:marker>
            <c:symbol val="none"/>
          </c:marker>
          <c:xVal>
            <c:numLit>
              <c:formatCode>General</c:formatCode>
              <c:ptCount val="2"/>
              <c:pt idx="0">
                <c:v>16.107718156429225</c:v>
              </c:pt>
              <c:pt idx="1">
                <c:v>16.291697831209852</c:v>
              </c:pt>
            </c:numLit>
          </c:xVal>
          <c:yVal>
            <c:numLit>
              <c:formatCode>General</c:formatCode>
              <c:ptCount val="2"/>
              <c:pt idx="0">
                <c:v>2.9109197410386176E-2</c:v>
              </c:pt>
              <c:pt idx="1">
                <c:v>2.9284465926323024E-2</c:v>
              </c:pt>
            </c:numLit>
          </c:yVal>
          <c:smooth val="0"/>
          <c:extLst>
            <c:ext xmlns:c16="http://schemas.microsoft.com/office/drawing/2014/chart" uri="{C3380CC4-5D6E-409C-BE32-E72D297353CC}">
              <c16:uniqueId val="{00000006-8F2E-4270-8906-1944D030A90F}"/>
            </c:ext>
          </c:extLst>
        </c:ser>
        <c:ser>
          <c:idx val="6"/>
          <c:order val="6"/>
          <c:spPr>
            <a:ln w="3175">
              <a:solidFill>
                <a:srgbClr val="000000"/>
              </a:solidFill>
              <a:prstDash val="solid"/>
            </a:ln>
          </c:spPr>
          <c:marker>
            <c:symbol val="none"/>
          </c:marker>
          <c:xVal>
            <c:numLit>
              <c:formatCode>General</c:formatCode>
              <c:ptCount val="2"/>
              <c:pt idx="0">
                <c:v>15.847219725836448</c:v>
              </c:pt>
              <c:pt idx="1">
                <c:v>16.204014856943722</c:v>
              </c:pt>
            </c:numLit>
          </c:xVal>
          <c:yVal>
            <c:numLit>
              <c:formatCode>General</c:formatCode>
              <c:ptCount val="2"/>
              <c:pt idx="0">
                <c:v>2.9255219725836449E-2</c:v>
              </c:pt>
              <c:pt idx="1">
                <c:v>2.9612014856943723E-2</c:v>
              </c:pt>
            </c:numLit>
          </c:yVal>
          <c:smooth val="0"/>
          <c:extLst>
            <c:ext xmlns:c16="http://schemas.microsoft.com/office/drawing/2014/chart" uri="{C3380CC4-5D6E-409C-BE32-E72D297353CC}">
              <c16:uniqueId val="{00000007-8F2E-4270-8906-1944D030A90F}"/>
            </c:ext>
          </c:extLst>
        </c:ser>
        <c:ser>
          <c:idx val="7"/>
          <c:order val="7"/>
          <c:spPr>
            <a:ln w="3175">
              <a:solidFill>
                <a:srgbClr val="000000"/>
              </a:solidFill>
              <a:prstDash val="solid"/>
            </a:ln>
          </c:spPr>
          <c:marker>
            <c:symbol val="none"/>
          </c:marker>
          <c:dLbls>
            <c:dLbl>
              <c:idx val="0"/>
              <c:tx>
                <c:rich>
                  <a:bodyPr rot="-32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3600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F2E-4270-8906-1944D030A9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16.85813926397373</c:v>
              </c:pt>
            </c:numLit>
          </c:xVal>
          <c:yVal>
            <c:numLit>
              <c:formatCode>General</c:formatCode>
              <c:ptCount val="1"/>
              <c:pt idx="0">
                <c:v>3.0266139263973729E-2</c:v>
              </c:pt>
            </c:numLit>
          </c:yVal>
          <c:smooth val="0"/>
          <c:extLst>
            <c:ext xmlns:c16="http://schemas.microsoft.com/office/drawing/2014/chart" uri="{C3380CC4-5D6E-409C-BE32-E72D297353CC}">
              <c16:uniqueId val="{00000009-8F2E-4270-8906-1944D030A90F}"/>
            </c:ext>
          </c:extLst>
        </c:ser>
        <c:ser>
          <c:idx val="8"/>
          <c:order val="8"/>
          <c:spPr>
            <a:ln w="3175">
              <a:solidFill>
                <a:srgbClr val="000000"/>
              </a:solidFill>
              <a:prstDash val="solid"/>
            </a:ln>
          </c:spPr>
          <c:marker>
            <c:symbol val="none"/>
          </c:marker>
          <c:xVal>
            <c:numLit>
              <c:formatCode>General</c:formatCode>
              <c:ptCount val="2"/>
              <c:pt idx="0">
                <c:v>15.572621851491188</c:v>
              </c:pt>
              <c:pt idx="1">
                <c:v>15.745135176880286</c:v>
              </c:pt>
            </c:numLit>
          </c:xVal>
          <c:yVal>
            <c:numLit>
              <c:formatCode>General</c:formatCode>
              <c:ptCount val="2"/>
              <c:pt idx="0">
                <c:v>2.9401679479707257E-2</c:v>
              </c:pt>
              <c:pt idx="1">
                <c:v>2.9583215468558126E-2</c:v>
              </c:pt>
            </c:numLit>
          </c:yVal>
          <c:smooth val="0"/>
          <c:extLst>
            <c:ext xmlns:c16="http://schemas.microsoft.com/office/drawing/2014/chart" uri="{C3380CC4-5D6E-409C-BE32-E72D297353CC}">
              <c16:uniqueId val="{0000000A-8F2E-4270-8906-1944D030A90F}"/>
            </c:ext>
          </c:extLst>
        </c:ser>
        <c:ser>
          <c:idx val="9"/>
          <c:order val="9"/>
          <c:spPr>
            <a:ln w="3175">
              <a:solidFill>
                <a:srgbClr val="000000"/>
              </a:solidFill>
              <a:prstDash val="solid"/>
            </a:ln>
          </c:spPr>
          <c:marker>
            <c:symbol val="none"/>
          </c:marker>
          <c:xVal>
            <c:numLit>
              <c:formatCode>General</c:formatCode>
              <c:ptCount val="2"/>
              <c:pt idx="0">
                <c:v>15.283405513946459</c:v>
              </c:pt>
              <c:pt idx="1">
                <c:v>15.616037178829878</c:v>
              </c:pt>
            </c:numLit>
          </c:xVal>
          <c:yVal>
            <c:numLit>
              <c:formatCode>General</c:formatCode>
              <c:ptCount val="2"/>
              <c:pt idx="0">
                <c:v>2.9548072789216489E-2</c:v>
              </c:pt>
              <c:pt idx="1">
                <c:v>2.9917418765897194E-2</c:v>
              </c:pt>
            </c:numLit>
          </c:yVal>
          <c:smooth val="0"/>
          <c:extLst>
            <c:ext xmlns:c16="http://schemas.microsoft.com/office/drawing/2014/chart" uri="{C3380CC4-5D6E-409C-BE32-E72D297353CC}">
              <c16:uniqueId val="{0000000B-8F2E-4270-8906-1944D030A90F}"/>
            </c:ext>
          </c:extLst>
        </c:ser>
        <c:ser>
          <c:idx val="10"/>
          <c:order val="10"/>
          <c:spPr>
            <a:ln w="3175">
              <a:solidFill>
                <a:srgbClr val="000000"/>
              </a:solidFill>
              <a:prstDash val="solid"/>
            </a:ln>
          </c:spPr>
          <c:marker>
            <c:symbol val="none"/>
          </c:marker>
          <c:xVal>
            <c:numLit>
              <c:formatCode>General</c:formatCode>
              <c:ptCount val="2"/>
              <c:pt idx="0">
                <c:v>14.97909728533833</c:v>
              </c:pt>
              <c:pt idx="1">
                <c:v>15.138892227167009</c:v>
              </c:pt>
            </c:numLit>
          </c:xVal>
          <c:yVal>
            <c:numLit>
              <c:formatCode>General</c:formatCode>
              <c:ptCount val="2"/>
              <c:pt idx="0">
                <c:v>2.9693831622722384E-2</c:v>
              </c:pt>
              <c:pt idx="1">
                <c:v>2.9881628014637864E-2</c:v>
              </c:pt>
            </c:numLit>
          </c:yVal>
          <c:smooth val="0"/>
          <c:extLst>
            <c:ext xmlns:c16="http://schemas.microsoft.com/office/drawing/2014/chart" uri="{C3380CC4-5D6E-409C-BE32-E72D297353CC}">
              <c16:uniqueId val="{0000000C-8F2E-4270-8906-1944D030A90F}"/>
            </c:ext>
          </c:extLst>
        </c:ser>
        <c:ser>
          <c:idx val="11"/>
          <c:order val="11"/>
          <c:spPr>
            <a:ln w="3175">
              <a:solidFill>
                <a:srgbClr val="000000"/>
              </a:solidFill>
              <a:prstDash val="solid"/>
            </a:ln>
          </c:spPr>
          <c:marker>
            <c:symbol val="none"/>
          </c:marker>
          <c:xVal>
            <c:numLit>
              <c:formatCode>General</c:formatCode>
              <c:ptCount val="2"/>
              <c:pt idx="0">
                <c:v>14.659283952235356</c:v>
              </c:pt>
              <c:pt idx="1">
                <c:v>14.965167550188299</c:v>
              </c:pt>
            </c:numLit>
          </c:xVal>
          <c:yVal>
            <c:numLit>
              <c:formatCode>General</c:formatCode>
              <c:ptCount val="2"/>
              <c:pt idx="0">
                <c:v>2.9838322153782595E-2</c:v>
              </c:pt>
              <c:pt idx="1">
                <c:v>3.0220107388944706E-2</c:v>
              </c:pt>
            </c:numLit>
          </c:yVal>
          <c:smooth val="0"/>
          <c:extLst>
            <c:ext xmlns:c16="http://schemas.microsoft.com/office/drawing/2014/chart" uri="{C3380CC4-5D6E-409C-BE32-E72D297353CC}">
              <c16:uniqueId val="{0000000D-8F2E-4270-8906-1944D030A90F}"/>
            </c:ext>
          </c:extLst>
        </c:ser>
        <c:ser>
          <c:idx val="12"/>
          <c:order val="12"/>
          <c:spPr>
            <a:ln w="3175">
              <a:solidFill>
                <a:srgbClr val="000000"/>
              </a:solidFill>
              <a:prstDash val="solid"/>
            </a:ln>
          </c:spPr>
          <c:marker>
            <c:symbol val="none"/>
          </c:marker>
          <c:dLbls>
            <c:dLbl>
              <c:idx val="0"/>
              <c:tx>
                <c:rich>
                  <a:bodyPr rot="-35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3400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F2E-4270-8906-1944D030A9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15.525954146435364</c:v>
              </c:pt>
            </c:numLit>
          </c:xVal>
          <c:yVal>
            <c:numLit>
              <c:formatCode>General</c:formatCode>
              <c:ptCount val="1"/>
              <c:pt idx="0">
                <c:v>3.0920046986741907E-2</c:v>
              </c:pt>
            </c:numLit>
          </c:yVal>
          <c:smooth val="0"/>
          <c:extLst>
            <c:ext xmlns:c16="http://schemas.microsoft.com/office/drawing/2014/chart" uri="{C3380CC4-5D6E-409C-BE32-E72D297353CC}">
              <c16:uniqueId val="{0000000F-8F2E-4270-8906-1944D030A90F}"/>
            </c:ext>
          </c:extLst>
        </c:ser>
        <c:ser>
          <c:idx val="13"/>
          <c:order val="13"/>
          <c:spPr>
            <a:ln w="3175">
              <a:solidFill>
                <a:srgbClr val="000000"/>
              </a:solidFill>
              <a:prstDash val="solid"/>
            </a:ln>
          </c:spPr>
          <c:marker>
            <c:symbol val="none"/>
          </c:marker>
          <c:xVal>
            <c:numLit>
              <c:formatCode>General</c:formatCode>
              <c:ptCount val="2"/>
              <c:pt idx="0">
                <c:v>14.323628642858322</c:v>
              </c:pt>
              <c:pt idx="1">
                <c:v>14.469377828062429</c:v>
              </c:pt>
            </c:numLit>
          </c:xVal>
          <c:yVal>
            <c:numLit>
              <c:formatCode>General</c:formatCode>
              <c:ptCount val="2"/>
              <c:pt idx="0">
                <c:v>2.9980844463909358E-2</c:v>
              </c:pt>
              <c:pt idx="1">
                <c:v>3.0174791130993129E-2</c:v>
              </c:pt>
            </c:numLit>
          </c:yVal>
          <c:smooth val="0"/>
          <c:extLst>
            <c:ext xmlns:c16="http://schemas.microsoft.com/office/drawing/2014/chart" uri="{C3380CC4-5D6E-409C-BE32-E72D297353CC}">
              <c16:uniqueId val="{00000010-8F2E-4270-8906-1944D030A90F}"/>
            </c:ext>
          </c:extLst>
        </c:ser>
        <c:ser>
          <c:idx val="14"/>
          <c:order val="14"/>
          <c:spPr>
            <a:ln w="3175">
              <a:solidFill>
                <a:srgbClr val="000000"/>
              </a:solidFill>
              <a:prstDash val="solid"/>
            </a:ln>
          </c:spPr>
          <c:marker>
            <c:symbol val="none"/>
          </c:marker>
          <c:xVal>
            <c:numLit>
              <c:formatCode>General</c:formatCode>
              <c:ptCount val="2"/>
              <c:pt idx="0">
                <c:v>13.971888226311023</c:v>
              </c:pt>
              <c:pt idx="1">
                <c:v>14.248312007438637</c:v>
              </c:pt>
            </c:numLit>
          </c:xVal>
          <c:yVal>
            <c:numLit>
              <c:formatCode>General</c:formatCode>
              <c:ptCount val="2"/>
              <c:pt idx="0">
                <c:v>3.0120633931542337E-2</c:v>
              </c:pt>
              <c:pt idx="1">
                <c:v>3.051451824289415E-2</c:v>
              </c:pt>
            </c:numLit>
          </c:yVal>
          <c:smooth val="0"/>
          <c:extLst>
            <c:ext xmlns:c16="http://schemas.microsoft.com/office/drawing/2014/chart" uri="{C3380CC4-5D6E-409C-BE32-E72D297353CC}">
              <c16:uniqueId val="{00000011-8F2E-4270-8906-1944D030A90F}"/>
            </c:ext>
          </c:extLst>
        </c:ser>
        <c:ser>
          <c:idx val="15"/>
          <c:order val="15"/>
          <c:spPr>
            <a:ln w="3175">
              <a:solidFill>
                <a:srgbClr val="000000"/>
              </a:solidFill>
              <a:prstDash val="solid"/>
            </a:ln>
          </c:spPr>
          <c:marker>
            <c:symbol val="none"/>
          </c:marker>
          <c:xVal>
            <c:numLit>
              <c:formatCode>General</c:formatCode>
              <c:ptCount val="2"/>
              <c:pt idx="0">
                <c:v>13.603931620112528</c:v>
              </c:pt>
              <c:pt idx="1">
                <c:v>13.734258726257798</c:v>
              </c:pt>
            </c:numLit>
          </c:xVal>
          <c:yVal>
            <c:numLit>
              <c:formatCode>General</c:formatCode>
              <c:ptCount val="2"/>
              <c:pt idx="0">
                <c:v>3.0256864649135986E-2</c:v>
              </c:pt>
              <c:pt idx="1">
                <c:v>3.0456726034474614E-2</c:v>
              </c:pt>
            </c:numLit>
          </c:yVal>
          <c:smooth val="0"/>
          <c:extLst>
            <c:ext xmlns:c16="http://schemas.microsoft.com/office/drawing/2014/chart" uri="{C3380CC4-5D6E-409C-BE32-E72D297353CC}">
              <c16:uniqueId val="{00000012-8F2E-4270-8906-1944D030A90F}"/>
            </c:ext>
          </c:extLst>
        </c:ser>
        <c:ser>
          <c:idx val="16"/>
          <c:order val="16"/>
          <c:spPr>
            <a:ln w="3175">
              <a:solidFill>
                <a:srgbClr val="000000"/>
              </a:solidFill>
              <a:prstDash val="solid"/>
            </a:ln>
          </c:spPr>
          <c:marker>
            <c:symbol val="none"/>
          </c:marker>
          <c:xVal>
            <c:numLit>
              <c:formatCode>General</c:formatCode>
              <c:ptCount val="2"/>
              <c:pt idx="0">
                <c:v>13.2197584950931</c:v>
              </c:pt>
              <c:pt idx="1">
                <c:v>13.463948144882803</c:v>
              </c:pt>
            </c:numLit>
          </c:xVal>
          <c:yVal>
            <c:numLit>
              <c:formatCode>General</c:formatCode>
              <c:ptCount val="2"/>
              <c:pt idx="0">
                <c:v>3.0388655191524186E-2</c:v>
              </c:pt>
              <c:pt idx="1">
                <c:v>3.0794026128303793E-2</c:v>
              </c:pt>
            </c:numLit>
          </c:yVal>
          <c:smooth val="0"/>
          <c:extLst>
            <c:ext xmlns:c16="http://schemas.microsoft.com/office/drawing/2014/chart" uri="{C3380CC4-5D6E-409C-BE32-E72D297353CC}">
              <c16:uniqueId val="{00000013-8F2E-4270-8906-1944D030A90F}"/>
            </c:ext>
          </c:extLst>
        </c:ser>
        <c:ser>
          <c:idx val="17"/>
          <c:order val="17"/>
          <c:spPr>
            <a:ln w="3175">
              <a:solidFill>
                <a:srgbClr val="000000"/>
              </a:solidFill>
              <a:prstDash val="solid"/>
            </a:ln>
          </c:spPr>
          <c:marker>
            <c:symbol val="none"/>
          </c:marker>
          <c:dLbls>
            <c:dLbl>
              <c:idx val="0"/>
              <c:tx>
                <c:rich>
                  <a:bodyPr rot="-39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3200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F2E-4270-8906-1944D030A9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13.91162916949726</c:v>
              </c:pt>
            </c:numLit>
          </c:xVal>
          <c:yVal>
            <c:numLit>
              <c:formatCode>General</c:formatCode>
              <c:ptCount val="1"/>
              <c:pt idx="0">
                <c:v>3.1537206179066406E-2</c:v>
              </c:pt>
            </c:numLit>
          </c:yVal>
          <c:smooth val="0"/>
          <c:extLst>
            <c:ext xmlns:c16="http://schemas.microsoft.com/office/drawing/2014/chart" uri="{C3380CC4-5D6E-409C-BE32-E72D297353CC}">
              <c16:uniqueId val="{00000015-8F2E-4270-8906-1944D030A90F}"/>
            </c:ext>
          </c:extLst>
        </c:ser>
        <c:ser>
          <c:idx val="18"/>
          <c:order val="18"/>
          <c:spPr>
            <a:ln w="3175">
              <a:solidFill>
                <a:srgbClr val="000000"/>
              </a:solidFill>
              <a:prstDash val="solid"/>
            </a:ln>
          </c:spPr>
          <c:marker>
            <c:symbol val="none"/>
          </c:marker>
          <c:xVal>
            <c:numLit>
              <c:formatCode>General</c:formatCode>
              <c:ptCount val="2"/>
              <c:pt idx="0">
                <c:v>12.819517711563606</c:v>
              </c:pt>
              <c:pt idx="1">
                <c:v>12.933035948239969</c:v>
              </c:pt>
            </c:numLit>
          </c:xVal>
          <c:yVal>
            <c:numLit>
              <c:formatCode>General</c:formatCode>
              <c:ptCount val="2"/>
              <c:pt idx="0">
                <c:v>3.0515077010490988E-2</c:v>
              </c:pt>
              <c:pt idx="1">
                <c:v>3.0720471517858654E-2</c:v>
              </c:pt>
            </c:numLit>
          </c:yVal>
          <c:smooth val="0"/>
          <c:extLst>
            <c:ext xmlns:c16="http://schemas.microsoft.com/office/drawing/2014/chart" uri="{C3380CC4-5D6E-409C-BE32-E72D297353CC}">
              <c16:uniqueId val="{00000016-8F2E-4270-8906-1944D030A90F}"/>
            </c:ext>
          </c:extLst>
        </c:ser>
        <c:ser>
          <c:idx val="19"/>
          <c:order val="19"/>
          <c:spPr>
            <a:ln w="3175">
              <a:solidFill>
                <a:srgbClr val="000000"/>
              </a:solidFill>
              <a:prstDash val="solid"/>
            </a:ln>
          </c:spPr>
          <c:marker>
            <c:symbol val="none"/>
          </c:marker>
          <c:xVal>
            <c:numLit>
              <c:formatCode>General</c:formatCode>
              <c:ptCount val="2"/>
              <c:pt idx="0">
                <c:v>12.403524669547116</c:v>
              </c:pt>
              <c:pt idx="1">
                <c:v>12.612732869670563</c:v>
              </c:pt>
            </c:numLit>
          </c:xVal>
          <c:yVal>
            <c:numLit>
              <c:formatCode>General</c:formatCode>
              <c:ptCount val="2"/>
              <c:pt idx="0">
                <c:v>3.0635165647360473E-2</c:v>
              </c:pt>
              <c:pt idx="1">
                <c:v>3.1051101317961634E-2</c:v>
              </c:pt>
            </c:numLit>
          </c:yVal>
          <c:smooth val="0"/>
          <c:extLst>
            <c:ext xmlns:c16="http://schemas.microsoft.com/office/drawing/2014/chart" uri="{C3380CC4-5D6E-409C-BE32-E72D297353CC}">
              <c16:uniqueId val="{00000017-8F2E-4270-8906-1944D030A90F}"/>
            </c:ext>
          </c:extLst>
        </c:ser>
        <c:ser>
          <c:idx val="20"/>
          <c:order val="20"/>
          <c:spPr>
            <a:ln w="3175">
              <a:solidFill>
                <a:srgbClr val="000000"/>
              </a:solidFill>
              <a:prstDash val="solid"/>
            </a:ln>
          </c:spPr>
          <c:marker>
            <c:symbol val="none"/>
          </c:marker>
          <c:xVal>
            <c:numLit>
              <c:formatCode>General</c:formatCode>
              <c:ptCount val="2"/>
              <c:pt idx="0">
                <c:v>11.972276624673018</c:v>
              </c:pt>
              <c:pt idx="1">
                <c:v>12.067639695201725</c:v>
              </c:pt>
            </c:numLit>
          </c:xVal>
          <c:yVal>
            <c:numLit>
              <c:formatCode>General</c:formatCode>
              <c:ptCount val="2"/>
              <c:pt idx="0">
                <c:v>3.0747934834256706E-2</c:v>
              </c:pt>
              <c:pt idx="1">
                <c:v>3.0958319152133637E-2</c:v>
              </c:pt>
            </c:numLit>
          </c:yVal>
          <c:smooth val="0"/>
          <c:extLst>
            <c:ext xmlns:c16="http://schemas.microsoft.com/office/drawing/2014/chart" uri="{C3380CC4-5D6E-409C-BE32-E72D297353CC}">
              <c16:uniqueId val="{00000018-8F2E-4270-8906-1944D030A90F}"/>
            </c:ext>
          </c:extLst>
        </c:ser>
        <c:ser>
          <c:idx val="21"/>
          <c:order val="21"/>
          <c:spPr>
            <a:ln w="3175">
              <a:solidFill>
                <a:srgbClr val="000000"/>
              </a:solidFill>
              <a:prstDash val="solid"/>
            </a:ln>
          </c:spPr>
          <c:marker>
            <c:symbol val="none"/>
          </c:marker>
          <c:xVal>
            <c:numLit>
              <c:formatCode>General</c:formatCode>
              <c:ptCount val="2"/>
              <c:pt idx="0">
                <c:v>11.526464929155814</c:v>
              </c:pt>
              <c:pt idx="1">
                <c:v>11.698084854691064</c:v>
              </c:pt>
            </c:numLit>
          </c:xVal>
          <c:yVal>
            <c:numLit>
              <c:formatCode>General</c:formatCode>
              <c:ptCount val="2"/>
              <c:pt idx="0">
                <c:v>3.085239339588855E-2</c:v>
              </c:pt>
              <c:pt idx="1">
                <c:v>3.1277638827140915E-2</c:v>
              </c:pt>
            </c:numLit>
          </c:yVal>
          <c:smooth val="0"/>
          <c:extLst>
            <c:ext xmlns:c16="http://schemas.microsoft.com/office/drawing/2014/chart" uri="{C3380CC4-5D6E-409C-BE32-E72D297353CC}">
              <c16:uniqueId val="{00000019-8F2E-4270-8906-1944D030A90F}"/>
            </c:ext>
          </c:extLst>
        </c:ser>
        <c:ser>
          <c:idx val="22"/>
          <c:order val="22"/>
          <c:spPr>
            <a:ln w="3175">
              <a:solidFill>
                <a:srgbClr val="000000"/>
              </a:solidFill>
              <a:prstDash val="solid"/>
            </a:ln>
          </c:spPr>
          <c:marker>
            <c:symbol val="none"/>
          </c:marker>
          <c:dLbls>
            <c:dLbl>
              <c:idx val="0"/>
              <c:tx>
                <c:rich>
                  <a:bodyPr rot="-43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F2E-4270-8906-1944D030A9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12.01272138483902</c:v>
              </c:pt>
            </c:numLit>
          </c:xVal>
          <c:yVal>
            <c:numLit>
              <c:formatCode>General</c:formatCode>
              <c:ptCount val="1"/>
              <c:pt idx="0">
                <c:v>3.2057255451103592E-2</c:v>
              </c:pt>
            </c:numLit>
          </c:yVal>
          <c:smooth val="0"/>
          <c:extLst>
            <c:ext xmlns:c16="http://schemas.microsoft.com/office/drawing/2014/chart" uri="{C3380CC4-5D6E-409C-BE32-E72D297353CC}">
              <c16:uniqueId val="{0000001B-8F2E-4270-8906-1944D030A90F}"/>
            </c:ext>
          </c:extLst>
        </c:ser>
        <c:ser>
          <c:idx val="23"/>
          <c:order val="23"/>
          <c:spPr>
            <a:ln w="3175">
              <a:solidFill>
                <a:srgbClr val="000000"/>
              </a:solidFill>
              <a:prstDash val="solid"/>
            </a:ln>
          </c:spPr>
          <c:marker>
            <c:symbol val="none"/>
          </c:marker>
          <c:xVal>
            <c:numLit>
              <c:formatCode>General</c:formatCode>
              <c:ptCount val="2"/>
              <c:pt idx="0">
                <c:v>11.066983124686066</c:v>
              </c:pt>
              <c:pt idx="1">
                <c:v>11.142947048786482</c:v>
              </c:pt>
            </c:numLit>
          </c:xVal>
          <c:yVal>
            <c:numLit>
              <c:formatCode>General</c:formatCode>
              <c:ptCount val="2"/>
              <c:pt idx="0">
                <c:v>3.0947564672567929E-2</c:v>
              </c:pt>
              <c:pt idx="1">
                <c:v>3.1162226772694385E-2</c:v>
              </c:pt>
            </c:numLit>
          </c:yVal>
          <c:smooth val="0"/>
          <c:extLst>
            <c:ext xmlns:c16="http://schemas.microsoft.com/office/drawing/2014/chart" uri="{C3380CC4-5D6E-409C-BE32-E72D297353CC}">
              <c16:uniqueId val="{0000001C-8F2E-4270-8906-1944D030A90F}"/>
            </c:ext>
          </c:extLst>
        </c:ser>
        <c:ser>
          <c:idx val="24"/>
          <c:order val="24"/>
          <c:spPr>
            <a:ln w="3175">
              <a:solidFill>
                <a:srgbClr val="000000"/>
              </a:solidFill>
              <a:prstDash val="solid"/>
            </a:ln>
          </c:spPr>
          <c:marker>
            <c:symbol val="none"/>
          </c:marker>
          <c:xVal>
            <c:numLit>
              <c:formatCode>General</c:formatCode>
              <c:ptCount val="2"/>
              <c:pt idx="0">
                <c:v>10.594929860498169</c:v>
              </c:pt>
              <c:pt idx="1">
                <c:v>10.72662685451952</c:v>
              </c:pt>
            </c:numLit>
          </c:xVal>
          <c:yVal>
            <c:numLit>
              <c:formatCode>General</c:formatCode>
              <c:ptCount val="2"/>
              <c:pt idx="0">
                <c:v>3.1032507972748882E-2</c:v>
              </c:pt>
              <c:pt idx="1">
                <c:v>3.1465472600152408E-2</c:v>
              </c:pt>
            </c:numLit>
          </c:yVal>
          <c:smooth val="0"/>
          <c:extLst>
            <c:ext xmlns:c16="http://schemas.microsoft.com/office/drawing/2014/chart" uri="{C3380CC4-5D6E-409C-BE32-E72D297353CC}">
              <c16:uniqueId val="{0000001D-8F2E-4270-8906-1944D030A90F}"/>
            </c:ext>
          </c:extLst>
        </c:ser>
        <c:ser>
          <c:idx val="25"/>
          <c:order val="25"/>
          <c:spPr>
            <a:ln w="3175">
              <a:solidFill>
                <a:srgbClr val="000000"/>
              </a:solidFill>
              <a:prstDash val="solid"/>
            </a:ln>
          </c:spPr>
          <c:marker>
            <c:symbol val="none"/>
          </c:marker>
          <c:xVal>
            <c:numLit>
              <c:formatCode>General</c:formatCode>
              <c:ptCount val="2"/>
              <c:pt idx="0">
                <c:v>10.111605750259969</c:v>
              </c:pt>
              <c:pt idx="1">
                <c:v>10.167097302051253</c:v>
              </c:pt>
            </c:numLit>
          </c:xVal>
          <c:yVal>
            <c:numLit>
              <c:formatCode>General</c:formatCode>
              <c:ptCount val="2"/>
              <c:pt idx="0">
                <c:v>3.1106341346724724E-2</c:v>
              </c:pt>
              <c:pt idx="1">
                <c:v>3.1324405804154541E-2</c:v>
              </c:pt>
            </c:numLit>
          </c:yVal>
          <c:smooth val="0"/>
          <c:extLst>
            <c:ext xmlns:c16="http://schemas.microsoft.com/office/drawing/2014/chart" uri="{C3380CC4-5D6E-409C-BE32-E72D297353CC}">
              <c16:uniqueId val="{0000001E-8F2E-4270-8906-1944D030A90F}"/>
            </c:ext>
          </c:extLst>
        </c:ser>
        <c:ser>
          <c:idx val="26"/>
          <c:order val="26"/>
          <c:spPr>
            <a:ln w="3175">
              <a:solidFill>
                <a:srgbClr val="000000"/>
              </a:solidFill>
              <a:prstDash val="solid"/>
            </a:ln>
          </c:spPr>
          <c:marker>
            <c:symbol val="none"/>
          </c:marker>
          <c:xVal>
            <c:numLit>
              <c:formatCode>General</c:formatCode>
              <c:ptCount val="2"/>
              <c:pt idx="0">
                <c:v>9.6185035223870123</c:v>
              </c:pt>
              <c:pt idx="1">
                <c:v>9.7083536733464566</c:v>
              </c:pt>
            </c:numLit>
          </c:xVal>
          <c:yVal>
            <c:numLit>
              <c:formatCode>General</c:formatCode>
              <c:ptCount val="2"/>
              <c:pt idx="0">
                <c:v>3.1168264774375409E-2</c:v>
              </c:pt>
              <c:pt idx="1">
                <c:v>3.160704755042007E-2</c:v>
              </c:pt>
            </c:numLit>
          </c:yVal>
          <c:smooth val="0"/>
          <c:extLst>
            <c:ext xmlns:c16="http://schemas.microsoft.com/office/drawing/2014/chart" uri="{C3380CC4-5D6E-409C-BE32-E72D297353CC}">
              <c16:uniqueId val="{0000001F-8F2E-4270-8906-1944D030A90F}"/>
            </c:ext>
          </c:extLst>
        </c:ser>
        <c:ser>
          <c:idx val="27"/>
          <c:order val="27"/>
          <c:spPr>
            <a:ln w="3175">
              <a:solidFill>
                <a:srgbClr val="000000"/>
              </a:solidFill>
              <a:prstDash val="solid"/>
            </a:ln>
          </c:spPr>
          <c:marker>
            <c:symbol val="none"/>
          </c:marker>
          <c:dLbls>
            <c:dLbl>
              <c:idx val="0"/>
              <c:tx>
                <c:rich>
                  <a:bodyPr rot="-48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2800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0-8F2E-4270-8906-1944D030A9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9.8730789501054357</c:v>
              </c:pt>
            </c:numLit>
          </c:xVal>
          <c:yVal>
            <c:numLit>
              <c:formatCode>General</c:formatCode>
              <c:ptCount val="1"/>
              <c:pt idx="0">
                <c:v>3.241148263983528E-2</c:v>
              </c:pt>
            </c:numLit>
          </c:yVal>
          <c:smooth val="0"/>
          <c:extLst>
            <c:ext xmlns:c16="http://schemas.microsoft.com/office/drawing/2014/chart" uri="{C3380CC4-5D6E-409C-BE32-E72D297353CC}">
              <c16:uniqueId val="{00000021-8F2E-4270-8906-1944D030A90F}"/>
            </c:ext>
          </c:extLst>
        </c:ser>
        <c:ser>
          <c:idx val="28"/>
          <c:order val="28"/>
          <c:spPr>
            <a:ln w="3175">
              <a:solidFill>
                <a:srgbClr val="000000"/>
              </a:solidFill>
              <a:prstDash val="solid"/>
            </a:ln>
          </c:spPr>
          <c:marker>
            <c:symbol val="none"/>
          </c:marker>
          <c:xVal>
            <c:numLit>
              <c:formatCode>General</c:formatCode>
              <c:ptCount val="2"/>
              <c:pt idx="0">
                <c:v>9.1172911549090987</c:v>
              </c:pt>
              <c:pt idx="1">
                <c:v>9.1514759653714375</c:v>
              </c:pt>
            </c:numLit>
          </c:xVal>
          <c:yVal>
            <c:numLit>
              <c:formatCode>General</c:formatCode>
              <c:ptCount val="2"/>
              <c:pt idx="0">
                <c:v>3.1217582704093288E-2</c:v>
              </c:pt>
              <c:pt idx="1">
                <c:v>3.1438030904895289E-2</c:v>
              </c:pt>
            </c:numLit>
          </c:yVal>
          <c:smooth val="0"/>
          <c:extLst>
            <c:ext xmlns:c16="http://schemas.microsoft.com/office/drawing/2014/chart" uri="{C3380CC4-5D6E-409C-BE32-E72D297353CC}">
              <c16:uniqueId val="{00000022-8F2E-4270-8906-1944D030A90F}"/>
            </c:ext>
          </c:extLst>
        </c:ser>
        <c:ser>
          <c:idx val="29"/>
          <c:order val="29"/>
          <c:spPr>
            <a:ln w="3175">
              <a:solidFill>
                <a:srgbClr val="000000"/>
              </a:solidFill>
              <a:prstDash val="solid"/>
            </a:ln>
          </c:spPr>
          <c:marker>
            <c:symbol val="none"/>
          </c:marker>
          <c:xVal>
            <c:numLit>
              <c:formatCode>General</c:formatCode>
              <c:ptCount val="2"/>
              <c:pt idx="0">
                <c:v>8.6097880993478064</c:v>
              </c:pt>
              <c:pt idx="1">
                <c:v>8.6564075893198567</c:v>
              </c:pt>
            </c:numLit>
          </c:xVal>
          <c:yVal>
            <c:numLit>
              <c:formatCode>General</c:formatCode>
              <c:ptCount val="2"/>
              <c:pt idx="0">
                <c:v>3.1253724791923544E-2</c:v>
              </c:pt>
              <c:pt idx="1">
                <c:v>3.169617014014884E-2</c:v>
              </c:pt>
            </c:numLit>
          </c:yVal>
          <c:smooth val="0"/>
          <c:extLst>
            <c:ext xmlns:c16="http://schemas.microsoft.com/office/drawing/2014/chart" uri="{C3380CC4-5D6E-409C-BE32-E72D297353CC}">
              <c16:uniqueId val="{00000023-8F2E-4270-8906-1944D030A90F}"/>
            </c:ext>
          </c:extLst>
        </c:ser>
        <c:ser>
          <c:idx val="30"/>
          <c:order val="30"/>
          <c:spPr>
            <a:ln w="3175">
              <a:solidFill>
                <a:srgbClr val="000000"/>
              </a:solidFill>
              <a:prstDash val="solid"/>
            </a:ln>
          </c:spPr>
          <c:marker>
            <c:symbol val="none"/>
          </c:marker>
          <c:xVal>
            <c:numLit>
              <c:formatCode>General</c:formatCode>
              <c:ptCount val="2"/>
              <c:pt idx="0">
                <c:v>8.0979351556909851</c:v>
              </c:pt>
              <c:pt idx="1">
                <c:v>8.1102766233129344</c:v>
              </c:pt>
            </c:numLit>
          </c:xVal>
          <c:yVal>
            <c:numLit>
              <c:formatCode>General</c:formatCode>
              <c:ptCount val="2"/>
              <c:pt idx="0">
                <c:v>3.127626368973449E-2</c:v>
              </c:pt>
              <c:pt idx="1">
                <c:v>3.1497969340228804E-2</c:v>
              </c:pt>
            </c:numLit>
          </c:yVal>
          <c:smooth val="0"/>
          <c:extLst>
            <c:ext xmlns:c16="http://schemas.microsoft.com/office/drawing/2014/chart" uri="{C3380CC4-5D6E-409C-BE32-E72D297353CC}">
              <c16:uniqueId val="{00000024-8F2E-4270-8906-1944D030A90F}"/>
            </c:ext>
          </c:extLst>
        </c:ser>
        <c:ser>
          <c:idx val="31"/>
          <c:order val="31"/>
          <c:spPr>
            <a:ln w="3175">
              <a:solidFill>
                <a:srgbClr val="000000"/>
              </a:solidFill>
              <a:prstDash val="solid"/>
            </a:ln>
          </c:spPr>
          <c:marker>
            <c:symbol val="none"/>
          </c:marker>
          <c:xVal>
            <c:numLit>
              <c:formatCode>General</c:formatCode>
              <c:ptCount val="2"/>
              <c:pt idx="0">
                <c:v>7.5837590188694071</c:v>
              </c:pt>
              <c:pt idx="1">
                <c:v>7.5864058339638101</c:v>
              </c:pt>
            </c:numLit>
          </c:xVal>
          <c:yVal>
            <c:numLit>
              <c:formatCode>General</c:formatCode>
              <c:ptCount val="2"/>
              <c:pt idx="0">
                <c:v>3.1284928830437236E-2</c:v>
              </c:pt>
              <c:pt idx="1">
                <c:v>3.1728711494598834E-2</c:v>
              </c:pt>
            </c:numLit>
          </c:yVal>
          <c:smooth val="0"/>
          <c:extLst>
            <c:ext xmlns:c16="http://schemas.microsoft.com/office/drawing/2014/chart" uri="{C3380CC4-5D6E-409C-BE32-E72D297353CC}">
              <c16:uniqueId val="{00000025-8F2E-4270-8906-1944D030A90F}"/>
            </c:ext>
          </c:extLst>
        </c:ser>
        <c:ser>
          <c:idx val="32"/>
          <c:order val="32"/>
          <c:spPr>
            <a:ln w="3175">
              <a:solidFill>
                <a:srgbClr val="000000"/>
              </a:solidFill>
              <a:prstDash val="solid"/>
            </a:ln>
          </c:spPr>
          <c:marker>
            <c:symbol val="none"/>
          </c:marker>
          <c:dLbls>
            <c:dLbl>
              <c:idx val="0"/>
              <c:tx>
                <c:rich>
                  <a:bodyPr rot="-54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2600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6-8F2E-4270-8906-1944D030A9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7.5912583283035486</c:v>
              </c:pt>
            </c:numLit>
          </c:xVal>
          <c:yVal>
            <c:numLit>
              <c:formatCode>General</c:formatCode>
              <c:ptCount val="1"/>
              <c:pt idx="0">
                <c:v>3.2542313045561759E-2</c:v>
              </c:pt>
            </c:numLit>
          </c:yVal>
          <c:smooth val="0"/>
          <c:extLst>
            <c:ext xmlns:c16="http://schemas.microsoft.com/office/drawing/2014/chart" uri="{C3380CC4-5D6E-409C-BE32-E72D297353CC}">
              <c16:uniqueId val="{00000027-8F2E-4270-8906-1944D030A90F}"/>
            </c:ext>
          </c:extLst>
        </c:ser>
        <c:ser>
          <c:idx val="33"/>
          <c:order val="33"/>
          <c:spPr>
            <a:ln w="3175">
              <a:solidFill>
                <a:srgbClr val="000000"/>
              </a:solidFill>
              <a:prstDash val="solid"/>
            </a:ln>
          </c:spPr>
          <c:marker>
            <c:symbol val="none"/>
          </c:marker>
          <c:xVal>
            <c:numLit>
              <c:formatCode>General</c:formatCode>
              <c:ptCount val="2"/>
              <c:pt idx="0">
                <c:v>7.069332926750965</c:v>
              </c:pt>
              <c:pt idx="1">
                <c:v>7.0596329180384858</c:v>
              </c:pt>
            </c:numLit>
          </c:xVal>
          <c:yVal>
            <c:numLit>
              <c:formatCode>General</c:formatCode>
              <c:ptCount val="2"/>
              <c:pt idx="0">
                <c:v>3.1279615356557502E-2</c:v>
              </c:pt>
              <c:pt idx="1">
                <c:v>3.1501392828483736E-2</c:v>
              </c:pt>
            </c:numLit>
          </c:yVal>
          <c:smooth val="0"/>
          <c:extLst>
            <c:ext xmlns:c16="http://schemas.microsoft.com/office/drawing/2014/chart" uri="{C3380CC4-5D6E-409C-BE32-E72D297353CC}">
              <c16:uniqueId val="{00000028-8F2E-4270-8906-1944D030A90F}"/>
            </c:ext>
          </c:extLst>
        </c:ser>
        <c:ser>
          <c:idx val="34"/>
          <c:order val="34"/>
          <c:spPr>
            <a:ln w="3175">
              <a:solidFill>
                <a:srgbClr val="000000"/>
              </a:solidFill>
              <a:prstDash val="solid"/>
            </a:ln>
          </c:spPr>
          <c:marker>
            <c:symbol val="none"/>
          </c:marker>
          <c:xVal>
            <c:numLit>
              <c:formatCode>General</c:formatCode>
              <c:ptCount val="2"/>
              <c:pt idx="0">
                <c:v>6.5567351526053601</c:v>
              </c:pt>
              <c:pt idx="1">
                <c:v>6.5153666591455899</c:v>
              </c:pt>
            </c:numLit>
          </c:xVal>
          <c:yVal>
            <c:numLit>
              <c:formatCode>General</c:formatCode>
              <c:ptCount val="2"/>
              <c:pt idx="0">
                <c:v>3.1260387622117129E-2</c:v>
              </c:pt>
              <c:pt idx="1">
                <c:v>3.1703118520207865E-2</c:v>
              </c:pt>
            </c:numLit>
          </c:yVal>
          <c:smooth val="0"/>
          <c:extLst>
            <c:ext xmlns:c16="http://schemas.microsoft.com/office/drawing/2014/chart" uri="{C3380CC4-5D6E-409C-BE32-E72D297353CC}">
              <c16:uniqueId val="{00000029-8F2E-4270-8906-1944D030A90F}"/>
            </c:ext>
          </c:extLst>
        </c:ser>
        <c:ser>
          <c:idx val="35"/>
          <c:order val="35"/>
          <c:spPr>
            <a:ln w="3175">
              <a:solidFill>
                <a:srgbClr val="000000"/>
              </a:solidFill>
              <a:prstDash val="solid"/>
            </a:ln>
          </c:spPr>
          <c:marker>
            <c:symbol val="none"/>
          </c:marker>
          <c:xVal>
            <c:numLit>
              <c:formatCode>General</c:formatCode>
              <c:ptCount val="2"/>
              <c:pt idx="0">
                <c:v>6.048007262567018</c:v>
              </c:pt>
              <c:pt idx="1">
                <c:v>6.0164217039077394</c:v>
              </c:pt>
            </c:numLit>
          </c:xVal>
          <c:yVal>
            <c:numLit>
              <c:formatCode>General</c:formatCode>
              <c:ptCount val="2"/>
              <c:pt idx="0">
                <c:v>3.1227477040677638E-2</c:v>
              </c:pt>
              <c:pt idx="1">
                <c:v>3.1448137262977877E-2</c:v>
              </c:pt>
            </c:numLit>
          </c:yVal>
          <c:smooth val="0"/>
          <c:extLst>
            <c:ext xmlns:c16="http://schemas.microsoft.com/office/drawing/2014/chart" uri="{C3380CC4-5D6E-409C-BE32-E72D297353CC}">
              <c16:uniqueId val="{0000002A-8F2E-4270-8906-1944D030A90F}"/>
            </c:ext>
          </c:extLst>
        </c:ser>
        <c:ser>
          <c:idx val="36"/>
          <c:order val="36"/>
          <c:spPr>
            <a:ln w="3175">
              <a:solidFill>
                <a:srgbClr val="000000"/>
              </a:solidFill>
              <a:prstDash val="solid"/>
            </a:ln>
          </c:spPr>
          <c:marker>
            <c:symbol val="none"/>
          </c:marker>
          <c:xVal>
            <c:numLit>
              <c:formatCode>General</c:formatCode>
              <c:ptCount val="2"/>
              <c:pt idx="0">
                <c:v>5.5451140781737465</c:v>
              </c:pt>
              <c:pt idx="1">
                <c:v>5.4603903958097648</c:v>
              </c:pt>
            </c:numLit>
          </c:xVal>
          <c:yVal>
            <c:numLit>
              <c:formatCode>General</c:formatCode>
              <c:ptCount val="2"/>
              <c:pt idx="0">
                <c:v>3.1181274419367078E-2</c:v>
              </c:pt>
              <c:pt idx="1">
                <c:v>3.1620614751625663E-2</c:v>
              </c:pt>
            </c:numLit>
          </c:yVal>
          <c:smooth val="0"/>
          <c:extLst>
            <c:ext xmlns:c16="http://schemas.microsoft.com/office/drawing/2014/chart" uri="{C3380CC4-5D6E-409C-BE32-E72D297353CC}">
              <c16:uniqueId val="{0000002B-8F2E-4270-8906-1944D030A90F}"/>
            </c:ext>
          </c:extLst>
        </c:ser>
        <c:ser>
          <c:idx val="37"/>
          <c:order val="37"/>
          <c:spPr>
            <a:ln w="3175">
              <a:solidFill>
                <a:srgbClr val="000000"/>
              </a:solidFill>
              <a:prstDash val="solid"/>
            </a:ln>
          </c:spPr>
          <c:marker>
            <c:symbol val="none"/>
          </c:marker>
          <c:dLbls>
            <c:dLbl>
              <c:idx val="0"/>
              <c:tx>
                <c:rich>
                  <a:bodyPr rot="49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2400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C-8F2E-4270-8906-1944D030A9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5.3050636448091302</c:v>
              </c:pt>
            </c:numLit>
          </c:xVal>
          <c:yVal>
            <c:numLit>
              <c:formatCode>General</c:formatCode>
              <c:ptCount val="1"/>
              <c:pt idx="0">
                <c:v>3.2426072027433077E-2</c:v>
              </c:pt>
            </c:numLit>
          </c:yVal>
          <c:smooth val="0"/>
          <c:extLst>
            <c:ext xmlns:c16="http://schemas.microsoft.com/office/drawing/2014/chart" uri="{C3380CC4-5D6E-409C-BE32-E72D297353CC}">
              <c16:uniqueId val="{0000002D-8F2E-4270-8906-1944D030A90F}"/>
            </c:ext>
          </c:extLst>
        </c:ser>
        <c:ser>
          <c:idx val="38"/>
          <c:order val="38"/>
          <c:spPr>
            <a:ln w="3175">
              <a:solidFill>
                <a:srgbClr val="000000"/>
              </a:solidFill>
              <a:prstDash val="solid"/>
            </a:ln>
          </c:spPr>
          <c:marker>
            <c:symbol val="none"/>
          </c:marker>
          <c:xVal>
            <c:numLit>
              <c:formatCode>General</c:formatCode>
              <c:ptCount val="2"/>
              <c:pt idx="0">
                <c:v>5.0499071430589693</c:v>
              </c:pt>
              <c:pt idx="1">
                <c:v>4.9969337246959471</c:v>
              </c:pt>
            </c:numLit>
          </c:xVal>
          <c:yVal>
            <c:numLit>
              <c:formatCode>General</c:formatCode>
              <c:ptCount val="2"/>
              <c:pt idx="0">
                <c:v>3.1122317270830653E-2</c:v>
              </c:pt>
              <c:pt idx="1">
                <c:v>3.1340724069491309E-2</c:v>
              </c:pt>
            </c:numLit>
          </c:yVal>
          <c:smooth val="0"/>
          <c:extLst>
            <c:ext xmlns:c16="http://schemas.microsoft.com/office/drawing/2014/chart" uri="{C3380CC4-5D6E-409C-BE32-E72D297353CC}">
              <c16:uniqueId val="{0000002E-8F2E-4270-8906-1944D030A90F}"/>
            </c:ext>
          </c:extLst>
        </c:ser>
        <c:ser>
          <c:idx val="39"/>
          <c:order val="39"/>
          <c:spPr>
            <a:ln w="3175">
              <a:solidFill>
                <a:srgbClr val="000000"/>
              </a:solidFill>
              <a:prstDash val="solid"/>
            </a:ln>
          </c:spPr>
          <c:marker>
            <c:symbol val="none"/>
          </c:marker>
          <c:xVal>
            <c:numLit>
              <c:formatCode>General</c:formatCode>
              <c:ptCount val="2"/>
              <c:pt idx="0">
                <c:v>4.5640932094034081</c:v>
              </c:pt>
              <c:pt idx="1">
                <c:v>4.437325775520697</c:v>
              </c:pt>
            </c:numLit>
          </c:xVal>
          <c:yVal>
            <c:numLit>
              <c:formatCode>General</c:formatCode>
              <c:ptCount val="2"/>
              <c:pt idx="0">
                <c:v>3.1051272895714872E-2</c:v>
              </c:pt>
              <c:pt idx="1">
                <c:v>3.1485041734102652E-2</c:v>
              </c:pt>
            </c:numLit>
          </c:yVal>
          <c:smooth val="0"/>
          <c:extLst>
            <c:ext xmlns:c16="http://schemas.microsoft.com/office/drawing/2014/chart" uri="{C3380CC4-5D6E-409C-BE32-E72D297353CC}">
              <c16:uniqueId val="{0000002F-8F2E-4270-8906-1944D030A90F}"/>
            </c:ext>
          </c:extLst>
        </c:ser>
        <c:ser>
          <c:idx val="40"/>
          <c:order val="40"/>
          <c:spPr>
            <a:ln w="3175">
              <a:solidFill>
                <a:srgbClr val="000000"/>
              </a:solidFill>
              <a:prstDash val="solid"/>
            </a:ln>
          </c:spPr>
          <c:marker>
            <c:symbol val="none"/>
          </c:marker>
          <c:xVal>
            <c:numLit>
              <c:formatCode>General</c:formatCode>
              <c:ptCount val="2"/>
              <c:pt idx="0">
                <c:v>4.0892088691906565</c:v>
              </c:pt>
              <c:pt idx="1">
                <c:v>4.0156490592447414</c:v>
              </c:pt>
            </c:numLit>
          </c:xVal>
          <c:yVal>
            <c:numLit>
              <c:formatCode>General</c:formatCode>
              <c:ptCount val="2"/>
              <c:pt idx="0">
                <c:v>3.0968918248820355E-2</c:v>
              </c:pt>
              <c:pt idx="1">
                <c:v>3.118403792558079E-2</c:v>
              </c:pt>
            </c:numLit>
          </c:yVal>
          <c:smooth val="0"/>
          <c:extLst>
            <c:ext xmlns:c16="http://schemas.microsoft.com/office/drawing/2014/chart" uri="{C3380CC4-5D6E-409C-BE32-E72D297353CC}">
              <c16:uniqueId val="{00000030-8F2E-4270-8906-1944D030A90F}"/>
            </c:ext>
          </c:extLst>
        </c:ser>
        <c:ser>
          <c:idx val="41"/>
          <c:order val="41"/>
          <c:spPr>
            <a:ln w="3175">
              <a:solidFill>
                <a:srgbClr val="000000"/>
              </a:solidFill>
              <a:prstDash val="solid"/>
            </a:ln>
          </c:spPr>
          <c:marker>
            <c:symbol val="none"/>
          </c:marker>
          <c:xVal>
            <c:numLit>
              <c:formatCode>General</c:formatCode>
              <c:ptCount val="2"/>
              <c:pt idx="0">
                <c:v>3.6266020041010818</c:v>
              </c:pt>
              <c:pt idx="1">
                <c:v>3.4596563757054137</c:v>
              </c:pt>
            </c:numLit>
          </c:xVal>
          <c:yVal>
            <c:numLit>
              <c:formatCode>General</c:formatCode>
              <c:ptCount val="2"/>
              <c:pt idx="0">
                <c:v>3.0876117725569325E-2</c:v>
              </c:pt>
              <c:pt idx="1">
                <c:v>3.1302379913808007E-2</c:v>
              </c:pt>
            </c:numLit>
          </c:yVal>
          <c:smooth val="0"/>
          <c:extLst>
            <c:ext xmlns:c16="http://schemas.microsoft.com/office/drawing/2014/chart" uri="{C3380CC4-5D6E-409C-BE32-E72D297353CC}">
              <c16:uniqueId val="{00000031-8F2E-4270-8906-1944D030A90F}"/>
            </c:ext>
          </c:extLst>
        </c:ser>
        <c:ser>
          <c:idx val="42"/>
          <c:order val="42"/>
          <c:spPr>
            <a:ln w="3175">
              <a:solidFill>
                <a:srgbClr val="000000"/>
              </a:solidFill>
              <a:prstDash val="solid"/>
            </a:ln>
          </c:spPr>
          <c:marker>
            <c:symbol val="none"/>
          </c:marker>
          <c:dLbls>
            <c:dLbl>
              <c:idx val="0"/>
              <c:tx>
                <c:rich>
                  <a:bodyPr rot="44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2200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2-8F2E-4270-8906-1944D030A9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3.1535893903133561</c:v>
              </c:pt>
            </c:numLit>
          </c:xVal>
          <c:yVal>
            <c:numLit>
              <c:formatCode>General</c:formatCode>
              <c:ptCount val="1"/>
              <c:pt idx="0">
                <c:v>3.2083860592245599E-2</c:v>
              </c:pt>
            </c:numLit>
          </c:yVal>
          <c:smooth val="0"/>
          <c:extLst>
            <c:ext xmlns:c16="http://schemas.microsoft.com/office/drawing/2014/chart" uri="{C3380CC4-5D6E-409C-BE32-E72D297353CC}">
              <c16:uniqueId val="{00000033-8F2E-4270-8906-1944D030A90F}"/>
            </c:ext>
          </c:extLst>
        </c:ser>
        <c:ser>
          <c:idx val="43"/>
          <c:order val="43"/>
          <c:spPr>
            <a:ln w="3175">
              <a:solidFill>
                <a:srgbClr val="000000"/>
              </a:solidFill>
              <a:prstDash val="solid"/>
            </a:ln>
          </c:spPr>
          <c:marker>
            <c:symbol val="none"/>
          </c:marker>
          <c:xVal>
            <c:numLit>
              <c:formatCode>General</c:formatCode>
              <c:ptCount val="2"/>
              <c:pt idx="0">
                <c:v>3.1774202657841126</c:v>
              </c:pt>
              <c:pt idx="1">
                <c:v>3.0843221286223432</c:v>
              </c:pt>
            </c:numLit>
          </c:xVal>
          <c:yVal>
            <c:numLit>
              <c:formatCode>General</c:formatCode>
              <c:ptCount val="2"/>
              <c:pt idx="0">
                <c:v>3.0773800028426088E-2</c:v>
              </c:pt>
              <c:pt idx="1">
                <c:v>3.0984738600463791E-2</c:v>
              </c:pt>
            </c:numLit>
          </c:yVal>
          <c:smooth val="0"/>
          <c:extLst>
            <c:ext xmlns:c16="http://schemas.microsoft.com/office/drawing/2014/chart" uri="{C3380CC4-5D6E-409C-BE32-E72D297353CC}">
              <c16:uniqueId val="{00000034-8F2E-4270-8906-1944D030A90F}"/>
            </c:ext>
          </c:extLst>
        </c:ser>
        <c:ser>
          <c:idx val="44"/>
          <c:order val="44"/>
          <c:spPr>
            <a:ln w="3175">
              <a:solidFill>
                <a:srgbClr val="000000"/>
              </a:solidFill>
              <a:prstDash val="solid"/>
            </a:ln>
          </c:spPr>
          <c:marker>
            <c:symbol val="none"/>
          </c:marker>
          <c:xVal>
            <c:numLit>
              <c:formatCode>General</c:formatCode>
              <c:ptCount val="2"/>
              <c:pt idx="0">
                <c:v>2.7426063708388666</c:v>
              </c:pt>
              <c:pt idx="1">
                <c:v>2.5377752153033892</c:v>
              </c:pt>
            </c:numLit>
          </c:xVal>
          <c:yVal>
            <c:numLit>
              <c:formatCode>General</c:formatCode>
              <c:ptCount val="2"/>
              <c:pt idx="0">
                <c:v>3.0662935204324095E-2</c:v>
              </c:pt>
              <c:pt idx="1">
                <c:v>3.1080060998795126E-2</c:v>
              </c:pt>
            </c:numLit>
          </c:yVal>
          <c:smooth val="0"/>
          <c:extLst>
            <c:ext xmlns:c16="http://schemas.microsoft.com/office/drawing/2014/chart" uri="{C3380CC4-5D6E-409C-BE32-E72D297353CC}">
              <c16:uniqueId val="{00000035-8F2E-4270-8906-1944D030A90F}"/>
            </c:ext>
          </c:extLst>
        </c:ser>
        <c:ser>
          <c:idx val="45"/>
          <c:order val="45"/>
          <c:spPr>
            <a:ln w="3175">
              <a:solidFill>
                <a:srgbClr val="000000"/>
              </a:solidFill>
              <a:prstDash val="solid"/>
            </a:ln>
          </c:spPr>
          <c:marker>
            <c:symbol val="none"/>
          </c:marker>
          <c:xVal>
            <c:numLit>
              <c:formatCode>General</c:formatCode>
              <c:ptCount val="2"/>
              <c:pt idx="0">
                <c:v>2.3228996376269366</c:v>
              </c:pt>
              <c:pt idx="1">
                <c:v>2.2114903441475136</c:v>
              </c:pt>
            </c:numLit>
          </c:xVal>
          <c:yVal>
            <c:numLit>
              <c:formatCode>General</c:formatCode>
              <c:ptCount val="2"/>
              <c:pt idx="0">
                <c:v>3.0544512802476664E-2</c:v>
              </c:pt>
              <c:pt idx="1">
                <c:v>3.0750538076815451E-2</c:v>
              </c:pt>
            </c:numLit>
          </c:yVal>
          <c:smooth val="0"/>
          <c:extLst>
            <c:ext xmlns:c16="http://schemas.microsoft.com/office/drawing/2014/chart" uri="{C3380CC4-5D6E-409C-BE32-E72D297353CC}">
              <c16:uniqueId val="{00000036-8F2E-4270-8906-1944D030A90F}"/>
            </c:ext>
          </c:extLst>
        </c:ser>
        <c:ser>
          <c:idx val="46"/>
          <c:order val="46"/>
          <c:spPr>
            <a:ln w="3175">
              <a:solidFill>
                <a:srgbClr val="000000"/>
              </a:solidFill>
              <a:prstDash val="solid"/>
            </a:ln>
          </c:spPr>
          <c:marker>
            <c:symbol val="none"/>
          </c:marker>
          <c:xVal>
            <c:numLit>
              <c:formatCode>General</c:formatCode>
              <c:ptCount val="2"/>
              <c:pt idx="0">
                <c:v>1.9188429271939578</c:v>
              </c:pt>
              <c:pt idx="1">
                <c:v>1.6787076240736989</c:v>
              </c:pt>
            </c:numLit>
          </c:xVal>
          <c:yVal>
            <c:numLit>
              <c:formatCode>General</c:formatCode>
              <c:ptCount val="2"/>
              <c:pt idx="0">
                <c:v>3.04195219111833E-2</c:v>
              </c:pt>
              <c:pt idx="1">
                <c:v>3.0826215707376869E-2</c:v>
              </c:pt>
            </c:numLit>
          </c:yVal>
          <c:smooth val="0"/>
          <c:extLst>
            <c:ext xmlns:c16="http://schemas.microsoft.com/office/drawing/2014/chart" uri="{C3380CC4-5D6E-409C-BE32-E72D297353CC}">
              <c16:uniqueId val="{00000037-8F2E-4270-8906-1944D030A90F}"/>
            </c:ext>
          </c:extLst>
        </c:ser>
        <c:ser>
          <c:idx val="47"/>
          <c:order val="47"/>
          <c:spPr>
            <a:ln w="3175">
              <a:solidFill>
                <a:srgbClr val="000000"/>
              </a:solidFill>
              <a:prstDash val="solid"/>
            </a:ln>
          </c:spPr>
          <c:marker>
            <c:symbol val="none"/>
          </c:marker>
          <c:dLbls>
            <c:dLbl>
              <c:idx val="0"/>
              <c:tx>
                <c:rich>
                  <a:bodyPr rot="39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8-8F2E-4270-8906-1944D030A9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1.2384595683532245</c:v>
              </c:pt>
            </c:numLit>
          </c:xVal>
          <c:yVal>
            <c:numLit>
              <c:formatCode>General</c:formatCode>
              <c:ptCount val="1"/>
              <c:pt idx="0">
                <c:v>3.1571821000398417E-2</c:v>
              </c:pt>
            </c:numLit>
          </c:yVal>
          <c:smooth val="0"/>
          <c:extLst>
            <c:ext xmlns:c16="http://schemas.microsoft.com/office/drawing/2014/chart" uri="{C3380CC4-5D6E-409C-BE32-E72D297353CC}">
              <c16:uniqueId val="{00000039-8F2E-4270-8906-1944D030A90F}"/>
            </c:ext>
          </c:extLst>
        </c:ser>
        <c:ser>
          <c:idx val="48"/>
          <c:order val="48"/>
          <c:spPr>
            <a:ln w="3175">
              <a:solidFill>
                <a:srgbClr val="000000"/>
              </a:solidFill>
              <a:prstDash val="solid"/>
            </a:ln>
          </c:spPr>
          <c:marker>
            <c:symbol val="none"/>
          </c:marker>
          <c:xVal>
            <c:numLit>
              <c:formatCode>General</c:formatCode>
              <c:ptCount val="2"/>
              <c:pt idx="0">
                <c:v>1.5307939862731423</c:v>
              </c:pt>
              <c:pt idx="1">
                <c:v>1.4024110002647094</c:v>
              </c:pt>
            </c:numLit>
          </c:xVal>
          <c:yVal>
            <c:numLit>
              <c:formatCode>General</c:formatCode>
              <c:ptCount val="2"/>
              <c:pt idx="0">
                <c:v>3.0288933617716181E-2</c:v>
              </c:pt>
              <c:pt idx="1">
                <c:v>3.0489482195238671E-2</c:v>
              </c:pt>
            </c:numLit>
          </c:yVal>
          <c:smooth val="0"/>
          <c:extLst>
            <c:ext xmlns:c16="http://schemas.microsoft.com/office/drawing/2014/chart" uri="{C3380CC4-5D6E-409C-BE32-E72D297353CC}">
              <c16:uniqueId val="{0000003A-8F2E-4270-8906-1944D030A90F}"/>
            </c:ext>
          </c:extLst>
        </c:ser>
        <c:ser>
          <c:idx val="49"/>
          <c:order val="49"/>
          <c:spPr>
            <a:ln w="3175">
              <a:solidFill>
                <a:srgbClr val="000000"/>
              </a:solidFill>
              <a:prstDash val="solid"/>
            </a:ln>
          </c:spPr>
          <c:marker>
            <c:symbol val="none"/>
          </c:marker>
          <c:xVal>
            <c:numLit>
              <c:formatCode>General</c:formatCode>
              <c:ptCount val="2"/>
              <c:pt idx="0">
                <c:v>1.1589401224706948</c:v>
              </c:pt>
              <c:pt idx="1">
                <c:v>0.88623755629086753</c:v>
              </c:pt>
            </c:numLit>
          </c:xVal>
          <c:yVal>
            <c:numLit>
              <c:formatCode>General</c:formatCode>
              <c:ptCount val="2"/>
              <c:pt idx="0">
                <c:v>3.0153686220164965E-2</c:v>
              </c:pt>
              <c:pt idx="1">
                <c:v>3.0548987058172033E-2</c:v>
              </c:pt>
            </c:numLit>
          </c:yVal>
          <c:smooth val="0"/>
          <c:extLst>
            <c:ext xmlns:c16="http://schemas.microsoft.com/office/drawing/2014/chart" uri="{C3380CC4-5D6E-409C-BE32-E72D297353CC}">
              <c16:uniqueId val="{0000003B-8F2E-4270-8906-1944D030A90F}"/>
            </c:ext>
          </c:extLst>
        </c:ser>
        <c:ser>
          <c:idx val="50"/>
          <c:order val="50"/>
          <c:spPr>
            <a:ln w="3175">
              <a:solidFill>
                <a:srgbClr val="000000"/>
              </a:solidFill>
              <a:prstDash val="solid"/>
            </a:ln>
          </c:spPr>
          <c:marker>
            <c:symbol val="none"/>
          </c:marker>
          <c:xVal>
            <c:numLit>
              <c:formatCode>General</c:formatCode>
              <c:ptCount val="2"/>
              <c:pt idx="0">
                <c:v>0.80331515702341572</c:v>
              </c:pt>
              <c:pt idx="1">
                <c:v>0.65934333895963149</c:v>
              </c:pt>
            </c:numLit>
          </c:xVal>
          <c:yVal>
            <c:numLit>
              <c:formatCode>General</c:formatCode>
              <c:ptCount val="2"/>
              <c:pt idx="0">
                <c:v>3.0014673322626941E-2</c:v>
              </c:pt>
              <c:pt idx="1">
                <c:v>3.0209344893826089E-2</c:v>
              </c:pt>
            </c:numLit>
          </c:yVal>
          <c:smooth val="0"/>
          <c:extLst>
            <c:ext xmlns:c16="http://schemas.microsoft.com/office/drawing/2014/chart" uri="{C3380CC4-5D6E-409C-BE32-E72D297353CC}">
              <c16:uniqueId val="{0000003C-8F2E-4270-8906-1944D030A90F}"/>
            </c:ext>
          </c:extLst>
        </c:ser>
        <c:ser>
          <c:idx val="51"/>
          <c:order val="51"/>
          <c:spPr>
            <a:ln w="3175">
              <a:solidFill>
                <a:srgbClr val="000000"/>
              </a:solidFill>
              <a:prstDash val="solid"/>
            </a:ln>
          </c:spPr>
          <c:marker>
            <c:symbol val="none"/>
          </c:marker>
          <c:xVal>
            <c:numLit>
              <c:formatCode>General</c:formatCode>
              <c:ptCount val="2"/>
              <c:pt idx="0">
                <c:v>0.4638176802814884</c:v>
              </c:pt>
              <c:pt idx="1">
                <c:v>0.1613241522935524</c:v>
              </c:pt>
            </c:numLit>
          </c:xVal>
          <c:yVal>
            <c:numLit>
              <c:formatCode>General</c:formatCode>
              <c:ptCount val="2"/>
              <c:pt idx="0">
                <c:v>2.9872734777880133E-2</c:v>
              </c:pt>
              <c:pt idx="1">
                <c:v>3.0255994839789281E-2</c:v>
              </c:pt>
            </c:numLit>
          </c:yVal>
          <c:smooth val="0"/>
          <c:extLst>
            <c:ext xmlns:c16="http://schemas.microsoft.com/office/drawing/2014/chart" uri="{C3380CC4-5D6E-409C-BE32-E72D297353CC}">
              <c16:uniqueId val="{0000003D-8F2E-4270-8906-1944D030A90F}"/>
            </c:ext>
          </c:extLst>
        </c:ser>
        <c:ser>
          <c:idx val="52"/>
          <c:order val="52"/>
          <c:spPr>
            <a:ln w="3175">
              <a:solidFill>
                <a:srgbClr val="000000"/>
              </a:solidFill>
              <a:prstDash val="solid"/>
            </a:ln>
          </c:spPr>
          <c:marker>
            <c:symbol val="none"/>
          </c:marker>
          <c:dLbls>
            <c:dLbl>
              <c:idx val="0"/>
              <c:tx>
                <c:rich>
                  <a:bodyPr rot="36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1800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E-8F2E-4270-8906-1944D030A9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-0.39324731568433041</c:v>
              </c:pt>
            </c:numLit>
          </c:xVal>
          <c:yVal>
            <c:numLit>
              <c:formatCode>General</c:formatCode>
              <c:ptCount val="1"/>
              <c:pt idx="0">
                <c:v>3.0958638286622722E-2</c:v>
              </c:pt>
            </c:numLit>
          </c:yVal>
          <c:smooth val="0"/>
          <c:extLst>
            <c:ext xmlns:c16="http://schemas.microsoft.com/office/drawing/2014/chart" uri="{C3380CC4-5D6E-409C-BE32-E72D297353CC}">
              <c16:uniqueId val="{0000003F-8F2E-4270-8906-1944D030A90F}"/>
            </c:ext>
          </c:extLst>
        </c:ser>
        <c:ser>
          <c:idx val="53"/>
          <c:order val="53"/>
          <c:spPr>
            <a:ln w="3175">
              <a:solidFill>
                <a:srgbClr val="000000"/>
              </a:solidFill>
              <a:prstDash val="solid"/>
            </a:ln>
          </c:spPr>
          <c:marker>
            <c:symbol val="none"/>
          </c:marker>
          <c:xVal>
            <c:numLit>
              <c:formatCode>General</c:formatCode>
              <c:ptCount val="2"/>
              <c:pt idx="0">
                <c:v>0.14022975872621024</c:v>
              </c:pt>
              <c:pt idx="1">
                <c:v>-1.7951032158228471E-2</c:v>
              </c:pt>
            </c:numLit>
          </c:xVal>
          <c:yVal>
            <c:numLit>
              <c:formatCode>General</c:formatCode>
              <c:ptCount val="2"/>
              <c:pt idx="0">
                <c:v>2.9728650311281322E-2</c:v>
              </c:pt>
              <c:pt idx="1">
                <c:v>2.9917192817951636E-2</c:v>
              </c:pt>
            </c:numLit>
          </c:yVal>
          <c:smooth val="0"/>
          <c:extLst>
            <c:ext xmlns:c16="http://schemas.microsoft.com/office/drawing/2014/chart" uri="{C3380CC4-5D6E-409C-BE32-E72D297353CC}">
              <c16:uniqueId val="{00000040-8F2E-4270-8906-1944D030A90F}"/>
            </c:ext>
          </c:extLst>
        </c:ser>
        <c:ser>
          <c:idx val="54"/>
          <c:order val="54"/>
          <c:spPr>
            <a:ln w="3175">
              <a:solidFill>
                <a:srgbClr val="000000"/>
              </a:solidFill>
              <a:prstDash val="solid"/>
            </a:ln>
          </c:spPr>
          <c:marker>
            <c:symbol val="none"/>
          </c:marker>
          <c:xVal>
            <c:numLit>
              <c:formatCode>General</c:formatCode>
              <c:ptCount val="2"/>
              <c:pt idx="0">
                <c:v>-0.16776460974090424</c:v>
              </c:pt>
              <c:pt idx="1">
                <c:v>-0.49732595015837133</c:v>
              </c:pt>
            </c:numLit>
          </c:xVal>
          <c:yVal>
            <c:numLit>
              <c:formatCode>General</c:formatCode>
              <c:ptCount val="2"/>
              <c:pt idx="0">
                <c:v>2.95831355675608E-2</c:v>
              </c:pt>
              <c:pt idx="1">
                <c:v>2.9953984234741979E-2</c:v>
              </c:pt>
            </c:numLit>
          </c:yVal>
          <c:smooth val="0"/>
          <c:extLst>
            <c:ext xmlns:c16="http://schemas.microsoft.com/office/drawing/2014/chart" uri="{C3380CC4-5D6E-409C-BE32-E72D297353CC}">
              <c16:uniqueId val="{00000041-8F2E-4270-8906-1944D030A90F}"/>
            </c:ext>
          </c:extLst>
        </c:ser>
        <c:ser>
          <c:idx val="55"/>
          <c:order val="55"/>
          <c:spPr>
            <a:ln w="3175">
              <a:solidFill>
                <a:srgbClr val="000000"/>
              </a:solidFill>
              <a:prstDash val="solid"/>
            </a:ln>
          </c:spPr>
          <c:marker>
            <c:symbol val="none"/>
          </c:marker>
          <c:xVal>
            <c:numLit>
              <c:formatCode>General</c:formatCode>
              <c:ptCount val="2"/>
              <c:pt idx="0">
                <c:v>-0.46056184007219381</c:v>
              </c:pt>
              <c:pt idx="1">
                <c:v>-0.63161673664516982</c:v>
              </c:pt>
            </c:numLit>
          </c:xVal>
          <c:yVal>
            <c:numLit>
              <c:formatCode>General</c:formatCode>
              <c:ptCount val="2"/>
              <c:pt idx="0">
                <c:v>2.9436840266009144E-2</c:v>
              </c:pt>
              <c:pt idx="1">
                <c:v>2.9619129700280768E-2</c:v>
              </c:pt>
            </c:numLit>
          </c:yVal>
          <c:smooth val="0"/>
          <c:extLst>
            <c:ext xmlns:c16="http://schemas.microsoft.com/office/drawing/2014/chart" uri="{C3380CC4-5D6E-409C-BE32-E72D297353CC}">
              <c16:uniqueId val="{00000042-8F2E-4270-8906-1944D030A90F}"/>
            </c:ext>
          </c:extLst>
        </c:ser>
        <c:ser>
          <c:idx val="56"/>
          <c:order val="56"/>
          <c:spPr>
            <a:ln w="3175">
              <a:solidFill>
                <a:srgbClr val="000000"/>
              </a:solidFill>
              <a:prstDash val="solid"/>
            </a:ln>
          </c:spPr>
          <c:marker>
            <c:symbol val="none"/>
          </c:marker>
          <c:xVal>
            <c:numLit>
              <c:formatCode>General</c:formatCode>
              <c:ptCount val="2"/>
              <c:pt idx="0">
                <c:v>-0.73862230174342836</c:v>
              </c:pt>
              <c:pt idx="1">
                <c:v>-1.0926489718181465</c:v>
              </c:pt>
            </c:numLit>
          </c:xVal>
          <c:yVal>
            <c:numLit>
              <c:formatCode>General</c:formatCode>
              <c:ptCount val="2"/>
              <c:pt idx="0">
                <c:v>2.9290348124299693E-2</c:v>
              </c:pt>
              <c:pt idx="1">
                <c:v>2.9648648758198254E-2</c:v>
              </c:pt>
            </c:numLit>
          </c:yVal>
          <c:smooth val="0"/>
          <c:extLst>
            <c:ext xmlns:c16="http://schemas.microsoft.com/office/drawing/2014/chart" uri="{C3380CC4-5D6E-409C-BE32-E72D297353CC}">
              <c16:uniqueId val="{00000043-8F2E-4270-8906-1944D030A90F}"/>
            </c:ext>
          </c:extLst>
        </c:ser>
        <c:ser>
          <c:idx val="57"/>
          <c:order val="57"/>
          <c:spPr>
            <a:ln w="3175">
              <a:solidFill>
                <a:srgbClr val="000000"/>
              </a:solidFill>
              <a:prstDash val="solid"/>
            </a:ln>
          </c:spPr>
          <c:marker>
            <c:symbol val="none"/>
          </c:marker>
          <c:dLbls>
            <c:dLbl>
              <c:idx val="0"/>
              <c:tx>
                <c:rich>
                  <a:bodyPr rot="32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1600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4-8F2E-4270-8906-1944D030A9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-1.74169786695513</c:v>
              </c:pt>
            </c:numLit>
          </c:xVal>
          <c:yVal>
            <c:numLit>
              <c:formatCode>General</c:formatCode>
              <c:ptCount val="1"/>
              <c:pt idx="0">
                <c:v>3.0305533253678942E-2</c:v>
              </c:pt>
            </c:numLit>
          </c:yVal>
          <c:smooth val="0"/>
          <c:extLst>
            <c:ext xmlns:c16="http://schemas.microsoft.com/office/drawing/2014/chart" uri="{C3380CC4-5D6E-409C-BE32-E72D297353CC}">
              <c16:uniqueId val="{00000045-8F2E-4270-8906-1944D030A90F}"/>
            </c:ext>
          </c:extLst>
        </c:ser>
        <c:ser>
          <c:idx val="58"/>
          <c:order val="58"/>
          <c:spPr>
            <a:ln w="3175">
              <a:solidFill>
                <a:srgbClr val="000000"/>
              </a:solidFill>
              <a:prstDash val="solid"/>
            </a:ln>
          </c:spPr>
          <c:marker>
            <c:symbol val="none"/>
          </c:marker>
          <c:xVal>
            <c:numLit>
              <c:formatCode>General</c:formatCode>
              <c:ptCount val="2"/>
              <c:pt idx="0">
                <c:v>-1.002455319966258</c:v>
              </c:pt>
              <c:pt idx="1">
                <c:v>-1.1851222196798212</c:v>
              </c:pt>
            </c:numLit>
          </c:xVal>
          <c:yVal>
            <c:numLit>
              <c:formatCode>General</c:formatCode>
              <c:ptCount val="2"/>
              <c:pt idx="0">
                <c:v>2.9144178210618831E-2</c:v>
              </c:pt>
              <c:pt idx="1">
                <c:v>2.932019631513209E-2</c:v>
              </c:pt>
            </c:numLit>
          </c:yVal>
          <c:smooth val="0"/>
          <c:extLst>
            <c:ext xmlns:c16="http://schemas.microsoft.com/office/drawing/2014/chart" uri="{C3380CC4-5D6E-409C-BE32-E72D297353CC}">
              <c16:uniqueId val="{00000046-8F2E-4270-8906-1944D030A90F}"/>
            </c:ext>
          </c:extLst>
        </c:ser>
        <c:ser>
          <c:idx val="59"/>
          <c:order val="59"/>
          <c:spPr>
            <a:ln w="3175">
              <a:solidFill>
                <a:srgbClr val="000000"/>
              </a:solidFill>
              <a:prstDash val="solid"/>
            </a:ln>
          </c:spPr>
          <c:marker>
            <c:symbol val="none"/>
          </c:marker>
          <c:xVal>
            <c:numLit>
              <c:formatCode>General</c:formatCode>
              <c:ptCount val="2"/>
              <c:pt idx="0">
                <c:v>-1.2526057824083219</c:v>
              </c:pt>
              <c:pt idx="1">
                <c:v>-1.6286603159401067</c:v>
              </c:pt>
            </c:numLit>
          </c:xVal>
          <c:yVal>
            <c:numLit>
              <c:formatCode>General</c:formatCode>
              <c:ptCount val="2"/>
              <c:pt idx="0">
                <c:v>2.8998787401373648E-2</c:v>
              </c:pt>
              <c:pt idx="1">
                <c:v>2.9344592575718233E-2</c:v>
              </c:pt>
            </c:numLit>
          </c:yVal>
          <c:smooth val="0"/>
          <c:extLst>
            <c:ext xmlns:c16="http://schemas.microsoft.com/office/drawing/2014/chart" uri="{C3380CC4-5D6E-409C-BE32-E72D297353CC}">
              <c16:uniqueId val="{00000047-8F2E-4270-8906-1944D030A90F}"/>
            </c:ext>
          </c:extLst>
        </c:ser>
        <c:ser>
          <c:idx val="60"/>
          <c:order val="60"/>
          <c:spPr>
            <a:ln w="3175">
              <a:solidFill>
                <a:srgbClr val="000000"/>
              </a:solidFill>
              <a:prstDash val="solid"/>
            </a:ln>
          </c:spPr>
          <c:marker>
            <c:symbol val="none"/>
          </c:marker>
          <c:xVal>
            <c:numLit>
              <c:formatCode>General</c:formatCode>
              <c:ptCount val="2"/>
              <c:pt idx="0">
                <c:v>-1.4896424028400646</c:v>
              </c:pt>
              <c:pt idx="1">
                <c:v>-1.6827490257580664</c:v>
              </c:pt>
            </c:numLit>
          </c:xVal>
          <c:yVal>
            <c:numLit>
              <c:formatCode>General</c:formatCode>
              <c:ptCount val="2"/>
              <c:pt idx="0">
                <c:v>2.8854573651448525E-2</c:v>
              </c:pt>
              <c:pt idx="1">
                <c:v>2.9024385943979564E-2</c:v>
              </c:pt>
            </c:numLit>
          </c:yVal>
          <c:smooth val="0"/>
          <c:extLst>
            <c:ext xmlns:c16="http://schemas.microsoft.com/office/drawing/2014/chart" uri="{C3380CC4-5D6E-409C-BE32-E72D297353CC}">
              <c16:uniqueId val="{00000048-8F2E-4270-8906-1944D030A90F}"/>
            </c:ext>
          </c:extLst>
        </c:ser>
        <c:ser>
          <c:idx val="61"/>
          <c:order val="61"/>
          <c:spPr>
            <a:ln w="3175">
              <a:solidFill>
                <a:srgbClr val="000000"/>
              </a:solidFill>
              <a:prstDash val="solid"/>
            </a:ln>
          </c:spPr>
          <c:marker>
            <c:symbol val="none"/>
          </c:marker>
          <c:xVal>
            <c:numLit>
              <c:formatCode>General</c:formatCode>
              <c:ptCount val="2"/>
              <c:pt idx="0">
                <c:v>-1.7141476200677335</c:v>
              </c:pt>
              <c:pt idx="1">
                <c:v>-2.1099825180706362</c:v>
              </c:pt>
            </c:numLit>
          </c:xVal>
          <c:yVal>
            <c:numLit>
              <c:formatCode>General</c:formatCode>
              <c:ptCount val="2"/>
              <c:pt idx="0">
                <c:v>2.8711879820593082E-2</c:v>
              </c:pt>
              <c:pt idx="1">
                <c:v>2.9045388955761357E-2</c:v>
              </c:pt>
            </c:numLit>
          </c:yVal>
          <c:smooth val="0"/>
          <c:extLst>
            <c:ext xmlns:c16="http://schemas.microsoft.com/office/drawing/2014/chart" uri="{C3380CC4-5D6E-409C-BE32-E72D297353CC}">
              <c16:uniqueId val="{00000049-8F2E-4270-8906-1944D030A90F}"/>
            </c:ext>
          </c:extLst>
        </c:ser>
        <c:ser>
          <c:idx val="62"/>
          <c:order val="62"/>
          <c:spPr>
            <a:ln w="3175">
              <a:solidFill>
                <a:srgbClr val="000000"/>
              </a:solidFill>
              <a:prstDash val="solid"/>
            </a:ln>
          </c:spPr>
          <c:marker>
            <c:symbol val="none"/>
          </c:marker>
          <c:dLbls>
            <c:dLbl>
              <c:idx val="0"/>
              <c:tx>
                <c:rich>
                  <a:bodyPr rot="29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1400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A-8F2E-4270-8906-1944D030A9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-2.8356798310759577</c:v>
              </c:pt>
            </c:numLit>
          </c:xVal>
          <c:yVal>
            <c:numLit>
              <c:formatCode>General</c:formatCode>
              <c:ptCount val="1"/>
              <c:pt idx="0">
                <c:v>2.9656822370236528E-2</c:v>
              </c:pt>
            </c:numLit>
          </c:yVal>
          <c:smooth val="0"/>
          <c:extLst>
            <c:ext xmlns:c16="http://schemas.microsoft.com/office/drawing/2014/chart" uri="{C3380CC4-5D6E-409C-BE32-E72D297353CC}">
              <c16:uniqueId val="{0000004B-8F2E-4270-8906-1944D030A90F}"/>
            </c:ext>
          </c:extLst>
        </c:ser>
        <c:ser>
          <c:idx val="63"/>
          <c:order val="63"/>
          <c:spPr>
            <a:ln w="3175">
              <a:solidFill>
                <a:srgbClr val="000000"/>
              </a:solidFill>
              <a:prstDash val="solid"/>
            </a:ln>
          </c:spPr>
          <c:marker>
            <c:symbol val="none"/>
          </c:marker>
          <c:xVal>
            <c:numLit>
              <c:formatCode>General</c:formatCode>
              <c:ptCount val="2"/>
              <c:pt idx="0">
                <c:v>-1.9267090572547372</c:v>
              </c:pt>
              <c:pt idx="1">
                <c:v>-2.1291813941959106</c:v>
              </c:pt>
            </c:numLit>
          </c:xVal>
          <c:yVal>
            <c:numLit>
              <c:formatCode>General</c:formatCode>
              <c:ptCount val="2"/>
              <c:pt idx="0">
                <c:v>2.8570997838905359E-2</c:v>
              </c:pt>
              <c:pt idx="1">
                <c:v>2.8734733506881903E-2</c:v>
              </c:pt>
            </c:numLit>
          </c:yVal>
          <c:smooth val="0"/>
          <c:extLst>
            <c:ext xmlns:c16="http://schemas.microsoft.com/office/drawing/2014/chart" uri="{C3380CC4-5D6E-409C-BE32-E72D297353CC}">
              <c16:uniqueId val="{0000004C-8F2E-4270-8906-1944D030A90F}"/>
            </c:ext>
          </c:extLst>
        </c:ser>
        <c:ser>
          <c:idx val="64"/>
          <c:order val="64"/>
          <c:spPr>
            <a:ln w="3175">
              <a:solidFill>
                <a:srgbClr val="000000"/>
              </a:solidFill>
              <a:prstDash val="solid"/>
            </a:ln>
          </c:spPr>
          <c:marker>
            <c:symbol val="none"/>
          </c:marker>
          <c:xVal>
            <c:numLit>
              <c:formatCode>General</c:formatCode>
              <c:ptCount val="2"/>
              <c:pt idx="0">
                <c:v>-2.1279124307072412</c:v>
              </c:pt>
              <c:pt idx="1">
                <c:v>-2.5414801063089798</c:v>
              </c:pt>
            </c:numLit>
          </c:xVal>
          <c:yVal>
            <c:numLit>
              <c:formatCode>General</c:formatCode>
              <c:ptCount val="2"/>
              <c:pt idx="0">
                <c:v>2.8432173033455556E-2</c:v>
              </c:pt>
              <c:pt idx="1">
                <c:v>2.8753694734889368E-2</c:v>
              </c:pt>
            </c:numLit>
          </c:yVal>
          <c:smooth val="0"/>
          <c:extLst>
            <c:ext xmlns:c16="http://schemas.microsoft.com/office/drawing/2014/chart" uri="{C3380CC4-5D6E-409C-BE32-E72D297353CC}">
              <c16:uniqueId val="{0000004D-8F2E-4270-8906-1944D030A90F}"/>
            </c:ext>
          </c:extLst>
        </c:ser>
        <c:ser>
          <c:idx val="65"/>
          <c:order val="65"/>
          <c:spPr>
            <a:ln w="3175">
              <a:solidFill>
                <a:srgbClr val="000000"/>
              </a:solidFill>
              <a:prstDash val="solid"/>
            </a:ln>
          </c:spPr>
          <c:marker>
            <c:symbol val="none"/>
          </c:marker>
          <c:xVal>
            <c:numLit>
              <c:formatCode>General</c:formatCode>
              <c:ptCount val="2"/>
              <c:pt idx="0">
                <c:v>-2.3183357754510565</c:v>
              </c:pt>
              <c:pt idx="1">
                <c:v>-2.529200113496437</c:v>
              </c:pt>
            </c:numLit>
          </c:xVal>
          <c:yVal>
            <c:numLit>
              <c:formatCode>General</c:formatCode>
              <c:ptCount val="2"/>
              <c:pt idx="0">
                <c:v>2.8295608474779587E-2</c:v>
              </c:pt>
              <c:pt idx="1">
                <c:v>2.8453442942096292E-2</c:v>
              </c:pt>
            </c:numLit>
          </c:yVal>
          <c:smooth val="0"/>
          <c:extLst>
            <c:ext xmlns:c16="http://schemas.microsoft.com/office/drawing/2014/chart" uri="{C3380CC4-5D6E-409C-BE32-E72D297353CC}">
              <c16:uniqueId val="{0000004E-8F2E-4270-8906-1944D030A90F}"/>
            </c:ext>
          </c:extLst>
        </c:ser>
        <c:ser>
          <c:idx val="66"/>
          <c:order val="66"/>
          <c:spPr>
            <a:ln w="3175">
              <a:solidFill>
                <a:srgbClr val="000000"/>
              </a:solidFill>
              <a:prstDash val="solid"/>
            </a:ln>
          </c:spPr>
          <c:marker>
            <c:symbol val="none"/>
          </c:marker>
          <c:xVal>
            <c:numLit>
              <c:formatCode>General</c:formatCode>
              <c:ptCount val="2"/>
              <c:pt idx="0">
                <c:v>-2.4985448444866902</c:v>
              </c:pt>
              <c:pt idx="1">
                <c:v>-2.9279967663932625</c:v>
              </c:pt>
            </c:numLit>
          </c:xVal>
          <c:yVal>
            <c:numLit>
              <c:formatCode>General</c:formatCode>
              <c:ptCount val="2"/>
              <c:pt idx="0">
                <c:v>2.8161469234973899E-2</c:v>
              </c:pt>
              <c:pt idx="1">
                <c:v>2.8471389345044212E-2</c:v>
              </c:pt>
            </c:numLit>
          </c:yVal>
          <c:smooth val="0"/>
          <c:extLst>
            <c:ext xmlns:c16="http://schemas.microsoft.com/office/drawing/2014/chart" uri="{C3380CC4-5D6E-409C-BE32-E72D297353CC}">
              <c16:uniqueId val="{0000004F-8F2E-4270-8906-1944D030A90F}"/>
            </c:ext>
          </c:extLst>
        </c:ser>
        <c:ser>
          <c:idx val="67"/>
          <c:order val="67"/>
          <c:spPr>
            <a:ln w="3175">
              <a:solidFill>
                <a:srgbClr val="000000"/>
              </a:solidFill>
              <a:prstDash val="solid"/>
            </a:ln>
          </c:spPr>
          <c:marker>
            <c:symbol val="none"/>
          </c:marker>
          <c:dLbls>
            <c:dLbl>
              <c:idx val="0"/>
              <c:tx>
                <c:rich>
                  <a:bodyPr rot="26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1200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0-8F2E-4270-8906-1944D030A9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-3.7153252898886451</c:v>
              </c:pt>
            </c:numLit>
          </c:xVal>
          <c:yVal>
            <c:numLit>
              <c:formatCode>General</c:formatCode>
              <c:ptCount val="1"/>
              <c:pt idx="0">
                <c:v>2.9039576213506446E-2</c:v>
              </c:pt>
            </c:numLit>
          </c:yVal>
          <c:smooth val="0"/>
          <c:extLst>
            <c:ext xmlns:c16="http://schemas.microsoft.com/office/drawing/2014/chart" uri="{C3380CC4-5D6E-409C-BE32-E72D297353CC}">
              <c16:uniqueId val="{00000051-8F2E-4270-8906-1944D030A90F}"/>
            </c:ext>
          </c:extLst>
        </c:ser>
        <c:ser>
          <c:idx val="68"/>
          <c:order val="68"/>
          <c:spPr>
            <a:ln w="3175">
              <a:solidFill>
                <a:srgbClr val="000000"/>
              </a:solidFill>
              <a:prstDash val="solid"/>
            </a:ln>
          </c:spPr>
          <c:marker>
            <c:symbol val="none"/>
          </c:marker>
          <c:xVal>
            <c:numLit>
              <c:formatCode>General</c:formatCode>
              <c:ptCount val="2"/>
              <c:pt idx="0">
                <c:v>-2.669089536724063</c:v>
              </c:pt>
              <c:pt idx="1">
                <c:v>-2.8874700267967222</c:v>
              </c:pt>
            </c:numLit>
          </c:xVal>
          <c:yVal>
            <c:numLit>
              <c:formatCode>General</c:formatCode>
              <c:ptCount val="2"/>
              <c:pt idx="0">
                <c:v>2.8029886477800841E-2</c:v>
              </c:pt>
              <c:pt idx="1">
                <c:v>2.8182026902325148E-2</c:v>
              </c:pt>
            </c:numLit>
          </c:yVal>
          <c:smooth val="0"/>
          <c:extLst>
            <c:ext xmlns:c16="http://schemas.microsoft.com/office/drawing/2014/chart" uri="{C3380CC4-5D6E-409C-BE32-E72D297353CC}">
              <c16:uniqueId val="{00000052-8F2E-4270-8906-1944D030A90F}"/>
            </c:ext>
          </c:extLst>
        </c:ser>
        <c:ser>
          <c:idx val="69"/>
          <c:order val="69"/>
          <c:spPr>
            <a:ln w="3175">
              <a:solidFill>
                <a:srgbClr val="000000"/>
              </a:solidFill>
              <a:prstDash val="solid"/>
            </a:ln>
          </c:spPr>
          <c:marker>
            <c:symbol val="none"/>
          </c:marker>
          <c:xVal>
            <c:numLit>
              <c:formatCode>General</c:formatCode>
              <c:ptCount val="2"/>
              <c:pt idx="0">
                <c:v>-2.8305012128620142</c:v>
              </c:pt>
              <c:pt idx="1">
                <c:v>-3.274179836270386</c:v>
              </c:pt>
            </c:numLit>
          </c:xVal>
          <c:yVal>
            <c:numLit>
              <c:formatCode>General</c:formatCode>
              <c:ptCount val="2"/>
              <c:pt idx="0">
                <c:v>2.7900961325394373E-2</c:v>
              </c:pt>
              <c:pt idx="1">
                <c:v>2.8199716810768417E-2</c:v>
              </c:pt>
            </c:numLit>
          </c:yVal>
          <c:smooth val="0"/>
          <c:extLst>
            <c:ext xmlns:c16="http://schemas.microsoft.com/office/drawing/2014/chart" uri="{C3380CC4-5D6E-409C-BE32-E72D297353CC}">
              <c16:uniqueId val="{00000053-8F2E-4270-8906-1944D030A90F}"/>
            </c:ext>
          </c:extLst>
        </c:ser>
        <c:ser>
          <c:idx val="70"/>
          <c:order val="70"/>
          <c:spPr>
            <a:ln w="3175">
              <a:solidFill>
                <a:srgbClr val="000000"/>
              </a:solidFill>
              <a:prstDash val="solid"/>
            </a:ln>
          </c:spPr>
          <c:marker>
            <c:symbol val="none"/>
          </c:marker>
          <c:xVal>
            <c:numLit>
              <c:formatCode>General</c:formatCode>
              <c:ptCount val="2"/>
              <c:pt idx="0">
                <c:v>-2.9832907668862556</c:v>
              </c:pt>
              <c:pt idx="1">
                <c:v>-3.20840414046239</c:v>
              </c:pt>
            </c:numLit>
          </c:xVal>
          <c:yVal>
            <c:numLit>
              <c:formatCode>General</c:formatCode>
              <c:ptCount val="2"/>
              <c:pt idx="0">
                <c:v>2.777476846598936E-2</c:v>
              </c:pt>
              <c:pt idx="1">
                <c:v>2.7921442075974846E-2</c:v>
              </c:pt>
            </c:numLit>
          </c:yVal>
          <c:smooth val="0"/>
          <c:extLst>
            <c:ext xmlns:c16="http://schemas.microsoft.com/office/drawing/2014/chart" uri="{C3380CC4-5D6E-409C-BE32-E72D297353CC}">
              <c16:uniqueId val="{00000054-8F2E-4270-8906-1944D030A90F}"/>
            </c:ext>
          </c:extLst>
        </c:ser>
        <c:ser>
          <c:idx val="71"/>
          <c:order val="71"/>
          <c:spPr>
            <a:ln w="3175">
              <a:solidFill>
                <a:srgbClr val="000000"/>
              </a:solidFill>
              <a:prstDash val="solid"/>
            </a:ln>
          </c:spPr>
          <c:marker>
            <c:symbol val="none"/>
          </c:marker>
          <c:xVal>
            <c:numLit>
              <c:formatCode>General</c:formatCode>
              <c:ptCount val="2"/>
              <c:pt idx="0">
                <c:v>-3.1279473318097732</c:v>
              </c:pt>
              <c:pt idx="1">
                <c:v>-3.5843736460301914</c:v>
              </c:pt>
            </c:numLit>
          </c:xVal>
          <c:yVal>
            <c:numLit>
              <c:formatCode>General</c:formatCode>
              <c:ptCount val="2"/>
              <c:pt idx="0">
                <c:v>2.765135948293641E-2</c:v>
              </c:pt>
              <c:pt idx="1">
                <c:v>2.7939417746490825E-2</c:v>
              </c:pt>
            </c:numLit>
          </c:yVal>
          <c:smooth val="0"/>
          <c:extLst>
            <c:ext xmlns:c16="http://schemas.microsoft.com/office/drawing/2014/chart" uri="{C3380CC4-5D6E-409C-BE32-E72D297353CC}">
              <c16:uniqueId val="{00000055-8F2E-4270-8906-1944D030A90F}"/>
            </c:ext>
          </c:extLst>
        </c:ser>
        <c:ser>
          <c:idx val="72"/>
          <c:order val="72"/>
          <c:spPr>
            <a:ln w="3175">
              <a:solidFill>
                <a:srgbClr val="000000"/>
              </a:solidFill>
              <a:prstDash val="solid"/>
            </a:ln>
          </c:spPr>
          <c:marker>
            <c:symbol val="none"/>
          </c:marker>
          <c:dLbls>
            <c:dLbl>
              <c:idx val="0"/>
              <c:tx>
                <c:rich>
                  <a:bodyPr rot="24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6-8F2E-4270-8906-1944D030A9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-4.4211552221009596</c:v>
              </c:pt>
            </c:numLit>
          </c:xVal>
          <c:yVal>
            <c:numLit>
              <c:formatCode>General</c:formatCode>
              <c:ptCount val="1"/>
              <c:pt idx="0">
                <c:v>2.8467524563007256E-2</c:v>
              </c:pt>
            </c:numLit>
          </c:yVal>
          <c:smooth val="0"/>
          <c:extLst>
            <c:ext xmlns:c16="http://schemas.microsoft.com/office/drawing/2014/chart" uri="{C3380CC4-5D6E-409C-BE32-E72D297353CC}">
              <c16:uniqueId val="{00000057-8F2E-4270-8906-1944D030A90F}"/>
            </c:ext>
          </c:extLst>
        </c:ser>
        <c:ser>
          <c:idx val="73"/>
          <c:order val="73"/>
          <c:spPr>
            <a:ln w="3175">
              <a:solidFill>
                <a:srgbClr val="000000"/>
              </a:solidFill>
              <a:prstDash val="solid"/>
            </a:ln>
          </c:spPr>
          <c:marker>
            <c:symbol val="none"/>
          </c:marker>
          <c:xVal>
            <c:numLit>
              <c:formatCode>General</c:formatCode>
              <c:ptCount val="2"/>
              <c:pt idx="0">
                <c:v>-3.3947050354255355</c:v>
              </c:pt>
              <c:pt idx="1">
                <c:v>-3.6286344290417976</c:v>
              </c:pt>
            </c:numLit>
          </c:xVal>
          <c:yVal>
            <c:numLit>
              <c:formatCode>General</c:formatCode>
              <c:ptCount val="2"/>
              <c:pt idx="0">
                <c:v>2.741300192776747E-2</c:v>
              </c:pt>
              <c:pt idx="1">
                <c:v>2.7551923397648202E-2</c:v>
              </c:pt>
            </c:numLit>
          </c:yVal>
          <c:smooth val="0"/>
          <c:extLst>
            <c:ext xmlns:c16="http://schemas.microsoft.com/office/drawing/2014/chart" uri="{C3380CC4-5D6E-409C-BE32-E72D297353CC}">
              <c16:uniqueId val="{00000058-8F2E-4270-8906-1944D030A90F}"/>
            </c:ext>
          </c:extLst>
        </c:ser>
        <c:ser>
          <c:idx val="74"/>
          <c:order val="74"/>
          <c:spPr>
            <a:ln w="3175">
              <a:solidFill>
                <a:srgbClr val="000000"/>
              </a:solidFill>
              <a:prstDash val="solid"/>
            </a:ln>
          </c:spPr>
          <c:marker>
            <c:symbol val="none"/>
          </c:marker>
          <c:xVal>
            <c:numLit>
              <c:formatCode>General</c:formatCode>
              <c:ptCount val="2"/>
              <c:pt idx="0">
                <c:v>-3.6342329977636059</c:v>
              </c:pt>
              <c:pt idx="1">
                <c:v>-3.8732951334299695</c:v>
              </c:pt>
            </c:numLit>
          </c:xVal>
          <c:yVal>
            <c:numLit>
              <c:formatCode>General</c:formatCode>
              <c:ptCount val="2"/>
              <c:pt idx="0">
                <c:v>2.7185947823718054E-2</c:v>
              </c:pt>
              <c:pt idx="1">
                <c:v>2.7320003848512013E-2</c:v>
              </c:pt>
            </c:numLit>
          </c:yVal>
          <c:smooth val="0"/>
          <c:extLst>
            <c:ext xmlns:c16="http://schemas.microsoft.com/office/drawing/2014/chart" uri="{C3380CC4-5D6E-409C-BE32-E72D297353CC}">
              <c16:uniqueId val="{00000059-8F2E-4270-8906-1944D030A90F}"/>
            </c:ext>
          </c:extLst>
        </c:ser>
        <c:ser>
          <c:idx val="75"/>
          <c:order val="75"/>
          <c:spPr>
            <a:ln w="3175">
              <a:solidFill>
                <a:srgbClr val="000000"/>
              </a:solidFill>
              <a:prstDash val="solid"/>
            </a:ln>
          </c:spPr>
          <c:marker>
            <c:symbol val="none"/>
          </c:marker>
          <c:xVal>
            <c:numLit>
              <c:formatCode>General</c:formatCode>
              <c:ptCount val="2"/>
              <c:pt idx="0">
                <c:v>-3.8496301535387389</c:v>
              </c:pt>
              <c:pt idx="1">
                <c:v>-4.0933079425431407</c:v>
              </c:pt>
            </c:numLit>
          </c:xVal>
          <c:yVal>
            <c:numLit>
              <c:formatCode>General</c:formatCode>
              <c:ptCount val="2"/>
              <c:pt idx="0">
                <c:v>2.6970052763706429E-2</c:v>
              </c:pt>
              <c:pt idx="1">
                <c:v>2.7099482465785852E-2</c:v>
              </c:pt>
            </c:numLit>
          </c:yVal>
          <c:smooth val="0"/>
          <c:extLst>
            <c:ext xmlns:c16="http://schemas.microsoft.com/office/drawing/2014/chart" uri="{C3380CC4-5D6E-409C-BE32-E72D297353CC}">
              <c16:uniqueId val="{0000005A-8F2E-4270-8906-1944D030A90F}"/>
            </c:ext>
          </c:extLst>
        </c:ser>
        <c:ser>
          <c:idx val="76"/>
          <c:order val="76"/>
          <c:spPr>
            <a:ln w="3175">
              <a:solidFill>
                <a:srgbClr val="000000"/>
              </a:solidFill>
              <a:prstDash val="solid"/>
            </a:ln>
          </c:spPr>
          <c:marker>
            <c:symbol val="none"/>
          </c:marker>
          <c:xVal>
            <c:numLit>
              <c:formatCode>General</c:formatCode>
              <c:ptCount val="2"/>
              <c:pt idx="0">
                <c:v>-4.0436530888624631</c:v>
              </c:pt>
              <c:pt idx="1">
                <c:v>-4.2914885121952313</c:v>
              </c:pt>
            </c:numLit>
          </c:xVal>
          <c:yVal>
            <c:numLit>
              <c:formatCode>General</c:formatCode>
              <c:ptCount val="2"/>
              <c:pt idx="0">
                <c:v>2.6765028589466222E-2</c:v>
              </c:pt>
              <c:pt idx="1">
                <c:v>2.6890064916383356E-2</c:v>
              </c:pt>
            </c:numLit>
          </c:yVal>
          <c:smooth val="0"/>
          <c:extLst>
            <c:ext xmlns:c16="http://schemas.microsoft.com/office/drawing/2014/chart" uri="{C3380CC4-5D6E-409C-BE32-E72D297353CC}">
              <c16:uniqueId val="{0000005B-8F2E-4270-8906-1944D030A90F}"/>
            </c:ext>
          </c:extLst>
        </c:ser>
        <c:ser>
          <c:idx val="77"/>
          <c:order val="77"/>
          <c:spPr>
            <a:ln w="3175">
              <a:solidFill>
                <a:srgbClr val="000000"/>
              </a:solidFill>
              <a:prstDash val="solid"/>
            </a:ln>
          </c:spPr>
          <c:marker>
            <c:symbol val="none"/>
          </c:marker>
          <c:xVal>
            <c:numLit>
              <c:formatCode>General</c:formatCode>
              <c:ptCount val="2"/>
              <c:pt idx="0">
                <c:v>-4.2187412428710447</c:v>
              </c:pt>
              <c:pt idx="1">
                <c:v>-4.7219158675655173</c:v>
              </c:pt>
            </c:numLit>
          </c:xVal>
          <c:yVal>
            <c:numLit>
              <c:formatCode>General</c:formatCode>
              <c:ptCount val="2"/>
              <c:pt idx="0">
                <c:v>2.6570489823461451E-2</c:v>
              </c:pt>
              <c:pt idx="1">
                <c:v>2.6812225101609799E-2</c:v>
              </c:pt>
            </c:numLit>
          </c:yVal>
          <c:smooth val="0"/>
          <c:extLst>
            <c:ext xmlns:c16="http://schemas.microsoft.com/office/drawing/2014/chart" uri="{C3380CC4-5D6E-409C-BE32-E72D297353CC}">
              <c16:uniqueId val="{0000005C-8F2E-4270-8906-1944D030A90F}"/>
            </c:ext>
          </c:extLst>
        </c:ser>
        <c:ser>
          <c:idx val="78"/>
          <c:order val="78"/>
          <c:spPr>
            <a:ln w="3175">
              <a:solidFill>
                <a:srgbClr val="000000"/>
              </a:solidFill>
              <a:prstDash val="solid"/>
            </a:ln>
          </c:spPr>
          <c:marker>
            <c:symbol val="none"/>
          </c:marker>
          <c:dLbls>
            <c:dLbl>
              <c:idx val="0"/>
              <c:tx>
                <c:rich>
                  <a:bodyPr rot="19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D-8F2E-4270-8906-1944D030A9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-5.6444026795053848</c:v>
              </c:pt>
            </c:numLit>
          </c:xVal>
          <c:yVal>
            <c:numLit>
              <c:formatCode>General</c:formatCode>
              <c:ptCount val="1"/>
              <c:pt idx="0">
                <c:v>2.725540644488177E-2</c:v>
              </c:pt>
            </c:numLit>
          </c:yVal>
          <c:smooth val="0"/>
          <c:extLst>
            <c:ext xmlns:c16="http://schemas.microsoft.com/office/drawing/2014/chart" uri="{C3380CC4-5D6E-409C-BE32-E72D297353CC}">
              <c16:uniqueId val="{0000005E-8F2E-4270-8906-1944D030A90F}"/>
            </c:ext>
          </c:extLst>
        </c:ser>
        <c:ser>
          <c:idx val="79"/>
          <c:order val="79"/>
          <c:spPr>
            <a:ln w="3175">
              <a:solidFill>
                <a:srgbClr val="000000"/>
              </a:solidFill>
              <a:prstDash val="solid"/>
            </a:ln>
          </c:spPr>
          <c:marker>
            <c:symbol val="none"/>
          </c:marker>
          <c:xVal>
            <c:numLit>
              <c:formatCode>General</c:formatCode>
              <c:ptCount val="2"/>
              <c:pt idx="0">
                <c:v>-4.3770457171884622</c:v>
              </c:pt>
              <c:pt idx="1">
                <c:v>-4.6320252682710734</c:v>
              </c:pt>
            </c:numLit>
          </c:xVal>
          <c:yVal>
            <c:numLit>
              <c:formatCode>General</c:formatCode>
              <c:ptCount val="2"/>
              <c:pt idx="0">
                <c:v>2.6385989057197627E-2</c:v>
              </c:pt>
              <c:pt idx="1">
                <c:v>2.6502903108423292E-2</c:v>
              </c:pt>
            </c:numLit>
          </c:yVal>
          <c:smooth val="0"/>
          <c:extLst>
            <c:ext xmlns:c16="http://schemas.microsoft.com/office/drawing/2014/chart" uri="{C3380CC4-5D6E-409C-BE32-E72D297353CC}">
              <c16:uniqueId val="{0000005F-8F2E-4270-8906-1944D030A90F}"/>
            </c:ext>
          </c:extLst>
        </c:ser>
        <c:ser>
          <c:idx val="80"/>
          <c:order val="80"/>
          <c:spPr>
            <a:ln w="3175">
              <a:solidFill>
                <a:srgbClr val="000000"/>
              </a:solidFill>
              <a:prstDash val="solid"/>
            </a:ln>
          </c:spPr>
          <c:marker>
            <c:symbol val="none"/>
          </c:marker>
          <c:xVal>
            <c:numLit>
              <c:formatCode>General</c:formatCode>
              <c:ptCount val="2"/>
              <c:pt idx="0">
                <c:v>-4.5204589487479616</c:v>
              </c:pt>
              <c:pt idx="1">
                <c:v>-4.7785116405068475</c:v>
              </c:pt>
            </c:numLit>
          </c:xVal>
          <c:yVal>
            <c:numLit>
              <c:formatCode>General</c:formatCode>
              <c:ptCount val="2"/>
              <c:pt idx="0">
                <c:v>2.6211043462266981E-2</c:v>
              </c:pt>
              <c:pt idx="1">
                <c:v>2.632420867931556E-2</c:v>
              </c:pt>
            </c:numLit>
          </c:yVal>
          <c:smooth val="0"/>
          <c:extLst>
            <c:ext xmlns:c16="http://schemas.microsoft.com/office/drawing/2014/chart" uri="{C3380CC4-5D6E-409C-BE32-E72D297353CC}">
              <c16:uniqueId val="{00000060-8F2E-4270-8906-1944D030A90F}"/>
            </c:ext>
          </c:extLst>
        </c:ser>
        <c:ser>
          <c:idx val="81"/>
          <c:order val="81"/>
          <c:spPr>
            <a:ln w="3175">
              <a:solidFill>
                <a:srgbClr val="000000"/>
              </a:solidFill>
              <a:prstDash val="solid"/>
            </a:ln>
          </c:spPr>
          <c:marker>
            <c:symbol val="none"/>
          </c:marker>
          <c:xVal>
            <c:numLit>
              <c:formatCode>General</c:formatCode>
              <c:ptCount val="2"/>
              <c:pt idx="0">
                <c:v>-4.6506435459878448</c:v>
              </c:pt>
              <c:pt idx="1">
                <c:v>-4.9114859076875854</c:v>
              </c:pt>
            </c:numLit>
          </c:xVal>
          <c:yVal>
            <c:numLit>
              <c:formatCode>General</c:formatCode>
              <c:ptCount val="2"/>
              <c:pt idx="0">
                <c:v>2.6045154305456879E-2</c:v>
              </c:pt>
              <c:pt idx="1">
                <c:v>2.615476475485953E-2</c:v>
              </c:pt>
            </c:numLit>
          </c:yVal>
          <c:smooth val="0"/>
          <c:extLst>
            <c:ext xmlns:c16="http://schemas.microsoft.com/office/drawing/2014/chart" uri="{C3380CC4-5D6E-409C-BE32-E72D297353CC}">
              <c16:uniqueId val="{00000061-8F2E-4270-8906-1944D030A90F}"/>
            </c:ext>
          </c:extLst>
        </c:ser>
        <c:ser>
          <c:idx val="82"/>
          <c:order val="82"/>
          <c:spPr>
            <a:ln w="3175">
              <a:solidFill>
                <a:srgbClr val="000000"/>
              </a:solidFill>
              <a:prstDash val="solid"/>
            </a:ln>
          </c:spPr>
          <c:marker>
            <c:symbol val="none"/>
          </c:marker>
          <c:xVal>
            <c:numLit>
              <c:formatCode>General</c:formatCode>
              <c:ptCount val="2"/>
              <c:pt idx="0">
                <c:v>-4.7690593110363508</c:v>
              </c:pt>
              <c:pt idx="1">
                <c:v>-5.0324391534157025</c:v>
              </c:pt>
            </c:numLit>
          </c:xVal>
          <c:yVal>
            <c:numLit>
              <c:formatCode>General</c:formatCode>
              <c:ptCount val="2"/>
              <c:pt idx="0">
                <c:v>2.5887821037250434E-2</c:v>
              </c:pt>
              <c:pt idx="1">
                <c:v>2.5994060059477228E-2</c:v>
              </c:pt>
            </c:numLit>
          </c:yVal>
          <c:smooth val="0"/>
          <c:extLst>
            <c:ext xmlns:c16="http://schemas.microsoft.com/office/drawing/2014/chart" uri="{C3380CC4-5D6E-409C-BE32-E72D297353CC}">
              <c16:uniqueId val="{00000062-8F2E-4270-8906-1944D030A90F}"/>
            </c:ext>
          </c:extLst>
        </c:ser>
        <c:ser>
          <c:idx val="83"/>
          <c:order val="83"/>
          <c:spPr>
            <a:ln w="3175">
              <a:solidFill>
                <a:srgbClr val="000000"/>
              </a:solidFill>
              <a:prstDash val="solid"/>
            </a:ln>
          </c:spPr>
          <c:marker>
            <c:symbol val="none"/>
          </c:marker>
          <c:xVal>
            <c:numLit>
              <c:formatCode>General</c:formatCode>
              <c:ptCount val="2"/>
              <c:pt idx="0">
                <c:v>-4.8769879543111792</c:v>
              </c:pt>
              <c:pt idx="1">
                <c:v>-5.4083731523530867</c:v>
              </c:pt>
            </c:numLit>
          </c:xVal>
          <c:yVal>
            <c:numLit>
              <c:formatCode>General</c:formatCode>
              <c:ptCount val="2"/>
              <c:pt idx="0">
                <c:v>2.573855122669123E-2</c:v>
              </c:pt>
              <c:pt idx="1">
                <c:v>2.5944631993549423E-2</c:v>
              </c:pt>
            </c:numLit>
          </c:yVal>
          <c:smooth val="0"/>
          <c:extLst>
            <c:ext xmlns:c16="http://schemas.microsoft.com/office/drawing/2014/chart" uri="{C3380CC4-5D6E-409C-BE32-E72D297353CC}">
              <c16:uniqueId val="{00000063-8F2E-4270-8906-1944D030A90F}"/>
            </c:ext>
          </c:extLst>
        </c:ser>
        <c:ser>
          <c:idx val="84"/>
          <c:order val="84"/>
          <c:spPr>
            <a:ln w="3175">
              <a:solidFill>
                <a:srgbClr val="000000"/>
              </a:solidFill>
              <a:prstDash val="solid"/>
            </a:ln>
          </c:spPr>
          <c:marker>
            <c:symbol val="none"/>
          </c:marker>
          <c:dLbls>
            <c:dLbl>
              <c:idx val="0"/>
              <c:tx>
                <c:rich>
                  <a:bodyPr rot="16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4-8F2E-4270-8906-1944D030A9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-6.3825793487632509</c:v>
              </c:pt>
            </c:numLit>
          </c:xVal>
          <c:yVal>
            <c:numLit>
              <c:formatCode>General</c:formatCode>
              <c:ptCount val="1"/>
              <c:pt idx="0">
                <c:v>2.632244673278945E-2</c:v>
              </c:pt>
            </c:numLit>
          </c:yVal>
          <c:smooth val="0"/>
          <c:extLst>
            <c:ext xmlns:c16="http://schemas.microsoft.com/office/drawing/2014/chart" uri="{C3380CC4-5D6E-409C-BE32-E72D297353CC}">
              <c16:uniqueId val="{00000065-8F2E-4270-8906-1944D030A90F}"/>
            </c:ext>
          </c:extLst>
        </c:ser>
        <c:ser>
          <c:idx val="85"/>
          <c:order val="85"/>
          <c:spPr>
            <a:ln w="3175">
              <a:solidFill>
                <a:srgbClr val="000000"/>
              </a:solidFill>
              <a:prstDash val="solid"/>
            </a:ln>
          </c:spPr>
          <c:marker>
            <c:symbol val="none"/>
          </c:marker>
          <c:xVal>
            <c:numLit>
              <c:formatCode>General</c:formatCode>
              <c:ptCount val="2"/>
              <c:pt idx="0">
                <c:v>-4.97555532075208</c:v>
              </c:pt>
              <c:pt idx="1">
                <c:v>-5.2433600776253391</c:v>
              </c:pt>
            </c:numLit>
          </c:xVal>
          <c:yVal>
            <c:numLit>
              <c:formatCode>General</c:formatCode>
              <c:ptCount val="2"/>
              <c:pt idx="0">
                <c:v>2.5596867354371416E-2</c:v>
              </c:pt>
              <c:pt idx="1">
                <c:v>2.5696871654822231E-2</c:v>
              </c:pt>
            </c:numLit>
          </c:yVal>
          <c:smooth val="0"/>
          <c:extLst>
            <c:ext xmlns:c16="http://schemas.microsoft.com/office/drawing/2014/chart" uri="{C3380CC4-5D6E-409C-BE32-E72D297353CC}">
              <c16:uniqueId val="{00000066-8F2E-4270-8906-1944D030A90F}"/>
            </c:ext>
          </c:extLst>
        </c:ser>
        <c:ser>
          <c:idx val="86"/>
          <c:order val="86"/>
          <c:spPr>
            <a:ln w="3175">
              <a:solidFill>
                <a:srgbClr val="000000"/>
              </a:solidFill>
              <a:prstDash val="solid"/>
            </a:ln>
          </c:spPr>
          <c:marker>
            <c:symbol val="none"/>
          </c:marker>
          <c:xVal>
            <c:numLit>
              <c:formatCode>General</c:formatCode>
              <c:ptCount val="2"/>
              <c:pt idx="0">
                <c:v>-5.0657511406962898</c:v>
              </c:pt>
              <c:pt idx="1">
                <c:v>-5.335488665139783</c:v>
              </c:pt>
            </c:numLit>
          </c:xVal>
          <c:yVal>
            <c:numLit>
              <c:formatCode>General</c:formatCode>
              <c:ptCount val="2"/>
              <c:pt idx="0">
                <c:v>2.5462311255383133E-2</c:v>
              </c:pt>
              <c:pt idx="1">
                <c:v>2.5559432210855628E-2</c:v>
              </c:pt>
            </c:numLit>
          </c:yVal>
          <c:smooth val="0"/>
          <c:extLst>
            <c:ext xmlns:c16="http://schemas.microsoft.com/office/drawing/2014/chart" uri="{C3380CC4-5D6E-409C-BE32-E72D297353CC}">
              <c16:uniqueId val="{00000067-8F2E-4270-8906-1944D030A90F}"/>
            </c:ext>
          </c:extLst>
        </c:ser>
        <c:ser>
          <c:idx val="87"/>
          <c:order val="87"/>
          <c:spPr>
            <a:ln w="3175">
              <a:solidFill>
                <a:srgbClr val="000000"/>
              </a:solidFill>
              <a:prstDash val="solid"/>
            </a:ln>
          </c:spPr>
          <c:marker>
            <c:symbol val="none"/>
          </c:marker>
          <c:xVal>
            <c:numLit>
              <c:formatCode>General</c:formatCode>
              <c:ptCount val="2"/>
              <c:pt idx="0">
                <c:v>-5.1484464315058194</c:v>
              </c:pt>
              <c:pt idx="1">
                <c:v>-5.4199559978952303</c:v>
              </c:pt>
            </c:numLit>
          </c:xVal>
          <c:yVal>
            <c:numLit>
              <c:formatCode>General</c:formatCode>
              <c:ptCount val="2"/>
              <c:pt idx="0">
                <c:v>2.5334446824497189E-2</c:v>
              </c:pt>
              <c:pt idx="1">
                <c:v>2.5428827827879273E-2</c:v>
              </c:pt>
            </c:numLit>
          </c:yVal>
          <c:smooth val="0"/>
          <c:extLst>
            <c:ext xmlns:c16="http://schemas.microsoft.com/office/drawing/2014/chart" uri="{C3380CC4-5D6E-409C-BE32-E72D297353CC}">
              <c16:uniqueId val="{00000068-8F2E-4270-8906-1944D030A90F}"/>
            </c:ext>
          </c:extLst>
        </c:ser>
        <c:ser>
          <c:idx val="88"/>
          <c:order val="88"/>
          <c:spPr>
            <a:ln w="3175">
              <a:solidFill>
                <a:srgbClr val="000000"/>
              </a:solidFill>
              <a:prstDash val="solid"/>
            </a:ln>
          </c:spPr>
          <c:marker>
            <c:symbol val="none"/>
          </c:marker>
          <c:xVal>
            <c:numLit>
              <c:formatCode>General</c:formatCode>
              <c:ptCount val="2"/>
              <c:pt idx="0">
                <c:v>-5.2244087358312541</c:v>
              </c:pt>
              <c:pt idx="1">
                <c:v>-5.497546065884781</c:v>
              </c:pt>
            </c:numLit>
          </c:xVal>
          <c:yVal>
            <c:numLit>
              <c:formatCode>General</c:formatCode>
              <c:ptCount val="2"/>
              <c:pt idx="0">
                <c:v>2.5212861452320056E-2</c:v>
              </c:pt>
              <c:pt idx="1">
                <c:v>2.530463705486977E-2</c:v>
              </c:pt>
            </c:numLit>
          </c:yVal>
          <c:smooth val="0"/>
          <c:extLst>
            <c:ext xmlns:c16="http://schemas.microsoft.com/office/drawing/2014/chart" uri="{C3380CC4-5D6E-409C-BE32-E72D297353CC}">
              <c16:uniqueId val="{00000069-8F2E-4270-8906-1944D030A90F}"/>
            </c:ext>
          </c:extLst>
        </c:ser>
        <c:ser>
          <c:idx val="89"/>
          <c:order val="89"/>
          <c:spPr>
            <a:ln w="3175">
              <a:solidFill>
                <a:srgbClr val="000000"/>
              </a:solidFill>
              <a:prstDash val="solid"/>
            </a:ln>
          </c:spPr>
          <c:marker>
            <c:symbol val="none"/>
          </c:marker>
          <c:xVal>
            <c:numLit>
              <c:formatCode>General</c:formatCode>
              <c:ptCount val="2"/>
              <c:pt idx="0">
                <c:v>-5.2943154079273143</c:v>
              </c:pt>
              <c:pt idx="1">
                <c:v>-5.8435860682670562</c:v>
              </c:pt>
            </c:numLit>
          </c:xVal>
          <c:yVal>
            <c:numLit>
              <c:formatCode>General</c:formatCode>
              <c:ptCount val="2"/>
              <c:pt idx="0">
                <c:v>2.5097166548278888E-2</c:v>
              </c:pt>
              <c:pt idx="1">
                <c:v>2.5275759400347982E-2</c:v>
              </c:pt>
            </c:numLit>
          </c:yVal>
          <c:smooth val="0"/>
          <c:extLst>
            <c:ext xmlns:c16="http://schemas.microsoft.com/office/drawing/2014/chart" uri="{C3380CC4-5D6E-409C-BE32-E72D297353CC}">
              <c16:uniqueId val="{0000006A-8F2E-4270-8906-1944D030A90F}"/>
            </c:ext>
          </c:extLst>
        </c:ser>
        <c:ser>
          <c:idx val="90"/>
          <c:order val="90"/>
          <c:spPr>
            <a:ln w="3175">
              <a:solidFill>
                <a:srgbClr val="000000"/>
              </a:solidFill>
              <a:prstDash val="solid"/>
            </a:ln>
          </c:spPr>
          <c:marker>
            <c:symbol val="none"/>
          </c:marker>
          <c:dLbls>
            <c:dLbl>
              <c:idx val="0"/>
              <c:tx>
                <c:rich>
                  <a:bodyPr rot="14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B-8F2E-4270-8906-1944D030A9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-6.8505822788899158</c:v>
              </c:pt>
            </c:numLit>
          </c:xVal>
          <c:yVal>
            <c:numLit>
              <c:formatCode>General</c:formatCode>
              <c:ptCount val="1"/>
              <c:pt idx="0">
                <c:v>2.5603179629141326E-2</c:v>
              </c:pt>
            </c:numLit>
          </c:yVal>
          <c:smooth val="0"/>
          <c:extLst>
            <c:ext xmlns:c16="http://schemas.microsoft.com/office/drawing/2014/chart" uri="{C3380CC4-5D6E-409C-BE32-E72D297353CC}">
              <c16:uniqueId val="{0000006C-8F2E-4270-8906-1944D030A90F}"/>
            </c:ext>
          </c:extLst>
        </c:ser>
        <c:ser>
          <c:idx val="91"/>
          <c:order val="91"/>
          <c:spPr>
            <a:ln w="3175">
              <a:solidFill>
                <a:srgbClr val="000000"/>
              </a:solidFill>
              <a:prstDash val="solid"/>
            </a:ln>
          </c:spPr>
          <c:marker>
            <c:symbol val="none"/>
          </c:marker>
          <c:xVal>
            <c:numLit>
              <c:formatCode>General</c:formatCode>
              <c:ptCount val="2"/>
              <c:pt idx="0">
                <c:v>-5.358765163744196</c:v>
              </c:pt>
              <c:pt idx="1">
                <c:v>-5.6347815601101443</c:v>
              </c:pt>
            </c:numLit>
          </c:xVal>
          <c:yVal>
            <c:numLit>
              <c:formatCode>General</c:formatCode>
              <c:ptCount val="2"/>
              <c:pt idx="0">
                <c:v>2.4986997418511792E-2</c:v>
              </c:pt>
              <c:pt idx="1">
                <c:v>2.5073933077479904E-2</c:v>
              </c:pt>
            </c:numLit>
          </c:yVal>
          <c:smooth val="0"/>
          <c:extLst>
            <c:ext xmlns:c16="http://schemas.microsoft.com/office/drawing/2014/chart" uri="{C3380CC4-5D6E-409C-BE32-E72D297353CC}">
              <c16:uniqueId val="{0000006D-8F2E-4270-8906-1944D030A90F}"/>
            </c:ext>
          </c:extLst>
        </c:ser>
        <c:ser>
          <c:idx val="92"/>
          <c:order val="92"/>
          <c:spPr>
            <a:ln w="3175">
              <a:solidFill>
                <a:srgbClr val="000000"/>
              </a:solidFill>
              <a:prstDash val="solid"/>
            </a:ln>
          </c:spPr>
          <c:marker>
            <c:symbol val="none"/>
          </c:marker>
          <c:xVal>
            <c:numLit>
              <c:formatCode>General</c:formatCode>
              <c:ptCount val="2"/>
              <c:pt idx="0">
                <c:v>-5.4182881023183391</c:v>
              </c:pt>
              <c:pt idx="1">
                <c:v>-5.6955799902251618</c:v>
              </c:pt>
            </c:numLit>
          </c:xVal>
          <c:yVal>
            <c:numLit>
              <c:formatCode>General</c:formatCode>
              <c:ptCount val="2"/>
              <c:pt idx="0">
                <c:v>2.4882012699129402E-2</c:v>
              </c:pt>
              <c:pt idx="1">
                <c:v>2.4966698685539319E-2</c:v>
              </c:pt>
            </c:numLit>
          </c:yVal>
          <c:smooth val="0"/>
          <c:extLst>
            <c:ext xmlns:c16="http://schemas.microsoft.com/office/drawing/2014/chart" uri="{C3380CC4-5D6E-409C-BE32-E72D297353CC}">
              <c16:uniqueId val="{0000006E-8F2E-4270-8906-1944D030A90F}"/>
            </c:ext>
          </c:extLst>
        </c:ser>
        <c:ser>
          <c:idx val="93"/>
          <c:order val="93"/>
          <c:spPr>
            <a:ln w="3175">
              <a:solidFill>
                <a:srgbClr val="000000"/>
              </a:solidFill>
              <a:prstDash val="solid"/>
            </a:ln>
          </c:spPr>
          <c:marker>
            <c:symbol val="none"/>
          </c:marker>
          <c:xVal>
            <c:numLit>
              <c:formatCode>General</c:formatCode>
              <c:ptCount val="2"/>
              <c:pt idx="0">
                <c:v>-5.4733543909858673</c:v>
              </c:pt>
              <c:pt idx="1">
                <c:v>-5.7518262707927077</c:v>
              </c:pt>
            </c:numLit>
          </c:xVal>
          <c:yVal>
            <c:numLit>
              <c:formatCode>General</c:formatCode>
              <c:ptCount val="2"/>
              <c:pt idx="0">
                <c:v>2.4781893493615731E-2</c:v>
              </c:pt>
              <c:pt idx="1">
                <c:v>2.4864434068478925E-2</c:v>
              </c:pt>
            </c:numLit>
          </c:yVal>
          <c:smooth val="0"/>
          <c:extLst>
            <c:ext xmlns:c16="http://schemas.microsoft.com/office/drawing/2014/chart" uri="{C3380CC4-5D6E-409C-BE32-E72D297353CC}">
              <c16:uniqueId val="{0000006F-8F2E-4270-8906-1944D030A90F}"/>
            </c:ext>
          </c:extLst>
        </c:ser>
        <c:ser>
          <c:idx val="94"/>
          <c:order val="94"/>
          <c:spPr>
            <a:ln w="3175">
              <a:solidFill>
                <a:srgbClr val="000000"/>
              </a:solidFill>
              <a:prstDash val="solid"/>
            </a:ln>
          </c:spPr>
          <c:marker>
            <c:symbol val="none"/>
          </c:marker>
          <c:xVal>
            <c:numLit>
              <c:formatCode>General</c:formatCode>
              <c:ptCount val="2"/>
              <c:pt idx="0">
                <c:v>-5.5243817887928159</c:v>
              </c:pt>
              <c:pt idx="1">
                <c:v>-5.8039471128383777</c:v>
              </c:pt>
            </c:numLit>
          </c:xVal>
          <c:yVal>
            <c:numLit>
              <c:formatCode>General</c:formatCode>
              <c:ptCount val="2"/>
              <c:pt idx="0">
                <c:v>2.4686342323848191E-2</c:v>
              </c:pt>
              <c:pt idx="1">
                <c:v>2.4766835373644939E-2</c:v>
              </c:pt>
            </c:numLit>
          </c:yVal>
          <c:smooth val="0"/>
          <c:extLst>
            <c:ext xmlns:c16="http://schemas.microsoft.com/office/drawing/2014/chart" uri="{C3380CC4-5D6E-409C-BE32-E72D297353CC}">
              <c16:uniqueId val="{00000070-8F2E-4270-8906-1944D030A90F}"/>
            </c:ext>
          </c:extLst>
        </c:ser>
        <c:ser>
          <c:idx val="95"/>
          <c:order val="95"/>
          <c:spPr>
            <a:ln w="3175">
              <a:solidFill>
                <a:srgbClr val="000000"/>
              </a:solidFill>
              <a:prstDash val="solid"/>
            </a:ln>
          </c:spPr>
          <c:marker>
            <c:symbol val="none"/>
          </c:marker>
          <c:xVal>
            <c:numLit>
              <c:formatCode>General</c:formatCode>
              <c:ptCount val="2"/>
              <c:pt idx="0">
                <c:v>-5.571742163443429</c:v>
              </c:pt>
              <c:pt idx="1">
                <c:v>-5.8523223526600745</c:v>
              </c:pt>
            </c:numLit>
          </c:xVal>
          <c:yVal>
            <c:numLit>
              <c:formatCode>General</c:formatCode>
              <c:ptCount val="2"/>
              <c:pt idx="0">
                <c:v>2.4595081974519786E-2</c:v>
              </c:pt>
              <c:pt idx="1">
                <c:v>2.4673619445402351E-2</c:v>
              </c:pt>
            </c:numLit>
          </c:yVal>
          <c:smooth val="0"/>
          <c:extLst>
            <c:ext xmlns:c16="http://schemas.microsoft.com/office/drawing/2014/chart" uri="{C3380CC4-5D6E-409C-BE32-E72D297353CC}">
              <c16:uniqueId val="{00000071-8F2E-4270-8906-1944D030A90F}"/>
            </c:ext>
          </c:extLst>
        </c:ser>
        <c:ser>
          <c:idx val="96"/>
          <c:order val="96"/>
          <c:spPr>
            <a:ln w="3175">
              <a:solidFill>
                <a:srgbClr val="000000"/>
              </a:solidFill>
              <a:prstDash val="solid"/>
            </a:ln>
          </c:spPr>
          <c:marker>
            <c:symbol val="none"/>
          </c:marker>
          <c:dLbls>
            <c:dLbl>
              <c:idx val="0"/>
              <c:tx>
                <c:rich>
                  <a:bodyPr rot="12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2-8F2E-4270-8906-1944D030A9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-7.1616965690044161</c:v>
              </c:pt>
            </c:numLit>
          </c:xVal>
          <c:yVal>
            <c:numLit>
              <c:formatCode>General</c:formatCode>
              <c:ptCount val="1"/>
              <c:pt idx="0">
                <c:v>2.5040127642854328E-2</c:v>
              </c:pt>
            </c:numLit>
          </c:yVal>
          <c:smooth val="0"/>
          <c:extLst>
            <c:ext xmlns:c16="http://schemas.microsoft.com/office/drawing/2014/chart" uri="{C3380CC4-5D6E-409C-BE32-E72D297353CC}">
              <c16:uniqueId val="{00000073-8F2E-4270-8906-1944D030A90F}"/>
            </c:ext>
          </c:extLst>
        </c:ser>
        <c:ser>
          <c:idx val="97"/>
          <c:order val="97"/>
          <c:spPr>
            <a:ln w="3175">
              <a:solidFill>
                <a:srgbClr val="000000"/>
              </a:solidFill>
              <a:prstDash val="solid"/>
            </a:ln>
          </c:spPr>
          <c:marker>
            <c:symbol val="none"/>
          </c:marker>
          <c:xVal>
            <c:numLit>
              <c:formatCode>General</c:formatCode>
              <c:ptCount val="2"/>
              <c:pt idx="0">
                <c:v>-5.6567529906365968</c:v>
              </c:pt>
              <c:pt idx="1">
                <c:v>-5.9391548404359531</c:v>
              </c:pt>
            </c:numLit>
          </c:xVal>
          <c:yVal>
            <c:numLit>
              <c:formatCode>General</c:formatCode>
              <c:ptCount val="2"/>
              <c:pt idx="0">
                <c:v>2.4424418953236802E-2</c:v>
              </c:pt>
              <c:pt idx="1">
                <c:v>2.4499299359377589E-2</c:v>
              </c:pt>
            </c:numLit>
          </c:yVal>
          <c:smooth val="0"/>
          <c:extLst>
            <c:ext xmlns:c16="http://schemas.microsoft.com/office/drawing/2014/chart" uri="{C3380CC4-5D6E-409C-BE32-E72D297353CC}">
              <c16:uniqueId val="{00000074-8F2E-4270-8906-1944D030A90F}"/>
            </c:ext>
          </c:extLst>
        </c:ser>
        <c:ser>
          <c:idx val="98"/>
          <c:order val="98"/>
          <c:spPr>
            <a:ln w="3175">
              <a:solidFill>
                <a:srgbClr val="000000"/>
              </a:solidFill>
              <a:prstDash val="solid"/>
            </a:ln>
          </c:spPr>
          <c:marker>
            <c:symbol val="none"/>
          </c:marker>
          <c:xVal>
            <c:numLit>
              <c:formatCode>General</c:formatCode>
              <c:ptCount val="2"/>
              <c:pt idx="0">
                <c:v>-5.7306406407761212</c:v>
              </c:pt>
              <c:pt idx="1">
                <c:v>-6.0146257973641815</c:v>
              </c:pt>
            </c:numLit>
          </c:xVal>
          <c:yVal>
            <c:numLit>
              <c:formatCode>General</c:formatCode>
              <c:ptCount val="2"/>
              <c:pt idx="0">
                <c:v>2.4268046190440859E-2</c:v>
              </c:pt>
              <c:pt idx="1">
                <c:v>2.433957575166459E-2</c:v>
              </c:pt>
            </c:numLit>
          </c:yVal>
          <c:smooth val="0"/>
          <c:extLst>
            <c:ext xmlns:c16="http://schemas.microsoft.com/office/drawing/2014/chart" uri="{C3380CC4-5D6E-409C-BE32-E72D297353CC}">
              <c16:uniqueId val="{00000075-8F2E-4270-8906-1944D030A90F}"/>
            </c:ext>
          </c:extLst>
        </c:ser>
        <c:ser>
          <c:idx val="99"/>
          <c:order val="99"/>
          <c:spPr>
            <a:ln w="3175">
              <a:solidFill>
                <a:srgbClr val="000000"/>
              </a:solidFill>
              <a:prstDash val="solid"/>
            </a:ln>
          </c:spPr>
          <c:marker>
            <c:symbol val="none"/>
          </c:marker>
          <c:xVal>
            <c:numLit>
              <c:formatCode>General</c:formatCode>
              <c:ptCount val="2"/>
              <c:pt idx="0">
                <c:v>-5.7952165720117108</c:v>
              </c:pt>
              <c:pt idx="1">
                <c:v>-6.0805854985548189</c:v>
              </c:pt>
            </c:numLit>
          </c:xVal>
          <c:yVal>
            <c:numLit>
              <c:formatCode>General</c:formatCode>
              <c:ptCount val="2"/>
              <c:pt idx="0">
                <c:v>2.4124353808164946E-2</c:v>
              </c:pt>
              <c:pt idx="1">
                <c:v>2.4192804246911337E-2</c:v>
              </c:pt>
            </c:numLit>
          </c:yVal>
          <c:smooth val="0"/>
          <c:extLst>
            <c:ext xmlns:c16="http://schemas.microsoft.com/office/drawing/2014/chart" uri="{C3380CC4-5D6E-409C-BE32-E72D297353CC}">
              <c16:uniqueId val="{00000076-8F2E-4270-8906-1944D030A90F}"/>
            </c:ext>
          </c:extLst>
        </c:ser>
        <c:ser>
          <c:idx val="100"/>
          <c:order val="100"/>
          <c:spPr>
            <a:ln w="3175">
              <a:solidFill>
                <a:srgbClr val="000000"/>
              </a:solidFill>
              <a:prstDash val="solid"/>
            </a:ln>
          </c:spPr>
          <c:marker>
            <c:symbol val="none"/>
          </c:marker>
          <c:xVal>
            <c:numLit>
              <c:formatCode>General</c:formatCode>
              <c:ptCount val="2"/>
              <c:pt idx="0">
                <c:v>-5.851947118469381</c:v>
              </c:pt>
              <c:pt idx="1">
                <c:v>-6.1385316995794392</c:v>
              </c:pt>
            </c:numLit>
          </c:xVal>
          <c:yVal>
            <c:numLit>
              <c:formatCode>General</c:formatCode>
              <c:ptCount val="2"/>
              <c:pt idx="0">
                <c:v>2.3991946017564908E-2</c:v>
              </c:pt>
              <c:pt idx="1">
                <c:v>2.4057559146512728E-2</c:v>
              </c:pt>
            </c:numLit>
          </c:yVal>
          <c:smooth val="0"/>
          <c:extLst>
            <c:ext xmlns:c16="http://schemas.microsoft.com/office/drawing/2014/chart" uri="{C3380CC4-5D6E-409C-BE32-E72D297353CC}">
              <c16:uniqueId val="{00000077-8F2E-4270-8906-1944D030A90F}"/>
            </c:ext>
          </c:extLst>
        </c:ser>
        <c:ser>
          <c:idx val="101"/>
          <c:order val="101"/>
          <c:spPr>
            <a:ln w="3175">
              <a:solidFill>
                <a:srgbClr val="000000"/>
              </a:solidFill>
              <a:prstDash val="solid"/>
            </a:ln>
          </c:spPr>
          <c:marker>
            <c:symbol val="none"/>
          </c:marker>
          <c:xVal>
            <c:numLit>
              <c:formatCode>General</c:formatCode>
              <c:ptCount val="2"/>
              <c:pt idx="0">
                <c:v>-5.9020274437754896</c:v>
              </c:pt>
              <c:pt idx="1">
                <c:v>-6.4773429056515814</c:v>
              </c:pt>
            </c:numLit>
          </c:xVal>
          <c:yVal>
            <c:numLit>
              <c:formatCode>General</c:formatCode>
              <c:ptCount val="2"/>
              <c:pt idx="0">
                <c:v>2.3869610711458024E-2</c:v>
              </c:pt>
              <c:pt idx="1">
                <c:v>2.3995594027663367E-2</c:v>
              </c:pt>
            </c:numLit>
          </c:yVal>
          <c:smooth val="0"/>
          <c:extLst>
            <c:ext xmlns:c16="http://schemas.microsoft.com/office/drawing/2014/chart" uri="{C3380CC4-5D6E-409C-BE32-E72D297353CC}">
              <c16:uniqueId val="{00000078-8F2E-4270-8906-1944D030A90F}"/>
            </c:ext>
          </c:extLst>
        </c:ser>
        <c:ser>
          <c:idx val="102"/>
          <c:order val="102"/>
          <c:spPr>
            <a:ln w="3175">
              <a:solidFill>
                <a:srgbClr val="000000"/>
              </a:solidFill>
              <a:prstDash val="solid"/>
            </a:ln>
          </c:spPr>
          <c:marker>
            <c:symbol val="none"/>
          </c:marker>
          <c:dLbls>
            <c:dLbl>
              <c:idx val="0"/>
              <c:tx>
                <c:rich>
                  <a:bodyPr rot="9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9-8F2E-4270-8906-1944D030A9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-7.5320879190910839</c:v>
              </c:pt>
            </c:numLit>
          </c:xVal>
          <c:yVal>
            <c:numLit>
              <c:formatCode>General</c:formatCode>
              <c:ptCount val="1"/>
              <c:pt idx="0">
                <c:v>2.4226563440706499E-2</c:v>
              </c:pt>
            </c:numLit>
          </c:yVal>
          <c:smooth val="0"/>
          <c:extLst>
            <c:ext xmlns:c16="http://schemas.microsoft.com/office/drawing/2014/chart" uri="{C3380CC4-5D6E-409C-BE32-E72D297353CC}">
              <c16:uniqueId val="{0000007A-8F2E-4270-8906-1944D030A90F}"/>
            </c:ext>
          </c:extLst>
        </c:ser>
        <c:ser>
          <c:idx val="103"/>
          <c:order val="103"/>
          <c:spPr>
            <a:ln w="3175">
              <a:solidFill>
                <a:srgbClr val="000000"/>
              </a:solidFill>
              <a:prstDash val="solid"/>
            </a:ln>
          </c:spPr>
          <c:marker>
            <c:symbol val="none"/>
          </c:marker>
          <c:xVal>
            <c:numLit>
              <c:formatCode>General</c:formatCode>
              <c:ptCount val="2"/>
              <c:pt idx="0">
                <c:v>-6.0041567309797621</c:v>
              </c:pt>
              <c:pt idx="1">
                <c:v>-6.2940029466436149</c:v>
              </c:pt>
            </c:numLit>
          </c:xVal>
          <c:yVal>
            <c:numLit>
              <c:formatCode>General</c:formatCode>
              <c:ptCount val="2"/>
              <c:pt idx="0">
                <c:v>2.3601243359121643E-2</c:v>
              </c:pt>
              <c:pt idx="1">
                <c:v>2.3658484288245678E-2</c:v>
              </c:pt>
            </c:numLit>
          </c:yVal>
          <c:smooth val="0"/>
          <c:extLst>
            <c:ext xmlns:c16="http://schemas.microsoft.com/office/drawing/2014/chart" uri="{C3380CC4-5D6E-409C-BE32-E72D297353CC}">
              <c16:uniqueId val="{0000007B-8F2E-4270-8906-1944D030A90F}"/>
            </c:ext>
          </c:extLst>
        </c:ser>
        <c:ser>
          <c:idx val="104"/>
          <c:order val="104"/>
          <c:spPr>
            <a:ln w="3175">
              <a:solidFill>
                <a:srgbClr val="000000"/>
              </a:solidFill>
              <a:prstDash val="solid"/>
            </a:ln>
          </c:spPr>
          <c:marker>
            <c:symbol val="none"/>
          </c:marker>
          <c:xVal>
            <c:numLit>
              <c:formatCode>General</c:formatCode>
              <c:ptCount val="2"/>
              <c:pt idx="0">
                <c:v>-6.0816762741522021</c:v>
              </c:pt>
              <c:pt idx="1">
                <c:v>-6.664690971615868</c:v>
              </c:pt>
            </c:numLit>
          </c:xVal>
          <c:yVal>
            <c:numLit>
              <c:formatCode>General</c:formatCode>
              <c:ptCount val="2"/>
              <c:pt idx="0">
                <c:v>2.3376424442580822E-2</c:v>
              </c:pt>
              <c:pt idx="1">
                <c:v>2.3481271204405716E-2</c:v>
              </c:pt>
            </c:numLit>
          </c:yVal>
          <c:smooth val="0"/>
          <c:extLst>
            <c:ext xmlns:c16="http://schemas.microsoft.com/office/drawing/2014/chart" uri="{C3380CC4-5D6E-409C-BE32-E72D297353CC}">
              <c16:uniqueId val="{0000007C-8F2E-4270-8906-1944D030A90F}"/>
            </c:ext>
          </c:extLst>
        </c:ser>
        <c:ser>
          <c:idx val="105"/>
          <c:order val="105"/>
          <c:spPr>
            <a:ln w="3175">
              <a:solidFill>
                <a:srgbClr val="000000"/>
              </a:solidFill>
              <a:prstDash val="solid"/>
            </a:ln>
          </c:spPr>
          <c:marker>
            <c:symbol val="none"/>
          </c:marker>
          <c:dLbls>
            <c:dLbl>
              <c:idx val="0"/>
              <c:tx>
                <c:rich>
                  <a:bodyPr rot="8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D-8F2E-4270-8906-1944D030A9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-7.7335512502992545</c:v>
              </c:pt>
            </c:numLit>
          </c:xVal>
          <c:yVal>
            <c:numLit>
              <c:formatCode>General</c:formatCode>
              <c:ptCount val="1"/>
              <c:pt idx="0">
                <c:v>2.3673490267751351E-2</c:v>
              </c:pt>
            </c:numLit>
          </c:yVal>
          <c:smooth val="0"/>
          <c:extLst>
            <c:ext xmlns:c16="http://schemas.microsoft.com/office/drawing/2014/chart" uri="{C3380CC4-5D6E-409C-BE32-E72D297353CC}">
              <c16:uniqueId val="{0000007E-8F2E-4270-8906-1944D030A90F}"/>
            </c:ext>
          </c:extLst>
        </c:ser>
        <c:ser>
          <c:idx val="106"/>
          <c:order val="106"/>
          <c:spPr>
            <a:ln w="3175">
              <a:solidFill>
                <a:srgbClr val="000000"/>
              </a:solidFill>
              <a:prstDash val="solid"/>
            </a:ln>
          </c:spPr>
          <c:marker>
            <c:symbol val="none"/>
          </c:marker>
          <c:xVal>
            <c:numLit>
              <c:formatCode>General</c:formatCode>
              <c:ptCount val="2"/>
              <c:pt idx="0">
                <c:v>-6.1418165019856463</c:v>
              </c:pt>
              <c:pt idx="1">
                <c:v>-6.4346125698853394</c:v>
              </c:pt>
            </c:numLit>
          </c:xVal>
          <c:yVal>
            <c:numLit>
              <c:formatCode>General</c:formatCode>
              <c:ptCount val="2"/>
              <c:pt idx="0">
                <c:v>2.3185628388742628E-2</c:v>
              </c:pt>
              <c:pt idx="1">
                <c:v>2.3233963282787113E-2</c:v>
              </c:pt>
            </c:numLit>
          </c:yVal>
          <c:smooth val="0"/>
          <c:extLst>
            <c:ext xmlns:c16="http://schemas.microsoft.com/office/drawing/2014/chart" uri="{C3380CC4-5D6E-409C-BE32-E72D297353CC}">
              <c16:uniqueId val="{0000007F-8F2E-4270-8906-1944D030A90F}"/>
            </c:ext>
          </c:extLst>
        </c:ser>
        <c:ser>
          <c:idx val="107"/>
          <c:order val="107"/>
          <c:spPr>
            <a:ln w="3175">
              <a:solidFill>
                <a:srgbClr val="000000"/>
              </a:solidFill>
              <a:prstDash val="solid"/>
            </a:ln>
          </c:spPr>
          <c:marker>
            <c:symbol val="none"/>
          </c:marker>
          <c:xVal>
            <c:numLit>
              <c:formatCode>General</c:formatCode>
              <c:ptCount val="2"/>
              <c:pt idx="0">
                <c:v>-6.1893611787955249</c:v>
              </c:pt>
              <c:pt idx="1">
                <c:v>-6.7769909436010467</c:v>
              </c:pt>
            </c:numLit>
          </c:xVal>
          <c:yVal>
            <c:numLit>
              <c:formatCode>General</c:formatCode>
              <c:ptCount val="2"/>
              <c:pt idx="0">
                <c:v>2.3021845518026735E-2</c:v>
              </c:pt>
              <c:pt idx="1">
                <c:v>2.3111496040227882E-2</c:v>
              </c:pt>
            </c:numLit>
          </c:yVal>
          <c:smooth val="0"/>
          <c:extLst>
            <c:ext xmlns:c16="http://schemas.microsoft.com/office/drawing/2014/chart" uri="{C3380CC4-5D6E-409C-BE32-E72D297353CC}">
              <c16:uniqueId val="{00000080-8F2E-4270-8906-1944D030A90F}"/>
            </c:ext>
          </c:extLst>
        </c:ser>
        <c:ser>
          <c:idx val="108"/>
          <c:order val="108"/>
          <c:spPr>
            <a:ln w="3175">
              <a:solidFill>
                <a:srgbClr val="000000"/>
              </a:solidFill>
              <a:prstDash val="solid"/>
            </a:ln>
          </c:spPr>
          <c:marker>
            <c:symbol val="none"/>
          </c:marker>
          <c:dLbls>
            <c:dLbl>
              <c:idx val="0"/>
              <c:tx>
                <c:rich>
                  <a:bodyPr rot="7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-4000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1-8F2E-4270-8906-1944D030A9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-7.8543121790778381</c:v>
              </c:pt>
            </c:numLit>
          </c:xVal>
          <c:yVal>
            <c:numLit>
              <c:formatCode>General</c:formatCode>
              <c:ptCount val="1"/>
              <c:pt idx="0">
                <c:v>2.3275855330929983E-2</c:v>
              </c:pt>
            </c:numLit>
          </c:yVal>
          <c:smooth val="0"/>
          <c:extLst>
            <c:ext xmlns:c16="http://schemas.microsoft.com/office/drawing/2014/chart" uri="{C3380CC4-5D6E-409C-BE32-E72D297353CC}">
              <c16:uniqueId val="{00000082-8F2E-4270-8906-1944D030A90F}"/>
            </c:ext>
          </c:extLst>
        </c:ser>
        <c:ser>
          <c:idx val="109"/>
          <c:order val="109"/>
          <c:spPr>
            <a:ln w="3175">
              <a:solidFill>
                <a:srgbClr val="000000"/>
              </a:solidFill>
              <a:prstDash val="solid"/>
            </a:ln>
          </c:spPr>
          <c:marker>
            <c:symbol val="none"/>
          </c:marker>
          <c:xVal>
            <c:numLit>
              <c:formatCode>General</c:formatCode>
              <c:ptCount val="2"/>
              <c:pt idx="0">
                <c:v>-6.2275685419443816</c:v>
              </c:pt>
              <c:pt idx="1">
                <c:v>-6.5222021535574761</c:v>
              </c:pt>
            </c:numLit>
          </c:xVal>
          <c:yVal>
            <c:numLit>
              <c:formatCode>General</c:formatCode>
              <c:ptCount val="2"/>
              <c:pt idx="0">
                <c:v>2.2879826043585575E-2</c:v>
              </c:pt>
              <c:pt idx="1">
                <c:v>2.2921608030233839E-2</c:v>
              </c:pt>
            </c:numLit>
          </c:yVal>
          <c:smooth val="0"/>
          <c:extLst>
            <c:ext xmlns:c16="http://schemas.microsoft.com/office/drawing/2014/chart" uri="{C3380CC4-5D6E-409C-BE32-E72D297353CC}">
              <c16:uniqueId val="{00000083-8F2E-4270-8906-1944D030A90F}"/>
            </c:ext>
          </c:extLst>
        </c:ser>
        <c:ser>
          <c:idx val="110"/>
          <c:order val="110"/>
          <c:spPr>
            <a:ln w="3175">
              <a:solidFill>
                <a:srgbClr val="000000"/>
              </a:solidFill>
              <a:prstDash val="solid"/>
            </a:ln>
          </c:spPr>
          <c:marker>
            <c:symbol val="none"/>
          </c:marker>
          <c:xVal>
            <c:numLit>
              <c:formatCode>General</c:formatCode>
              <c:ptCount val="2"/>
              <c:pt idx="0">
                <c:v>-6.2587153367755777</c:v>
              </c:pt>
              <c:pt idx="1">
                <c:v>-6.8493174226373874</c:v>
              </c:pt>
            </c:numLit>
          </c:xVal>
          <c:yVal>
            <c:numLit>
              <c:formatCode>General</c:formatCode>
              <c:ptCount val="2"/>
              <c:pt idx="0">
                <c:v>2.2755572771766694E-2</c:v>
              </c:pt>
              <c:pt idx="1">
                <c:v>2.2833811604842408E-2</c:v>
              </c:pt>
            </c:numLit>
          </c:yVal>
          <c:smooth val="0"/>
          <c:extLst>
            <c:ext xmlns:c16="http://schemas.microsoft.com/office/drawing/2014/chart" uri="{C3380CC4-5D6E-409C-BE32-E72D297353CC}">
              <c16:uniqueId val="{00000084-8F2E-4270-8906-1944D030A90F}"/>
            </c:ext>
          </c:extLst>
        </c:ser>
        <c:ser>
          <c:idx val="111"/>
          <c:order val="111"/>
          <c:spPr>
            <a:ln w="3175">
              <a:solidFill>
                <a:srgbClr val="000000"/>
              </a:solidFill>
              <a:prstDash val="solid"/>
            </a:ln>
          </c:spPr>
          <c:marker>
            <c:symbol val="none"/>
          </c:marker>
          <c:dLbls>
            <c:dLbl>
              <c:idx val="0"/>
              <c:tx>
                <c:rich>
                  <a:bodyPr rot="6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5-8F2E-4270-8906-1944D030A9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-7.9320879133840396</c:v>
              </c:pt>
            </c:numLit>
          </c:xVal>
          <c:yVal>
            <c:numLit>
              <c:formatCode>General</c:formatCode>
              <c:ptCount val="1"/>
              <c:pt idx="0">
                <c:v>2.2977249465481218E-2</c:v>
              </c:pt>
            </c:numLit>
          </c:yVal>
          <c:smooth val="0"/>
          <c:extLst>
            <c:ext xmlns:c16="http://schemas.microsoft.com/office/drawing/2014/chart" uri="{C3380CC4-5D6E-409C-BE32-E72D297353CC}">
              <c16:uniqueId val="{00000086-8F2E-4270-8906-1944D030A90F}"/>
            </c:ext>
          </c:extLst>
        </c:ser>
        <c:ser>
          <c:idx val="112"/>
          <c:order val="112"/>
          <c:spPr>
            <a:ln w="3175">
              <a:solidFill>
                <a:srgbClr val="000000"/>
              </a:solidFill>
              <a:prstDash val="solid"/>
            </a:ln>
          </c:spPr>
          <c:marker>
            <c:symbol val="none"/>
          </c:marker>
          <c:xVal>
            <c:numLit>
              <c:formatCode>General</c:formatCode>
              <c:ptCount val="2"/>
              <c:pt idx="0">
                <c:v>-6.3058961870318369</c:v>
              </c:pt>
              <c:pt idx="1">
                <c:v>-6.6022082481825199</c:v>
              </c:pt>
            </c:numLit>
          </c:xVal>
          <c:yVal>
            <c:numLit>
              <c:formatCode>General</c:formatCode>
              <c:ptCount val="2"/>
              <c:pt idx="0">
                <c:v>2.2548671580655582E-2</c:v>
              </c:pt>
              <c:pt idx="1">
                <c:v>2.2583357400241057E-2</c:v>
              </c:pt>
            </c:numLit>
          </c:yVal>
          <c:smooth val="0"/>
          <c:extLst>
            <c:ext xmlns:c16="http://schemas.microsoft.com/office/drawing/2014/chart" uri="{C3380CC4-5D6E-409C-BE32-E72D297353CC}">
              <c16:uniqueId val="{00000087-8F2E-4270-8906-1944D030A90F}"/>
            </c:ext>
          </c:extLst>
        </c:ser>
        <c:ser>
          <c:idx val="113"/>
          <c:order val="113"/>
          <c:spPr>
            <a:ln w="3175">
              <a:solidFill>
                <a:srgbClr val="000000"/>
              </a:solidFill>
              <a:prstDash val="solid"/>
            </a:ln>
          </c:spPr>
          <c:marker>
            <c:symbol val="none"/>
          </c:marker>
          <c:xVal>
            <c:numLit>
              <c:formatCode>General</c:formatCode>
              <c:ptCount val="2"/>
              <c:pt idx="0">
                <c:v>-6.3394006467143074</c:v>
              </c:pt>
              <c:pt idx="1">
                <c:v>-6.6364306605724712</c:v>
              </c:pt>
            </c:numLit>
          </c:xVal>
          <c:yVal>
            <c:numLit>
              <c:formatCode>General</c:formatCode>
              <c:ptCount val="2"/>
              <c:pt idx="0">
                <c:v>2.2383467693411988E-2</c:v>
              </c:pt>
              <c:pt idx="1">
                <c:v>2.2414613429699387E-2</c:v>
              </c:pt>
            </c:numLit>
          </c:yVal>
          <c:smooth val="0"/>
          <c:extLst>
            <c:ext xmlns:c16="http://schemas.microsoft.com/office/drawing/2014/chart" uri="{C3380CC4-5D6E-409C-BE32-E72D297353CC}">
              <c16:uniqueId val="{00000088-8F2E-4270-8906-1944D030A90F}"/>
            </c:ext>
          </c:extLst>
        </c:ser>
        <c:ser>
          <c:idx val="114"/>
          <c:order val="114"/>
          <c:spPr>
            <a:ln w="3175">
              <a:solidFill>
                <a:srgbClr val="000000"/>
              </a:solidFill>
              <a:prstDash val="solid"/>
            </a:ln>
          </c:spPr>
          <c:marker>
            <c:symbol val="none"/>
          </c:marker>
          <c:xVal>
            <c:numLit>
              <c:formatCode>General</c:formatCode>
              <c:ptCount val="2"/>
              <c:pt idx="0">
                <c:v>-6.3640278309235088</c:v>
              </c:pt>
              <c:pt idx="1">
                <c:v>-6.6615855701575848</c:v>
              </c:pt>
            </c:numLit>
          </c:xVal>
          <c:yVal>
            <c:numLit>
              <c:formatCode>General</c:formatCode>
              <c:ptCount val="2"/>
              <c:pt idx="0">
                <c:v>2.2248609023778468E-2</c:v>
              </c:pt>
              <c:pt idx="1">
                <c:v>2.2276864931430863E-2</c:v>
              </c:pt>
            </c:numLit>
          </c:yVal>
          <c:smooth val="0"/>
          <c:extLst>
            <c:ext xmlns:c16="http://schemas.microsoft.com/office/drawing/2014/chart" uri="{C3380CC4-5D6E-409C-BE32-E72D297353CC}">
              <c16:uniqueId val="{00000089-8F2E-4270-8906-1944D030A90F}"/>
            </c:ext>
          </c:extLst>
        </c:ser>
        <c:ser>
          <c:idx val="115"/>
          <c:order val="115"/>
          <c:spPr>
            <a:ln w="3175">
              <a:solidFill>
                <a:srgbClr val="000000"/>
              </a:solidFill>
              <a:prstDash val="solid"/>
            </a:ln>
          </c:spPr>
          <c:marker>
            <c:symbol val="none"/>
          </c:marker>
          <c:xVal>
            <c:numLit>
              <c:formatCode>General</c:formatCode>
              <c:ptCount val="2"/>
              <c:pt idx="0">
                <c:v>-6.382648783342864</c:v>
              </c:pt>
              <c:pt idx="1">
                <c:v>-6.6806055429859255</c:v>
              </c:pt>
            </c:numLit>
          </c:xVal>
          <c:yVal>
            <c:numLit>
              <c:formatCode>General</c:formatCode>
              <c:ptCount val="2"/>
              <c:pt idx="0">
                <c:v>2.2136492726931425E-2</c:v>
              </c:pt>
              <c:pt idx="1">
                <c:v>2.2162346142508529E-2</c:v>
              </c:pt>
            </c:numLit>
          </c:yVal>
          <c:smooth val="0"/>
          <c:extLst>
            <c:ext xmlns:c16="http://schemas.microsoft.com/office/drawing/2014/chart" uri="{C3380CC4-5D6E-409C-BE32-E72D297353CC}">
              <c16:uniqueId val="{0000008A-8F2E-4270-8906-1944D030A90F}"/>
            </c:ext>
          </c:extLst>
        </c:ser>
        <c:ser>
          <c:idx val="116"/>
          <c:order val="116"/>
          <c:spPr>
            <a:ln w="3175">
              <a:solidFill>
                <a:srgbClr val="000000"/>
              </a:solidFill>
              <a:prstDash val="solid"/>
            </a:ln>
          </c:spPr>
          <c:marker>
            <c:symbol val="none"/>
          </c:marker>
          <c:xVal>
            <c:numLit>
              <c:formatCode>General</c:formatCode>
              <c:ptCount val="2"/>
              <c:pt idx="0">
                <c:v>-6.3970641036563771</c:v>
              </c:pt>
              <c:pt idx="1">
                <c:v>-6.9935954223845069</c:v>
              </c:pt>
            </c:numLit>
          </c:xVal>
          <c:yVal>
            <c:numLit>
              <c:formatCode>General</c:formatCode>
              <c:ptCount val="2"/>
              <c:pt idx="0">
                <c:v>2.2041845203134694E-2</c:v>
              </c:pt>
              <c:pt idx="1">
                <c:v>2.2089495711840466E-2</c:v>
              </c:pt>
            </c:numLit>
          </c:yVal>
          <c:smooth val="0"/>
          <c:extLst>
            <c:ext xmlns:c16="http://schemas.microsoft.com/office/drawing/2014/chart" uri="{C3380CC4-5D6E-409C-BE32-E72D297353CC}">
              <c16:uniqueId val="{0000008B-8F2E-4270-8906-1944D030A90F}"/>
            </c:ext>
          </c:extLst>
        </c:ser>
        <c:ser>
          <c:idx val="117"/>
          <c:order val="117"/>
          <c:spPr>
            <a:ln w="3175">
              <a:solidFill>
                <a:srgbClr val="000000"/>
              </a:solidFill>
              <a:prstDash val="solid"/>
            </a:ln>
          </c:spPr>
          <c:marker>
            <c:symbol val="none"/>
          </c:marker>
          <c:dLbls>
            <c:dLbl>
              <c:idx val="0"/>
              <c:tx>
                <c:rich>
                  <a:bodyPr rot="3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C-8F2E-4270-8906-1944D030A9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-8.0872361733860796</c:v>
              </c:pt>
            </c:numLit>
          </c:xVal>
          <c:yVal>
            <c:numLit>
              <c:formatCode>General</c:formatCode>
              <c:ptCount val="1"/>
              <c:pt idx="0">
                <c:v>2.2176854977801051E-2</c:v>
              </c:pt>
            </c:numLit>
          </c:yVal>
          <c:smooth val="0"/>
          <c:extLst>
            <c:ext xmlns:c16="http://schemas.microsoft.com/office/drawing/2014/chart" uri="{C3380CC4-5D6E-409C-BE32-E72D297353CC}">
              <c16:uniqueId val="{0000008D-8F2E-4270-8906-1944D030A90F}"/>
            </c:ext>
          </c:extLst>
        </c:ser>
        <c:ser>
          <c:idx val="118"/>
          <c:order val="118"/>
          <c:spPr>
            <a:ln w="3175">
              <a:solidFill>
                <a:srgbClr val="000000"/>
              </a:solidFill>
              <a:prstDash val="solid"/>
            </a:ln>
          </c:spPr>
          <c:marker>
            <c:symbol val="none"/>
          </c:marker>
          <c:xVal>
            <c:numLit>
              <c:formatCode>General</c:formatCode>
              <c:ptCount val="2"/>
              <c:pt idx="0">
                <c:v>-6.436353647558132</c:v>
              </c:pt>
              <c:pt idx="1">
                <c:v>-6.7354612257200923</c:v>
              </c:pt>
            </c:numLit>
          </c:xVal>
          <c:yVal>
            <c:numLit>
              <c:formatCode>General</c:formatCode>
              <c:ptCount val="2"/>
              <c:pt idx="0">
                <c:v>2.172811889106761E-2</c:v>
              </c:pt>
              <c:pt idx="1">
                <c:v>2.1745221438733343E-2</c:v>
              </c:pt>
            </c:numLit>
          </c:yVal>
          <c:smooth val="0"/>
          <c:extLst>
            <c:ext xmlns:c16="http://schemas.microsoft.com/office/drawing/2014/chart" uri="{C3380CC4-5D6E-409C-BE32-E72D297353CC}">
              <c16:uniqueId val="{0000008E-8F2E-4270-8906-1944D030A90F}"/>
            </c:ext>
          </c:extLst>
        </c:ser>
        <c:ser>
          <c:idx val="119"/>
          <c:order val="119"/>
          <c:spPr>
            <a:ln w="3175">
              <a:solidFill>
                <a:srgbClr val="000000"/>
              </a:solidFill>
              <a:prstDash val="solid"/>
            </a:ln>
          </c:spPr>
          <c:marker>
            <c:symbol val="none"/>
          </c:marker>
          <c:xVal>
            <c:numLit>
              <c:formatCode>General</c:formatCode>
              <c:ptCount val="2"/>
              <c:pt idx="0">
                <c:v>-6.4527022004217862</c:v>
              </c:pt>
              <c:pt idx="1">
                <c:v>-7.0516180090112908</c:v>
              </c:pt>
            </c:numLit>
          </c:xVal>
          <c:yVal>
            <c:numLit>
              <c:formatCode>General</c:formatCode>
              <c:ptCount val="2"/>
              <c:pt idx="0">
                <c:v>2.1552224945278583E-2</c:v>
              </c:pt>
              <c:pt idx="1">
                <c:v>2.1578891728647666E-2</c:v>
              </c:pt>
            </c:numLit>
          </c:yVal>
          <c:smooth val="0"/>
          <c:extLst>
            <c:ext xmlns:c16="http://schemas.microsoft.com/office/drawing/2014/chart" uri="{C3380CC4-5D6E-409C-BE32-E72D297353CC}">
              <c16:uniqueId val="{0000008F-8F2E-4270-8906-1944D030A90F}"/>
            </c:ext>
          </c:extLst>
        </c:ser>
        <c:ser>
          <c:idx val="120"/>
          <c:order val="120"/>
          <c:spPr>
            <a:ln w="3175">
              <a:solidFill>
                <a:srgbClr val="000000"/>
              </a:solidFill>
              <a:prstDash val="solid"/>
            </a:ln>
          </c:spPr>
          <c:marker>
            <c:symbol val="none"/>
          </c:marker>
          <c:dLbls>
            <c:dLbl>
              <c:idx val="0"/>
              <c:tx>
                <c:rich>
                  <a:bodyPr rot="1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-20000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0-8F2E-4270-8906-1944D030A9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-8.1496303247587161</c:v>
              </c:pt>
            </c:numLit>
          </c:xVal>
          <c:yVal>
            <c:numLit>
              <c:formatCode>General</c:formatCode>
              <c:ptCount val="1"/>
              <c:pt idx="0">
                <c:v>2.1627780831490983E-2</c:v>
              </c:pt>
            </c:numLit>
          </c:yVal>
          <c:smooth val="0"/>
          <c:extLst>
            <c:ext xmlns:c16="http://schemas.microsoft.com/office/drawing/2014/chart" uri="{C3380CC4-5D6E-409C-BE32-E72D297353CC}">
              <c16:uniqueId val="{00000091-8F2E-4270-8906-1944D030A90F}"/>
            </c:ext>
          </c:extLst>
        </c:ser>
        <c:ser>
          <c:idx val="121"/>
          <c:order val="121"/>
          <c:spPr>
            <a:ln w="3175">
              <a:solidFill>
                <a:srgbClr val="000000"/>
              </a:solidFill>
              <a:prstDash val="solid"/>
            </a:ln>
          </c:spPr>
          <c:marker>
            <c:symbol val="none"/>
          </c:marker>
          <c:xVal>
            <c:numLit>
              <c:formatCode>General</c:formatCode>
              <c:ptCount val="2"/>
              <c:pt idx="0">
                <c:v>-6.4658267837767367</c:v>
              </c:pt>
              <c:pt idx="1">
                <c:v>-6.7655659291433814</c:v>
              </c:pt>
            </c:numLit>
          </c:xVal>
          <c:yVal>
            <c:numLit>
              <c:formatCode>General</c:formatCode>
              <c:ptCount val="2"/>
              <c:pt idx="0">
                <c:v>2.1361728347072451E-2</c:v>
              </c:pt>
              <c:pt idx="1">
                <c:v>2.1370979668795431E-2</c:v>
              </c:pt>
            </c:numLit>
          </c:yVal>
          <c:smooth val="0"/>
          <c:extLst>
            <c:ext xmlns:c16="http://schemas.microsoft.com/office/drawing/2014/chart" uri="{C3380CC4-5D6E-409C-BE32-E72D297353CC}">
              <c16:uniqueId val="{00000092-8F2E-4270-8906-1944D030A90F}"/>
            </c:ext>
          </c:extLst>
        </c:ser>
        <c:ser>
          <c:idx val="122"/>
          <c:order val="122"/>
          <c:spPr>
            <a:ln w="3175">
              <a:solidFill>
                <a:srgbClr val="000000"/>
              </a:solidFill>
              <a:prstDash val="solid"/>
            </a:ln>
          </c:spPr>
          <c:marker>
            <c:symbol val="none"/>
          </c:marker>
          <c:xVal>
            <c:numLit>
              <c:formatCode>General</c:formatCode>
              <c:ptCount val="2"/>
              <c:pt idx="0">
                <c:v>-6.4708678812703511</c:v>
              </c:pt>
              <c:pt idx="1">
                <c:v>-7.07056221903908</c:v>
              </c:pt>
            </c:numLit>
          </c:xVal>
          <c:yVal>
            <c:numLit>
              <c:formatCode>General</c:formatCode>
              <c:ptCount val="2"/>
              <c:pt idx="0">
                <c:v>2.1260488451156453E-2</c:v>
              </c:pt>
              <c:pt idx="1">
                <c:v>2.1274652241920301E-2</c:v>
              </c:pt>
            </c:numLit>
          </c:yVal>
          <c:smooth val="0"/>
          <c:extLst>
            <c:ext xmlns:c16="http://schemas.microsoft.com/office/drawing/2014/chart" uri="{C3380CC4-5D6E-409C-BE32-E72D297353CC}">
              <c16:uniqueId val="{00000093-8F2E-4270-8906-1944D030A90F}"/>
            </c:ext>
          </c:extLst>
        </c:ser>
        <c:ser>
          <c:idx val="123"/>
          <c:order val="123"/>
          <c:spPr>
            <a:ln w="3175">
              <a:solidFill>
                <a:srgbClr val="000000"/>
              </a:solidFill>
              <a:prstDash val="solid"/>
            </a:ln>
          </c:spPr>
          <c:marker>
            <c:symbol val="none"/>
          </c:marker>
          <c:dLbls>
            <c:dLbl>
              <c:idx val="0"/>
              <c:tx>
                <c:rich>
                  <a:bodyPr rot="120000" vert="horz" wrap="square" lIns="38100" tIns="19050" rIns="38100" bIns="19050" anchor="ctr">
                    <a:spAutoFit/>
                  </a:bodyPr>
                  <a:lstStyle/>
                  <a:p>
                    <a:pPr algn="ctr">
                      <a:defRPr altLang="ja-JP" sz="500" u="none" strike="noStrike" baseline="0">
                        <a:latin typeface="ＭＳ Ｐ明朝"/>
                        <a:ea typeface="ＭＳ Ｐ明朝"/>
                        <a:cs typeface="ＭＳ Ｐ明朝"/>
                      </a:defRPr>
                    </a:pPr>
                    <a:r>
                      <a:rPr lang="en-US"/>
                      <a:t>-40000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4-8F2E-4270-8906-1944D030A9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-8.1700018382817508</c:v>
              </c:pt>
            </c:numLit>
          </c:xVal>
          <c:yVal>
            <c:numLit>
              <c:formatCode>General</c:formatCode>
              <c:ptCount val="1"/>
              <c:pt idx="0">
                <c:v>2.1300619191654022E-2</c:v>
              </c:pt>
            </c:numLit>
          </c:yVal>
          <c:smooth val="0"/>
          <c:extLst>
            <c:ext xmlns:c16="http://schemas.microsoft.com/office/drawing/2014/chart" uri="{C3380CC4-5D6E-409C-BE32-E72D297353CC}">
              <c16:uniqueId val="{00000095-8F2E-4270-8906-1944D030A90F}"/>
            </c:ext>
          </c:extLst>
        </c:ser>
        <c:ser>
          <c:idx val="124"/>
          <c:order val="124"/>
          <c:spPr>
            <a:ln w="3175">
              <a:solidFill>
                <a:srgbClr val="000000"/>
              </a:solidFill>
              <a:prstDash val="solid"/>
            </a:ln>
          </c:spPr>
          <c:marker>
            <c:symbol val="none"/>
          </c:marker>
          <c:xVal>
            <c:numLit>
              <c:formatCode>General</c:formatCode>
              <c:ptCount val="2"/>
              <c:pt idx="0">
                <c:v>-6.4780000000000006</c:v>
              </c:pt>
              <c:pt idx="1">
                <c:v>-7.0780000000000003</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96-8F2E-4270-8906-1944D030A90F}"/>
            </c:ext>
          </c:extLst>
        </c:ser>
        <c:ser>
          <c:idx val="125"/>
          <c:order val="125"/>
          <c:spPr>
            <a:ln w="3175">
              <a:solidFill>
                <a:srgbClr val="000000"/>
              </a:solidFill>
              <a:prstDash val="solid"/>
            </a:ln>
          </c:spPr>
          <c:marker>
            <c:symbol val="none"/>
          </c:marker>
          <c:dLbls>
            <c:dLbl>
              <c:idx val="0"/>
              <c:tx>
                <c:rich>
                  <a:bodyPr rot="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7-8F2E-4270-8906-1944D030A9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-8.1780000000000008</c:v>
              </c:pt>
            </c:numLit>
          </c:xVal>
          <c:yVal>
            <c:numLit>
              <c:formatCode>General</c:formatCode>
              <c:ptCount val="1"/>
              <c:pt idx="0">
                <c:v>2.0930000000000001E-2</c:v>
              </c:pt>
            </c:numLit>
          </c:yVal>
          <c:smooth val="0"/>
          <c:extLst>
            <c:ext xmlns:c16="http://schemas.microsoft.com/office/drawing/2014/chart" uri="{C3380CC4-5D6E-409C-BE32-E72D297353CC}">
              <c16:uniqueId val="{00000098-8F2E-4270-8906-1944D030A90F}"/>
            </c:ext>
          </c:extLst>
        </c:ser>
        <c:ser>
          <c:idx val="126"/>
          <c:order val="126"/>
          <c:spPr>
            <a:ln w="3175">
              <a:solidFill>
                <a:srgbClr val="000000"/>
              </a:solidFill>
              <a:prstDash val="solid"/>
            </a:ln>
          </c:spPr>
          <c:marker>
            <c:symbol val="none"/>
          </c:marker>
          <c:xVal>
            <c:numLit>
              <c:formatCode>General</c:formatCode>
              <c:ptCount val="2"/>
              <c:pt idx="0">
                <c:v>-6.4687544134534143</c:v>
              </c:pt>
              <c:pt idx="1">
                <c:v>-7.0683581740299886</c:v>
              </c:pt>
            </c:numLit>
          </c:xVal>
          <c:yVal>
            <c:numLit>
              <c:formatCode>General</c:formatCode>
              <c:ptCount val="2"/>
              <c:pt idx="0">
                <c:v>2.0553731515266696E-2</c:v>
              </c:pt>
              <c:pt idx="1">
                <c:v>2.0537605723063838E-2</c:v>
              </c:pt>
            </c:numLit>
          </c:yVal>
          <c:smooth val="0"/>
          <c:extLst>
            <c:ext xmlns:c16="http://schemas.microsoft.com/office/drawing/2014/chart" uri="{C3380CC4-5D6E-409C-BE32-E72D297353CC}">
              <c16:uniqueId val="{00000099-8F2E-4270-8906-1944D030A90F}"/>
            </c:ext>
          </c:extLst>
        </c:ser>
        <c:ser>
          <c:idx val="127"/>
          <c:order val="127"/>
          <c:spPr>
            <a:ln w="3175">
              <a:solidFill>
                <a:srgbClr val="000000"/>
              </a:solidFill>
              <a:prstDash val="solid"/>
            </a:ln>
          </c:spPr>
          <c:marker>
            <c:symbol val="none"/>
          </c:marker>
          <c:dLbls>
            <c:dLbl>
              <c:idx val="0"/>
              <c:tx>
                <c:rich>
                  <a:bodyPr rot="-120000" vert="horz" wrap="square" lIns="38100" tIns="19050" rIns="38100" bIns="19050" anchor="ctr">
                    <a:spAutoFit/>
                  </a:bodyPr>
                  <a:lstStyle/>
                  <a:p>
                    <a:pPr algn="ctr">
                      <a:defRPr altLang="ja-JP" sz="500" u="none" strike="noStrike" baseline="0">
                        <a:latin typeface="ＭＳ Ｐ明朝"/>
                        <a:ea typeface="ＭＳ Ｐ明朝"/>
                        <a:cs typeface="ＭＳ Ｐ明朝"/>
                      </a:defRPr>
                    </a:pPr>
                    <a:r>
                      <a:rPr lang="en-US"/>
                      <a:t>40000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A-8F2E-4270-8906-1944D030A9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-8.167631735087042</c:v>
              </c:pt>
            </c:numLit>
          </c:xVal>
          <c:yVal>
            <c:numLit>
              <c:formatCode>General</c:formatCode>
              <c:ptCount val="1"/>
              <c:pt idx="0">
                <c:v>2.0508041770691935E-2</c:v>
              </c:pt>
            </c:numLit>
          </c:yVal>
          <c:smooth val="0"/>
          <c:extLst>
            <c:ext xmlns:c16="http://schemas.microsoft.com/office/drawing/2014/chart" uri="{C3380CC4-5D6E-409C-BE32-E72D297353CC}">
              <c16:uniqueId val="{0000009B-8F2E-4270-8906-1944D030A90F}"/>
            </c:ext>
          </c:extLst>
        </c:ser>
        <c:ser>
          <c:idx val="128"/>
          <c:order val="128"/>
          <c:spPr>
            <a:ln w="3175">
              <a:solidFill>
                <a:srgbClr val="000000"/>
              </a:solidFill>
              <a:prstDash val="solid"/>
            </a:ln>
          </c:spPr>
          <c:marker>
            <c:symbol val="none"/>
          </c:marker>
          <c:xVal>
            <c:numLit>
              <c:formatCode>General</c:formatCode>
              <c:ptCount val="2"/>
              <c:pt idx="0">
                <c:v>-6.4607910353144655</c:v>
              </c:pt>
              <c:pt idx="1">
                <c:v>-6.7604222717854903</c:v>
              </c:pt>
            </c:numLit>
          </c:xVal>
          <c:yVal>
            <c:numLit>
              <c:formatCode>General</c:formatCode>
              <c:ptCount val="2"/>
              <c:pt idx="0">
                <c:v>2.0416729629222568E-2</c:v>
              </c:pt>
              <c:pt idx="1">
                <c:v>2.0405730978420196E-2</c:v>
              </c:pt>
            </c:numLit>
          </c:yVal>
          <c:smooth val="0"/>
          <c:extLst>
            <c:ext xmlns:c16="http://schemas.microsoft.com/office/drawing/2014/chart" uri="{C3380CC4-5D6E-409C-BE32-E72D297353CC}">
              <c16:uniqueId val="{0000009C-8F2E-4270-8906-1944D030A90F}"/>
            </c:ext>
          </c:extLst>
        </c:ser>
        <c:ser>
          <c:idx val="129"/>
          <c:order val="129"/>
          <c:spPr>
            <a:ln w="3175">
              <a:solidFill>
                <a:srgbClr val="000000"/>
              </a:solidFill>
              <a:prstDash val="solid"/>
            </a:ln>
          </c:spPr>
          <c:marker>
            <c:symbol val="none"/>
          </c:marker>
          <c:xVal>
            <c:numLit>
              <c:formatCode>General</c:formatCode>
              <c:ptCount val="2"/>
              <c:pt idx="0">
                <c:v>-6.4354532742589932</c:v>
              </c:pt>
              <c:pt idx="1">
                <c:v>-7.0336298431558069</c:v>
              </c:pt>
            </c:numLit>
          </c:xVal>
          <c:yVal>
            <c:numLit>
              <c:formatCode>General</c:formatCode>
              <c:ptCount val="2"/>
              <c:pt idx="0">
                <c:v>2.0123312766063169E-2</c:v>
              </c:pt>
              <c:pt idx="1">
                <c:v>2.0088740456037306E-2</c:v>
              </c:pt>
            </c:numLit>
          </c:yVal>
          <c:smooth val="0"/>
          <c:extLst>
            <c:ext xmlns:c16="http://schemas.microsoft.com/office/drawing/2014/chart" uri="{C3380CC4-5D6E-409C-BE32-E72D297353CC}">
              <c16:uniqueId val="{0000009D-8F2E-4270-8906-1944D030A90F}"/>
            </c:ext>
          </c:extLst>
        </c:ser>
        <c:ser>
          <c:idx val="130"/>
          <c:order val="130"/>
          <c:spPr>
            <a:ln w="3175">
              <a:solidFill>
                <a:srgbClr val="000000"/>
              </a:solidFill>
              <a:prstDash val="solid"/>
            </a:ln>
          </c:spPr>
          <c:marker>
            <c:symbol val="none"/>
          </c:marker>
          <c:dLbls>
            <c:dLbl>
              <c:idx val="0"/>
              <c:tx>
                <c:rich>
                  <a:bodyPr rot="-240000" vert="horz" wrap="square" lIns="38100" tIns="19050" rIns="38100" bIns="19050" anchor="ctr">
                    <a:spAutoFit/>
                  </a:bodyPr>
                  <a:lstStyle/>
                  <a:p>
                    <a:pPr algn="ctr">
                      <a:defRPr altLang="ja-JP" sz="500" u="none" strike="noStrike" baseline="0">
                        <a:latin typeface="ＭＳ Ｐ明朝"/>
                        <a:ea typeface="ＭＳ Ｐ明朝"/>
                        <a:cs typeface="ＭＳ Ｐ明朝"/>
                      </a:defRPr>
                    </a:pPr>
                    <a:r>
                      <a:rPr lang="en-US"/>
                      <a:t>20000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E-8F2E-4270-8906-1944D030A9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-8.1302868861332982</c:v>
              </c:pt>
            </c:numLit>
          </c:xVal>
          <c:yVal>
            <c:numLit>
              <c:formatCode>General</c:formatCode>
              <c:ptCount val="1"/>
              <c:pt idx="0">
                <c:v>2.0025357887656553E-2</c:v>
              </c:pt>
            </c:numLit>
          </c:yVal>
          <c:smooth val="0"/>
          <c:extLst>
            <c:ext xmlns:c16="http://schemas.microsoft.com/office/drawing/2014/chart" uri="{C3380CC4-5D6E-409C-BE32-E72D297353CC}">
              <c16:uniqueId val="{0000009F-8F2E-4270-8906-1944D030A90F}"/>
            </c:ext>
          </c:extLst>
        </c:ser>
        <c:ser>
          <c:idx val="131"/>
          <c:order val="131"/>
          <c:spPr>
            <a:ln w="3175">
              <a:solidFill>
                <a:srgbClr val="000000"/>
              </a:solidFill>
              <a:prstDash val="solid"/>
            </a:ln>
          </c:spPr>
          <c:marker>
            <c:symbol val="none"/>
          </c:marker>
          <c:xVal>
            <c:numLit>
              <c:formatCode>General</c:formatCode>
              <c:ptCount val="2"/>
              <c:pt idx="0">
                <c:v>-6.3946145573537017</c:v>
              </c:pt>
              <c:pt idx="1">
                <c:v>-6.9910408955260026</c:v>
              </c:pt>
            </c:numLit>
          </c:xVal>
          <c:yVal>
            <c:numLit>
              <c:formatCode>General</c:formatCode>
              <c:ptCount val="2"/>
              <c:pt idx="0">
                <c:v>1.9801504574826875E-2</c:v>
              </c:pt>
              <c:pt idx="1">
                <c:v>1.9753140485176599E-2</c:v>
              </c:pt>
            </c:numLit>
          </c:yVal>
          <c:smooth val="0"/>
          <c:extLst>
            <c:ext xmlns:c16="http://schemas.microsoft.com/office/drawing/2014/chart" uri="{C3380CC4-5D6E-409C-BE32-E72D297353CC}">
              <c16:uniqueId val="{000000A0-8F2E-4270-8906-1944D030A90F}"/>
            </c:ext>
          </c:extLst>
        </c:ser>
        <c:ser>
          <c:idx val="132"/>
          <c:order val="132"/>
          <c:spPr>
            <a:ln w="3175">
              <a:solidFill>
                <a:srgbClr val="000000"/>
              </a:solidFill>
              <a:prstDash val="solid"/>
            </a:ln>
          </c:spPr>
          <c:marker>
            <c:symbol val="none"/>
          </c:marker>
          <c:dLbls>
            <c:dLbl>
              <c:idx val="0"/>
              <c:tx>
                <c:rich>
                  <a:bodyPr rot="-360000" vert="horz" wrap="square" lIns="38100" tIns="19050" rIns="38100" bIns="19050" anchor="ctr">
                    <a:spAutoFit/>
                  </a:bodyPr>
                  <a:lstStyle/>
                  <a:p>
                    <a:pPr algn="ctr">
                      <a:defRPr altLang="ja-JP" sz="500" u="none" strike="noStrike" baseline="0">
                        <a:latin typeface="ＭＳ Ｐ明朝"/>
                        <a:ea typeface="ＭＳ Ｐ明朝"/>
                        <a:cs typeface="ＭＳ Ｐ明朝"/>
                      </a:defRPr>
                    </a:pPr>
                    <a:r>
                      <a:rPr lang="en-US"/>
                      <a:t>15000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1-8F2E-4270-8906-1944D030A9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-8.0844891821752221</c:v>
              </c:pt>
            </c:numLit>
          </c:xVal>
          <c:yVal>
            <c:numLit>
              <c:formatCode>General</c:formatCode>
              <c:ptCount val="1"/>
              <c:pt idx="0">
                <c:v>1.9664472987484423E-2</c:v>
              </c:pt>
            </c:numLit>
          </c:yVal>
          <c:smooth val="0"/>
          <c:extLst>
            <c:ext xmlns:c16="http://schemas.microsoft.com/office/drawing/2014/chart" uri="{C3380CC4-5D6E-409C-BE32-E72D297353CC}">
              <c16:uniqueId val="{000000A2-8F2E-4270-8906-1944D030A90F}"/>
            </c:ext>
          </c:extLst>
        </c:ser>
        <c:ser>
          <c:idx val="133"/>
          <c:order val="133"/>
          <c:spPr>
            <a:ln w="3175">
              <a:solidFill>
                <a:srgbClr val="000000"/>
              </a:solidFill>
              <a:prstDash val="solid"/>
            </a:ln>
          </c:spPr>
          <c:marker>
            <c:symbol val="none"/>
          </c:marker>
          <c:xVal>
            <c:numLit>
              <c:formatCode>General</c:formatCode>
              <c:ptCount val="2"/>
              <c:pt idx="0">
                <c:v>-6.3795129803289274</c:v>
              </c:pt>
              <c:pt idx="1">
                <c:v>-6.6774025441931197</c:v>
              </c:pt>
            </c:numLit>
          </c:xVal>
          <c:yVal>
            <c:numLit>
              <c:formatCode>General</c:formatCode>
              <c:ptCount val="2"/>
              <c:pt idx="0">
                <c:v>1.9703897767998347E-2</c:v>
              </c:pt>
              <c:pt idx="1">
                <c:v>1.967762414874117E-2</c:v>
              </c:pt>
            </c:numLit>
          </c:yVal>
          <c:smooth val="0"/>
          <c:extLst>
            <c:ext xmlns:c16="http://schemas.microsoft.com/office/drawing/2014/chart" uri="{C3380CC4-5D6E-409C-BE32-E72D297353CC}">
              <c16:uniqueId val="{000000A3-8F2E-4270-8906-1944D030A90F}"/>
            </c:ext>
          </c:extLst>
        </c:ser>
        <c:ser>
          <c:idx val="134"/>
          <c:order val="134"/>
          <c:spPr>
            <a:ln w="3175">
              <a:solidFill>
                <a:srgbClr val="000000"/>
              </a:solidFill>
              <a:prstDash val="solid"/>
            </a:ln>
          </c:spPr>
          <c:marker>
            <c:symbol val="none"/>
          </c:marker>
          <c:xVal>
            <c:numLit>
              <c:formatCode>General</c:formatCode>
              <c:ptCount val="2"/>
              <c:pt idx="0">
                <c:v>-6.3599248979775851</c:v>
              </c:pt>
              <c:pt idx="1">
                <c:v>-6.6573947172199626</c:v>
              </c:pt>
            </c:numLit>
          </c:xVal>
          <c:yVal>
            <c:numLit>
              <c:formatCode>General</c:formatCode>
              <c:ptCount val="2"/>
              <c:pt idx="0">
                <c:v>1.9587964977189561E-2</c:v>
              </c:pt>
              <c:pt idx="1">
                <c:v>1.9559207083843622E-2</c:v>
              </c:pt>
            </c:numLit>
          </c:yVal>
          <c:smooth val="0"/>
          <c:extLst>
            <c:ext xmlns:c16="http://schemas.microsoft.com/office/drawing/2014/chart" uri="{C3380CC4-5D6E-409C-BE32-E72D297353CC}">
              <c16:uniqueId val="{000000A4-8F2E-4270-8906-1944D030A90F}"/>
            </c:ext>
          </c:extLst>
        </c:ser>
        <c:ser>
          <c:idx val="135"/>
          <c:order val="135"/>
          <c:spPr>
            <a:ln w="3175">
              <a:solidFill>
                <a:srgbClr val="000000"/>
              </a:solidFill>
              <a:prstDash val="solid"/>
            </a:ln>
          </c:spPr>
          <c:marker>
            <c:symbol val="none"/>
          </c:marker>
          <c:xVal>
            <c:numLit>
              <c:formatCode>General</c:formatCode>
              <c:ptCount val="2"/>
              <c:pt idx="0">
                <c:v>-6.3338909498930658</c:v>
              </c:pt>
              <c:pt idx="1">
                <c:v>-6.9277148477456256</c:v>
              </c:pt>
            </c:numLit>
          </c:xVal>
          <c:yVal>
            <c:numLit>
              <c:formatCode>General</c:formatCode>
              <c:ptCount val="2"/>
              <c:pt idx="0">
                <c:v>1.9448070774442654E-2</c:v>
              </c:pt>
              <c:pt idx="1">
                <c:v>1.9384559521918768E-2</c:v>
              </c:pt>
            </c:numLit>
          </c:yVal>
          <c:smooth val="0"/>
          <c:extLst>
            <c:ext xmlns:c16="http://schemas.microsoft.com/office/drawing/2014/chart" uri="{C3380CC4-5D6E-409C-BE32-E72D297353CC}">
              <c16:uniqueId val="{000000A5-8F2E-4270-8906-1944D030A90F}"/>
            </c:ext>
          </c:extLst>
        </c:ser>
        <c:ser>
          <c:idx val="136"/>
          <c:order val="136"/>
          <c:spPr>
            <a:ln w="3175">
              <a:solidFill>
                <a:srgbClr val="000000"/>
              </a:solidFill>
              <a:prstDash val="solid"/>
            </a:ln>
          </c:spPr>
          <c:marker>
            <c:symbol val="none"/>
          </c:marker>
          <c:xVal>
            <c:numLit>
              <c:formatCode>General</c:formatCode>
              <c:ptCount val="2"/>
              <c:pt idx="0">
                <c:v>-6.2982611859413211</c:v>
              </c:pt>
              <c:pt idx="1">
                <c:v>-6.5944096399257788</c:v>
              </c:pt>
            </c:numLit>
          </c:xVal>
          <c:yVal>
            <c:numLit>
              <c:formatCode>General</c:formatCode>
              <c:ptCount val="2"/>
              <c:pt idx="0">
                <c:v>1.9276040595639192E-2</c:v>
              </c:pt>
              <c:pt idx="1">
                <c:v>1.9240598608402888E-2</c:v>
              </c:pt>
            </c:numLit>
          </c:yVal>
          <c:smooth val="0"/>
          <c:extLst>
            <c:ext xmlns:c16="http://schemas.microsoft.com/office/drawing/2014/chart" uri="{C3380CC4-5D6E-409C-BE32-E72D297353CC}">
              <c16:uniqueId val="{000000A6-8F2E-4270-8906-1944D030A90F}"/>
            </c:ext>
          </c:extLst>
        </c:ser>
        <c:ser>
          <c:idx val="137"/>
          <c:order val="137"/>
          <c:spPr>
            <a:ln w="3175">
              <a:solidFill>
                <a:srgbClr val="000000"/>
              </a:solidFill>
              <a:prstDash val="solid"/>
            </a:ln>
          </c:spPr>
          <c:marker>
            <c:symbol val="none"/>
          </c:marker>
          <c:xVal>
            <c:numLit>
              <c:formatCode>General</c:formatCode>
              <c:ptCount val="2"/>
              <c:pt idx="0">
                <c:v>-6.2477177107241779</c:v>
              </c:pt>
              <c:pt idx="1">
                <c:v>-6.8378484697552135</c:v>
              </c:pt>
            </c:numLit>
          </c:xVal>
          <c:yVal>
            <c:numLit>
              <c:formatCode>General</c:formatCode>
              <c:ptCount val="2"/>
              <c:pt idx="0">
                <c:v>1.9059579257765528E-2</c:v>
              </c:pt>
              <c:pt idx="1">
                <c:v>1.8979418368812621E-2</c:v>
              </c:pt>
            </c:numLit>
          </c:yVal>
          <c:smooth val="0"/>
          <c:extLst>
            <c:ext xmlns:c16="http://schemas.microsoft.com/office/drawing/2014/chart" uri="{C3380CC4-5D6E-409C-BE32-E72D297353CC}">
              <c16:uniqueId val="{000000A7-8F2E-4270-8906-1944D030A90F}"/>
            </c:ext>
          </c:extLst>
        </c:ser>
        <c:ser>
          <c:idx val="138"/>
          <c:order val="138"/>
          <c:spPr>
            <a:ln w="3175">
              <a:solidFill>
                <a:srgbClr val="000000"/>
              </a:solidFill>
              <a:prstDash val="solid"/>
            </a:ln>
          </c:spPr>
          <c:marker>
            <c:symbol val="none"/>
          </c:marker>
          <c:dLbls>
            <c:dLbl>
              <c:idx val="0"/>
              <c:tx>
                <c:rich>
                  <a:bodyPr rot="-6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10000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8-8F2E-4270-8906-1944D030A9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-7.9197548613121134</c:v>
              </c:pt>
            </c:numLit>
          </c:xVal>
          <c:yVal>
            <c:numLit>
              <c:formatCode>General</c:formatCode>
              <c:ptCount val="1"/>
              <c:pt idx="0">
                <c:v>1.8832456739065626E-2</c:v>
              </c:pt>
            </c:numLit>
          </c:yVal>
          <c:smooth val="0"/>
          <c:extLst>
            <c:ext xmlns:c16="http://schemas.microsoft.com/office/drawing/2014/chart" uri="{C3380CC4-5D6E-409C-BE32-E72D297353CC}">
              <c16:uniqueId val="{000000A9-8F2E-4270-8906-1944D030A90F}"/>
            </c:ext>
          </c:extLst>
        </c:ser>
        <c:ser>
          <c:idx val="139"/>
          <c:order val="139"/>
          <c:spPr>
            <a:ln w="3175">
              <a:solidFill>
                <a:srgbClr val="000000"/>
              </a:solidFill>
              <a:prstDash val="solid"/>
            </a:ln>
          </c:spPr>
          <c:marker>
            <c:symbol val="none"/>
          </c:marker>
          <c:xVal>
            <c:numLit>
              <c:formatCode>General</c:formatCode>
              <c:ptCount val="2"/>
              <c:pt idx="0">
                <c:v>-6.2141364364601657</c:v>
              </c:pt>
              <c:pt idx="1">
                <c:v>-6.5084822172414558</c:v>
              </c:pt>
            </c:numLit>
          </c:xVal>
          <c:yVal>
            <c:numLit>
              <c:formatCode>General</c:formatCode>
              <c:ptCount val="2"/>
              <c:pt idx="0">
                <c:v>1.8929051078036645E-2</c:v>
              </c:pt>
              <c:pt idx="1">
                <c:v>1.8886173601137431E-2</c:v>
              </c:pt>
            </c:numLit>
          </c:yVal>
          <c:smooth val="0"/>
          <c:extLst>
            <c:ext xmlns:c16="http://schemas.microsoft.com/office/drawing/2014/chart" uri="{C3380CC4-5D6E-409C-BE32-E72D297353CC}">
              <c16:uniqueId val="{000000AA-8F2E-4270-8906-1944D030A90F}"/>
            </c:ext>
          </c:extLst>
        </c:ser>
        <c:ser>
          <c:idx val="140"/>
          <c:order val="140"/>
          <c:spPr>
            <a:ln w="3175">
              <a:solidFill>
                <a:srgbClr val="000000"/>
              </a:solidFill>
              <a:prstDash val="solid"/>
            </a:ln>
          </c:spPr>
          <c:marker>
            <c:symbol val="none"/>
          </c:marker>
          <c:xVal>
            <c:numLit>
              <c:formatCode>General</c:formatCode>
              <c:ptCount val="2"/>
              <c:pt idx="0">
                <c:v>-6.1727292094729158</c:v>
              </c:pt>
              <c:pt idx="1">
                <c:v>-6.7596461755931836</c:v>
              </c:pt>
            </c:numLit>
          </c:xVal>
          <c:yVal>
            <c:numLit>
              <c:formatCode>General</c:formatCode>
              <c:ptCount val="2"/>
              <c:pt idx="0">
                <c:v>1.8779375962421206E-2</c:v>
              </c:pt>
              <c:pt idx="1">
                <c:v>1.8687206360810688E-2</c:v>
              </c:pt>
            </c:numLit>
          </c:yVal>
          <c:smooth val="0"/>
          <c:extLst>
            <c:ext xmlns:c16="http://schemas.microsoft.com/office/drawing/2014/chart" uri="{C3380CC4-5D6E-409C-BE32-E72D297353CC}">
              <c16:uniqueId val="{000000AB-8F2E-4270-8906-1944D030A90F}"/>
            </c:ext>
          </c:extLst>
        </c:ser>
        <c:ser>
          <c:idx val="141"/>
          <c:order val="141"/>
          <c:spPr>
            <a:ln w="3175">
              <a:solidFill>
                <a:srgbClr val="000000"/>
              </a:solidFill>
              <a:prstDash val="solid"/>
            </a:ln>
          </c:spPr>
          <c:marker>
            <c:symbol val="none"/>
          </c:marker>
          <c:xVal>
            <c:numLit>
              <c:formatCode>General</c:formatCode>
              <c:ptCount val="2"/>
              <c:pt idx="0">
                <c:v>-6.1208981028564446</c:v>
              </c:pt>
              <c:pt idx="1">
                <c:v>-6.4132459193462266</c:v>
              </c:pt>
            </c:numLit>
          </c:xVal>
          <c:yVal>
            <c:numLit>
              <c:formatCode>General</c:formatCode>
              <c:ptCount val="2"/>
              <c:pt idx="0">
                <c:v>1.8606133509740334E-2</c:v>
              </c:pt>
              <c:pt idx="1">
                <c:v>1.8556336370663343E-2</c:v>
              </c:pt>
            </c:numLit>
          </c:yVal>
          <c:smooth val="0"/>
          <c:extLst>
            <c:ext xmlns:c16="http://schemas.microsoft.com/office/drawing/2014/chart" uri="{C3380CC4-5D6E-409C-BE32-E72D297353CC}">
              <c16:uniqueId val="{000000AC-8F2E-4270-8906-1944D030A90F}"/>
            </c:ext>
          </c:extLst>
        </c:ser>
        <c:ser>
          <c:idx val="142"/>
          <c:order val="142"/>
          <c:spPr>
            <a:ln w="3175">
              <a:solidFill>
                <a:srgbClr val="000000"/>
              </a:solidFill>
              <a:prstDash val="solid"/>
            </a:ln>
          </c:spPr>
          <c:marker>
            <c:symbol val="none"/>
          </c:marker>
          <c:xVal>
            <c:numLit>
              <c:formatCode>General</c:formatCode>
              <c:ptCount val="2"/>
              <c:pt idx="0">
                <c:v>-6.0548906661909623</c:v>
              </c:pt>
              <c:pt idx="1">
                <c:v>-6.6367574090277168</c:v>
              </c:pt>
            </c:numLit>
          </c:xVal>
          <c:yVal>
            <c:numLit>
              <c:formatCode>General</c:formatCode>
              <c:ptCount val="2"/>
              <c:pt idx="0">
                <c:v>1.8403482795007753E-2</c:v>
              </c:pt>
              <c:pt idx="1">
                <c:v>1.8295203486222371E-2</c:v>
              </c:pt>
            </c:numLit>
          </c:yVal>
          <c:smooth val="0"/>
          <c:extLst>
            <c:ext xmlns:c16="http://schemas.microsoft.com/office/drawing/2014/chart" uri="{C3380CC4-5D6E-409C-BE32-E72D297353CC}">
              <c16:uniqueId val="{000000AD-8F2E-4270-8906-1944D030A90F}"/>
            </c:ext>
          </c:extLst>
        </c:ser>
        <c:ser>
          <c:idx val="143"/>
          <c:order val="143"/>
          <c:spPr>
            <a:ln w="3175">
              <a:solidFill>
                <a:srgbClr val="000000"/>
              </a:solidFill>
              <a:prstDash val="solid"/>
            </a:ln>
          </c:spPr>
          <c:marker>
            <c:symbol val="none"/>
          </c:marker>
          <c:xVal>
            <c:numLit>
              <c:formatCode>General</c:formatCode>
              <c:ptCount val="2"/>
              <c:pt idx="0">
                <c:v>-5.969139454636716</c:v>
              </c:pt>
              <c:pt idx="1">
                <c:v>-6.2582353000932178</c:v>
              </c:pt>
            </c:numLit>
          </c:xVal>
          <c:yVal>
            <c:numLit>
              <c:formatCode>General</c:formatCode>
              <c:ptCount val="2"/>
              <c:pt idx="0">
                <c:v>1.8163573931641964E-2</c:v>
              </c:pt>
              <c:pt idx="1">
                <c:v>1.8104293373034291E-2</c:v>
              </c:pt>
            </c:numLit>
          </c:yVal>
          <c:smooth val="0"/>
          <c:extLst>
            <c:ext xmlns:c16="http://schemas.microsoft.com/office/drawing/2014/chart" uri="{C3380CC4-5D6E-409C-BE32-E72D297353CC}">
              <c16:uniqueId val="{000000AE-8F2E-4270-8906-1944D030A90F}"/>
            </c:ext>
          </c:extLst>
        </c:ser>
        <c:ser>
          <c:idx val="144"/>
          <c:order val="144"/>
          <c:spPr>
            <a:ln w="3175">
              <a:solidFill>
                <a:srgbClr val="000000"/>
              </a:solidFill>
              <a:prstDash val="solid"/>
            </a:ln>
          </c:spPr>
          <c:marker>
            <c:symbol val="none"/>
          </c:marker>
          <c:xVal>
            <c:numLit>
              <c:formatCode>General</c:formatCode>
              <c:ptCount val="2"/>
              <c:pt idx="0">
                <c:v>-5.8551287645325596</c:v>
              </c:pt>
              <c:pt idx="1">
                <c:v>-6.4284342830125256</c:v>
              </c:pt>
            </c:numLit>
          </c:xVal>
          <c:yVal>
            <c:numLit>
              <c:formatCode>General</c:formatCode>
              <c:ptCount val="2"/>
              <c:pt idx="0">
                <c:v>1.7875666923032288E-2</c:v>
              </c:pt>
              <c:pt idx="1">
                <c:v>1.7744766934019388E-2</c:v>
              </c:pt>
            </c:numLit>
          </c:yVal>
          <c:smooth val="0"/>
          <c:extLst>
            <c:ext xmlns:c16="http://schemas.microsoft.com/office/drawing/2014/chart" uri="{C3380CC4-5D6E-409C-BE32-E72D297353CC}">
              <c16:uniqueId val="{000000AF-8F2E-4270-8906-1944D030A90F}"/>
            </c:ext>
          </c:extLst>
        </c:ser>
        <c:ser>
          <c:idx val="145"/>
          <c:order val="145"/>
          <c:spPr>
            <a:ln w="3175">
              <a:solidFill>
                <a:srgbClr val="000000"/>
              </a:solidFill>
              <a:prstDash val="solid"/>
            </a:ln>
          </c:spPr>
          <c:marker>
            <c:symbol val="none"/>
          </c:marker>
          <c:dLbls>
            <c:dLbl>
              <c:idx val="0"/>
              <c:tx>
                <c:rich>
                  <a:bodyPr rot="-10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7000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0-8F2E-4270-8906-1944D030A9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-7.4794944002257981</c:v>
              </c:pt>
            </c:numLit>
          </c:xVal>
          <c:yVal>
            <c:numLit>
              <c:formatCode>General</c:formatCode>
              <c:ptCount val="1"/>
              <c:pt idx="0">
                <c:v>1.7504783620829068E-2</c:v>
              </c:pt>
            </c:numLit>
          </c:yVal>
          <c:smooth val="0"/>
          <c:extLst>
            <c:ext xmlns:c16="http://schemas.microsoft.com/office/drawing/2014/chart" uri="{C3380CC4-5D6E-409C-BE32-E72D297353CC}">
              <c16:uniqueId val="{000000B1-8F2E-4270-8906-1944D030A90F}"/>
            </c:ext>
          </c:extLst>
        </c:ser>
        <c:ser>
          <c:idx val="146"/>
          <c:order val="146"/>
          <c:spPr>
            <a:ln w="3175">
              <a:solidFill>
                <a:srgbClr val="000000"/>
              </a:solidFill>
              <a:prstDash val="solid"/>
            </a:ln>
          </c:spPr>
          <c:marker>
            <c:symbol val="none"/>
          </c:marker>
          <c:xVal>
            <c:numLit>
              <c:formatCode>General</c:formatCode>
              <c:ptCount val="2"/>
              <c:pt idx="0">
                <c:v>-5.7988285531075912</c:v>
              </c:pt>
              <c:pt idx="1">
                <c:v>-6.0842748792456121</c:v>
              </c:pt>
            </c:numLit>
          </c:xVal>
          <c:yVal>
            <c:numLit>
              <c:formatCode>General</c:formatCode>
              <c:ptCount val="2"/>
              <c:pt idx="0">
                <c:v>1.7743895976123102E-2</c:v>
              </c:pt>
              <c:pt idx="1">
                <c:v>1.7675622318468597E-2</c:v>
              </c:pt>
            </c:numLit>
          </c:yVal>
          <c:smooth val="0"/>
          <c:extLst>
            <c:ext xmlns:c16="http://schemas.microsoft.com/office/drawing/2014/chart" uri="{C3380CC4-5D6E-409C-BE32-E72D297353CC}">
              <c16:uniqueId val="{000000B2-8F2E-4270-8906-1944D030A90F}"/>
            </c:ext>
          </c:extLst>
        </c:ser>
        <c:ser>
          <c:idx val="147"/>
          <c:order val="147"/>
          <c:spPr>
            <a:ln w="3175">
              <a:solidFill>
                <a:srgbClr val="000000"/>
              </a:solidFill>
              <a:prstDash val="solid"/>
            </a:ln>
          </c:spPr>
          <c:marker>
            <c:symbol val="none"/>
          </c:marker>
          <c:xVal>
            <c:numLit>
              <c:formatCode>General</c:formatCode>
              <c:ptCount val="2"/>
              <c:pt idx="0">
                <c:v>-5.7347616757504305</c:v>
              </c:pt>
              <c:pt idx="1">
                <c:v>-6.0188351402307969</c:v>
              </c:pt>
            </c:numLit>
          </c:xVal>
          <c:yVal>
            <c:numLit>
              <c:formatCode>General</c:formatCode>
              <c:ptCount val="2"/>
              <c:pt idx="0">
                <c:v>1.7600918061456586E-2</c:v>
              </c:pt>
              <c:pt idx="1">
                <c:v>1.7529580591344941E-2</c:v>
              </c:pt>
            </c:numLit>
          </c:yVal>
          <c:smooth val="0"/>
          <c:extLst>
            <c:ext xmlns:c16="http://schemas.microsoft.com/office/drawing/2014/chart" uri="{C3380CC4-5D6E-409C-BE32-E72D297353CC}">
              <c16:uniqueId val="{000000B3-8F2E-4270-8906-1944D030A90F}"/>
            </c:ext>
          </c:extLst>
        </c:ser>
        <c:ser>
          <c:idx val="148"/>
          <c:order val="148"/>
          <c:spPr>
            <a:ln w="3175">
              <a:solidFill>
                <a:srgbClr val="000000"/>
              </a:solidFill>
              <a:prstDash val="solid"/>
            </a:ln>
          </c:spPr>
          <c:marker>
            <c:symbol val="none"/>
          </c:marker>
          <c:xVal>
            <c:numLit>
              <c:formatCode>General</c:formatCode>
              <c:ptCount val="2"/>
              <c:pt idx="0">
                <c:v>-5.6614799564344587</c:v>
              </c:pt>
              <c:pt idx="1">
                <c:v>-5.9439830983580544</c:v>
              </c:pt>
            </c:numLit>
          </c:xVal>
          <c:yVal>
            <c:numLit>
              <c:formatCode>General</c:formatCode>
              <c:ptCount val="2"/>
              <c:pt idx="0">
                <c:v>1.7445349228540973E-2</c:v>
              </c:pt>
              <c:pt idx="1">
                <c:v>1.7370678140581138E-2</c:v>
              </c:pt>
            </c:numLit>
          </c:yVal>
          <c:smooth val="0"/>
          <c:extLst>
            <c:ext xmlns:c16="http://schemas.microsoft.com/office/drawing/2014/chart" uri="{C3380CC4-5D6E-409C-BE32-E72D297353CC}">
              <c16:uniqueId val="{000000B4-8F2E-4270-8906-1944D030A90F}"/>
            </c:ext>
          </c:extLst>
        </c:ser>
        <c:ser>
          <c:idx val="149"/>
          <c:order val="149"/>
          <c:spPr>
            <a:ln w="3175">
              <a:solidFill>
                <a:srgbClr val="000000"/>
              </a:solidFill>
              <a:prstDash val="solid"/>
            </a:ln>
          </c:spPr>
          <c:marker>
            <c:symbol val="none"/>
          </c:marker>
          <c:xVal>
            <c:numLit>
              <c:formatCode>General</c:formatCode>
              <c:ptCount val="2"/>
              <c:pt idx="0">
                <c:v>-5.5771951197065643</c:v>
              </c:pt>
              <c:pt idx="1">
                <c:v>-5.8578921579859919</c:v>
              </c:pt>
            </c:numLit>
          </c:xVal>
          <c:yVal>
            <c:numLit>
              <c:formatCode>General</c:formatCode>
              <c:ptCount val="2"/>
              <c:pt idx="0">
                <c:v>1.7275593374812867E-2</c:v>
              </c:pt>
              <c:pt idx="1">
                <c:v>1.7197284661415999E-2</c:v>
              </c:pt>
            </c:numLit>
          </c:yVal>
          <c:smooth val="0"/>
          <c:extLst>
            <c:ext xmlns:c16="http://schemas.microsoft.com/office/drawing/2014/chart" uri="{C3380CC4-5D6E-409C-BE32-E72D297353CC}">
              <c16:uniqueId val="{000000B5-8F2E-4270-8906-1944D030A90F}"/>
            </c:ext>
          </c:extLst>
        </c:ser>
        <c:ser>
          <c:idx val="150"/>
          <c:order val="150"/>
          <c:spPr>
            <a:ln w="3175">
              <a:solidFill>
                <a:srgbClr val="000000"/>
              </a:solidFill>
              <a:prstDash val="solid"/>
            </a:ln>
          </c:spPr>
          <c:marker>
            <c:symbol val="none"/>
          </c:marker>
          <c:xVal>
            <c:numLit>
              <c:formatCode>General</c:formatCode>
              <c:ptCount val="2"/>
              <c:pt idx="0">
                <c:v>-5.4796832004534721</c:v>
              </c:pt>
              <c:pt idx="1">
                <c:v>-6.0368981947586198</c:v>
              </c:pt>
            </c:numLit>
          </c:xVal>
          <c:yVal>
            <c:numLit>
              <c:formatCode>General</c:formatCode>
              <c:ptCount val="2"/>
              <c:pt idx="0">
                <c:v>1.7089808191527837E-2</c:v>
              </c:pt>
              <c:pt idx="1">
                <c:v>1.6925228542593318E-2</c:v>
              </c:pt>
            </c:numLit>
          </c:yVal>
          <c:smooth val="0"/>
          <c:extLst>
            <c:ext xmlns:c16="http://schemas.microsoft.com/office/drawing/2014/chart" uri="{C3380CC4-5D6E-409C-BE32-E72D297353CC}">
              <c16:uniqueId val="{000000B6-8F2E-4270-8906-1944D030A90F}"/>
            </c:ext>
          </c:extLst>
        </c:ser>
        <c:ser>
          <c:idx val="151"/>
          <c:order val="151"/>
          <c:spPr>
            <a:ln w="3175">
              <a:solidFill>
                <a:srgbClr val="000000"/>
              </a:solidFill>
              <a:prstDash val="solid"/>
            </a:ln>
          </c:spPr>
          <c:marker>
            <c:symbol val="none"/>
          </c:marker>
          <c:dLbls>
            <c:dLbl>
              <c:idx val="0"/>
              <c:tx>
                <c:rich>
                  <a:bodyPr rot="-132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6000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7-8F2E-4270-8906-1944D030A9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-7.0584590176513924</c:v>
              </c:pt>
            </c:numLit>
          </c:xVal>
          <c:yVal>
            <c:numLit>
              <c:formatCode>General</c:formatCode>
              <c:ptCount val="1"/>
              <c:pt idx="0">
                <c:v>1.6623499186213361E-2</c:v>
              </c:pt>
            </c:numLit>
          </c:yVal>
          <c:smooth val="0"/>
          <c:extLst>
            <c:ext xmlns:c16="http://schemas.microsoft.com/office/drawing/2014/chart" uri="{C3380CC4-5D6E-409C-BE32-E72D297353CC}">
              <c16:uniqueId val="{000000B8-8F2E-4270-8906-1944D030A90F}"/>
            </c:ext>
          </c:extLst>
        </c:ser>
        <c:ser>
          <c:idx val="152"/>
          <c:order val="152"/>
          <c:spPr>
            <a:ln w="3175">
              <a:solidFill>
                <a:srgbClr val="000000"/>
              </a:solidFill>
              <a:prstDash val="solid"/>
            </a:ln>
          </c:spPr>
          <c:marker>
            <c:symbol val="none"/>
          </c:marker>
          <c:xVal>
            <c:numLit>
              <c:formatCode>General</c:formatCode>
              <c:ptCount val="2"/>
              <c:pt idx="0">
                <c:v>-5.4251226750385708</c:v>
              </c:pt>
              <c:pt idx="1">
                <c:v>-5.7025610180751114</c:v>
              </c:pt>
            </c:numLit>
          </c:xVal>
          <c:yVal>
            <c:numLit>
              <c:formatCode>General</c:formatCode>
              <c:ptCount val="2"/>
              <c:pt idx="0">
                <c:v>1.6990252446736603E-2</c:v>
              </c:pt>
              <c:pt idx="1">
                <c:v>1.6905829284880956E-2</c:v>
              </c:pt>
            </c:numLit>
          </c:yVal>
          <c:smooth val="0"/>
          <c:extLst>
            <c:ext xmlns:c16="http://schemas.microsoft.com/office/drawing/2014/chart" uri="{C3380CC4-5D6E-409C-BE32-E72D297353CC}">
              <c16:uniqueId val="{000000B9-8F2E-4270-8906-1944D030A90F}"/>
            </c:ext>
          </c:extLst>
        </c:ser>
        <c:ser>
          <c:idx val="153"/>
          <c:order val="153"/>
          <c:spPr>
            <a:ln w="3175">
              <a:solidFill>
                <a:srgbClr val="000000"/>
              </a:solidFill>
              <a:prstDash val="solid"/>
            </a:ln>
          </c:spPr>
          <c:marker>
            <c:symbol val="none"/>
          </c:marker>
          <c:xVal>
            <c:numLit>
              <c:formatCode>General</c:formatCode>
              <c:ptCount val="2"/>
              <c:pt idx="0">
                <c:v>-5.3661582607451805</c:v>
              </c:pt>
              <c:pt idx="1">
                <c:v>-5.6423330806182914</c:v>
              </c:pt>
            </c:numLit>
          </c:xVal>
          <c:yVal>
            <c:numLit>
              <c:formatCode>General</c:formatCode>
              <c:ptCount val="2"/>
              <c:pt idx="0">
                <c:v>1.6885867994288942E-2</c:v>
              </c:pt>
              <c:pt idx="1">
                <c:v>1.6799208022737992E-2</c:v>
              </c:pt>
            </c:numLit>
          </c:yVal>
          <c:smooth val="0"/>
          <c:extLst>
            <c:ext xmlns:c16="http://schemas.microsoft.com/office/drawing/2014/chart" uri="{C3380CC4-5D6E-409C-BE32-E72D297353CC}">
              <c16:uniqueId val="{000000BA-8F2E-4270-8906-1944D030A90F}"/>
            </c:ext>
          </c:extLst>
        </c:ser>
        <c:ser>
          <c:idx val="154"/>
          <c:order val="154"/>
          <c:spPr>
            <a:ln w="3175">
              <a:solidFill>
                <a:srgbClr val="000000"/>
              </a:solidFill>
              <a:prstDash val="solid"/>
            </a:ln>
          </c:spPr>
          <c:marker>
            <c:symbol val="none"/>
          </c:marker>
          <c:xVal>
            <c:numLit>
              <c:formatCode>General</c:formatCode>
              <c:ptCount val="2"/>
              <c:pt idx="0">
                <c:v>-5.3023264552641391</c:v>
              </c:pt>
              <c:pt idx="1">
                <c:v>-5.5771334507340855</c:v>
              </c:pt>
            </c:numLit>
          </c:xVal>
          <c:yVal>
            <c:numLit>
              <c:formatCode>General</c:formatCode>
              <c:ptCount val="2"/>
              <c:pt idx="0">
                <c:v>1.677633856600267E-2</c:v>
              </c:pt>
              <c:pt idx="1">
                <c:v>1.6687331535274155E-2</c:v>
              </c:pt>
            </c:numLit>
          </c:yVal>
          <c:smooth val="0"/>
          <c:extLst>
            <c:ext xmlns:c16="http://schemas.microsoft.com/office/drawing/2014/chart" uri="{C3380CC4-5D6E-409C-BE32-E72D297353CC}">
              <c16:uniqueId val="{000000BB-8F2E-4270-8906-1944D030A90F}"/>
            </c:ext>
          </c:extLst>
        </c:ser>
        <c:ser>
          <c:idx val="155"/>
          <c:order val="155"/>
          <c:spPr>
            <a:ln w="3175">
              <a:solidFill>
                <a:srgbClr val="000000"/>
              </a:solidFill>
              <a:prstDash val="solid"/>
            </a:ln>
          </c:spPr>
          <c:marker>
            <c:symbol val="none"/>
          </c:marker>
          <c:xVal>
            <c:numLit>
              <c:formatCode>General</c:formatCode>
              <c:ptCount val="2"/>
              <c:pt idx="0">
                <c:v>-5.2331047854998651</c:v>
              </c:pt>
              <c:pt idx="1">
                <c:v>-5.5064284594748631</c:v>
              </c:pt>
            </c:numLit>
          </c:xVal>
          <c:yVal>
            <c:numLit>
              <c:formatCode>General</c:formatCode>
              <c:ptCount val="2"/>
              <c:pt idx="0">
                <c:v>1.6661325544174033E-2</c:v>
              </c:pt>
              <c:pt idx="1">
                <c:v>1.6569853948692048E-2</c:v>
              </c:pt>
            </c:numLit>
          </c:yVal>
          <c:smooth val="0"/>
          <c:extLst>
            <c:ext xmlns:c16="http://schemas.microsoft.com/office/drawing/2014/chart" uri="{C3380CC4-5D6E-409C-BE32-E72D297353CC}">
              <c16:uniqueId val="{000000BC-8F2E-4270-8906-1944D030A90F}"/>
            </c:ext>
          </c:extLst>
        </c:ser>
        <c:ser>
          <c:idx val="156"/>
          <c:order val="156"/>
          <c:spPr>
            <a:ln w="3175">
              <a:solidFill>
                <a:srgbClr val="000000"/>
              </a:solidFill>
              <a:prstDash val="solid"/>
            </a:ln>
          </c:spPr>
          <c:marker>
            <c:symbol val="none"/>
          </c:marker>
          <c:xVal>
            <c:numLit>
              <c:formatCode>General</c:formatCode>
              <c:ptCount val="2"/>
              <c:pt idx="0">
                <c:v>-5.1579032706065853</c:v>
              </c:pt>
              <c:pt idx="1">
                <c:v>-5.7013276964897246</c:v>
              </c:pt>
            </c:numLit>
          </c:xVal>
          <c:yVal>
            <c:numLit>
              <c:formatCode>General</c:formatCode>
              <c:ptCount val="2"/>
              <c:pt idx="0">
                <c:v>1.6540467071496829E-2</c:v>
              </c:pt>
              <c:pt idx="1">
                <c:v>1.6352344231703834E-2</c:v>
              </c:pt>
            </c:numLit>
          </c:yVal>
          <c:smooth val="0"/>
          <c:extLst>
            <c:ext xmlns:c16="http://schemas.microsoft.com/office/drawing/2014/chart" uri="{C3380CC4-5D6E-409C-BE32-E72D297353CC}">
              <c16:uniqueId val="{000000BD-8F2E-4270-8906-1944D030A90F}"/>
            </c:ext>
          </c:extLst>
        </c:ser>
        <c:ser>
          <c:idx val="157"/>
          <c:order val="157"/>
          <c:spPr>
            <a:ln w="3175">
              <a:solidFill>
                <a:srgbClr val="000000"/>
              </a:solidFill>
              <a:prstDash val="solid"/>
            </a:ln>
          </c:spPr>
          <c:marker>
            <c:symbol val="none"/>
          </c:marker>
          <c:dLbls>
            <c:dLbl>
              <c:idx val="0"/>
              <c:tx>
                <c:rich>
                  <a:bodyPr rot="-15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5500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E-8F2E-4270-8906-1944D030A9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-6.6976058106088132</c:v>
              </c:pt>
            </c:numLit>
          </c:xVal>
          <c:yVal>
            <c:numLit>
              <c:formatCode>General</c:formatCode>
              <c:ptCount val="1"/>
              <c:pt idx="0">
                <c:v>1.6007452358750014E-2</c:v>
              </c:pt>
            </c:numLit>
          </c:yVal>
          <c:smooth val="0"/>
          <c:extLst>
            <c:ext xmlns:c16="http://schemas.microsoft.com/office/drawing/2014/chart" uri="{C3380CC4-5D6E-409C-BE32-E72D297353CC}">
              <c16:uniqueId val="{000000BF-8F2E-4270-8906-1944D030A90F}"/>
            </c:ext>
          </c:extLst>
        </c:ser>
        <c:ser>
          <c:idx val="158"/>
          <c:order val="158"/>
          <c:spPr>
            <a:ln w="3175">
              <a:solidFill>
                <a:srgbClr val="000000"/>
              </a:solidFill>
              <a:prstDash val="solid"/>
            </a:ln>
          </c:spPr>
          <c:marker>
            <c:symbol val="none"/>
          </c:marker>
          <c:xVal>
            <c:numLit>
              <c:formatCode>General</c:formatCode>
              <c:ptCount val="2"/>
              <c:pt idx="0">
                <c:v>-5.0760545707644287</c:v>
              </c:pt>
              <c:pt idx="1">
                <c:v>-5.3460128829950957</c:v>
              </c:pt>
            </c:numLit>
          </c:xVal>
          <c:yVal>
            <c:numLit>
              <c:formatCode>General</c:formatCode>
              <c:ptCount val="2"/>
              <c:pt idx="0">
                <c:v>1.6413377441842833E-2</c:v>
              </c:pt>
              <c:pt idx="1">
                <c:v>1.6316592672739466E-2</c:v>
              </c:pt>
            </c:numLit>
          </c:yVal>
          <c:smooth val="0"/>
          <c:extLst>
            <c:ext xmlns:c16="http://schemas.microsoft.com/office/drawing/2014/chart" uri="{C3380CC4-5D6E-409C-BE32-E72D297353CC}">
              <c16:uniqueId val="{000000C0-8F2E-4270-8906-1944D030A90F}"/>
            </c:ext>
          </c:extLst>
        </c:ser>
        <c:ser>
          <c:idx val="159"/>
          <c:order val="159"/>
          <c:spPr>
            <a:ln w="3175">
              <a:solidFill>
                <a:srgbClr val="000000"/>
              </a:solidFill>
              <a:prstDash val="solid"/>
            </a:ln>
          </c:spPr>
          <c:marker>
            <c:symbol val="none"/>
          </c:marker>
          <c:xVal>
            <c:numLit>
              <c:formatCode>General</c:formatCode>
              <c:ptCount val="2"/>
              <c:pt idx="0">
                <c:v>-4.9868026312391578</c:v>
              </c:pt>
              <c:pt idx="1">
                <c:v>-5.2548484019085686</c:v>
              </c:pt>
            </c:numLit>
          </c:xVal>
          <c:yVal>
            <c:numLit>
              <c:formatCode>General</c:formatCode>
              <c:ptCount val="2"/>
              <c:pt idx="0">
                <c:v>1.6279646915363419E-2</c:v>
              </c:pt>
              <c:pt idx="1">
                <c:v>1.6179996492121203E-2</c:v>
              </c:pt>
            </c:numLit>
          </c:yVal>
          <c:smooth val="0"/>
          <c:extLst>
            <c:ext xmlns:c16="http://schemas.microsoft.com/office/drawing/2014/chart" uri="{C3380CC4-5D6E-409C-BE32-E72D297353CC}">
              <c16:uniqueId val="{000000C1-8F2E-4270-8906-1944D030A90F}"/>
            </c:ext>
          </c:extLst>
        </c:ser>
        <c:ser>
          <c:idx val="160"/>
          <c:order val="160"/>
          <c:spPr>
            <a:ln w="3175">
              <a:solidFill>
                <a:srgbClr val="000000"/>
              </a:solidFill>
              <a:prstDash val="solid"/>
            </a:ln>
          </c:spPr>
          <c:marker>
            <c:symbol val="none"/>
          </c:marker>
          <c:xVal>
            <c:numLit>
              <c:formatCode>General</c:formatCode>
              <c:ptCount val="2"/>
              <c:pt idx="0">
                <c:v>-4.889289615730835</c:v>
              </c:pt>
              <c:pt idx="1">
                <c:v>-5.155245821782211</c:v>
              </c:pt>
            </c:numLit>
          </c:xVal>
          <c:yVal>
            <c:numLit>
              <c:formatCode>General</c:formatCode>
              <c:ptCount val="2"/>
              <c:pt idx="0">
                <c:v>1.6138842151410121E-2</c:v>
              </c:pt>
              <c:pt idx="1">
                <c:v>1.6036174483226053E-2</c:v>
              </c:pt>
            </c:numLit>
          </c:yVal>
          <c:smooth val="0"/>
          <c:extLst>
            <c:ext xmlns:c16="http://schemas.microsoft.com/office/drawing/2014/chart" uri="{C3380CC4-5D6E-409C-BE32-E72D297353CC}">
              <c16:uniqueId val="{000000C2-8F2E-4270-8906-1944D030A90F}"/>
            </c:ext>
          </c:extLst>
        </c:ser>
        <c:ser>
          <c:idx val="161"/>
          <c:order val="161"/>
          <c:spPr>
            <a:ln w="3175">
              <a:solidFill>
                <a:srgbClr val="000000"/>
              </a:solidFill>
              <a:prstDash val="solid"/>
            </a:ln>
          </c:spPr>
          <c:marker>
            <c:symbol val="none"/>
          </c:marker>
          <c:xVal>
            <c:numLit>
              <c:formatCode>General</c:formatCode>
              <c:ptCount val="2"/>
              <c:pt idx="0">
                <c:v>-4.7825409137469856</c:v>
              </c:pt>
              <c:pt idx="1">
                <c:v>-5.0462096476129927</c:v>
              </c:pt>
            </c:numLit>
          </c:xVal>
          <c:yVal>
            <c:numLit>
              <c:formatCode>General</c:formatCode>
              <c:ptCount val="2"/>
              <c:pt idx="0">
                <c:v>1.599050751826438E-2</c:v>
              </c:pt>
              <c:pt idx="1">
                <c:v>1.5884661250798619E-2</c:v>
              </c:pt>
            </c:numLit>
          </c:yVal>
          <c:smooth val="0"/>
          <c:extLst>
            <c:ext xmlns:c16="http://schemas.microsoft.com/office/drawing/2014/chart" uri="{C3380CC4-5D6E-409C-BE32-E72D297353CC}">
              <c16:uniqueId val="{000000C3-8F2E-4270-8906-1944D030A90F}"/>
            </c:ext>
          </c:extLst>
        </c:ser>
        <c:ser>
          <c:idx val="162"/>
          <c:order val="162"/>
          <c:spPr>
            <a:ln w="3175">
              <a:solidFill>
                <a:srgbClr val="000000"/>
              </a:solidFill>
              <a:prstDash val="solid"/>
            </a:ln>
          </c:spPr>
          <c:marker>
            <c:symbol val="none"/>
          </c:marker>
          <c:xVal>
            <c:numLit>
              <c:formatCode>General</c:formatCode>
              <c:ptCount val="2"/>
              <c:pt idx="0">
                <c:v>-4.6654480091532298</c:v>
              </c:pt>
              <c:pt idx="1">
                <c:v>-5.1877672095455107</c:v>
              </c:pt>
            </c:numLit>
          </c:xVal>
          <c:yVal>
            <c:numLit>
              <c:formatCode>General</c:formatCode>
              <c:ptCount val="2"/>
              <c:pt idx="0">
                <c:v>1.5834167623770514E-2</c:v>
              </c:pt>
              <c:pt idx="1">
                <c:v>1.5615774807646391E-2</c:v>
              </c:pt>
            </c:numLit>
          </c:yVal>
          <c:smooth val="0"/>
          <c:extLst>
            <c:ext xmlns:c16="http://schemas.microsoft.com/office/drawing/2014/chart" uri="{C3380CC4-5D6E-409C-BE32-E72D297353CC}">
              <c16:uniqueId val="{000000C4-8F2E-4270-8906-1944D030A90F}"/>
            </c:ext>
          </c:extLst>
        </c:ser>
        <c:ser>
          <c:idx val="163"/>
          <c:order val="163"/>
          <c:spPr>
            <a:ln w="3175">
              <a:solidFill>
                <a:srgbClr val="000000"/>
              </a:solidFill>
              <a:prstDash val="solid"/>
            </a:ln>
          </c:spPr>
          <c:marker>
            <c:symbol val="none"/>
          </c:marker>
          <c:dLbls>
            <c:dLbl>
              <c:idx val="0"/>
              <c:tx>
                <c:rich>
                  <a:bodyPr rot="-17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5000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5-8F2E-4270-8906-1944D030A9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-6.1453524102646933</c:v>
              </c:pt>
            </c:numLit>
          </c:xVal>
          <c:yVal>
            <c:numLit>
              <c:formatCode>General</c:formatCode>
              <c:ptCount val="1"/>
              <c:pt idx="0">
                <c:v>1.5215387978085504E-2</c:v>
              </c:pt>
            </c:numLit>
          </c:yVal>
          <c:smooth val="0"/>
          <c:extLst>
            <c:ext xmlns:c16="http://schemas.microsoft.com/office/drawing/2014/chart" uri="{C3380CC4-5D6E-409C-BE32-E72D297353CC}">
              <c16:uniqueId val="{000000C6-8F2E-4270-8906-1944D030A90F}"/>
            </c:ext>
          </c:extLst>
        </c:ser>
        <c:ser>
          <c:idx val="164"/>
          <c:order val="164"/>
          <c:spPr>
            <a:ln w="3175">
              <a:solidFill>
                <a:srgbClr val="000000"/>
              </a:solidFill>
              <a:prstDash val="solid"/>
            </a:ln>
          </c:spPr>
          <c:marker>
            <c:symbol val="none"/>
          </c:marker>
          <c:xVal>
            <c:numLit>
              <c:formatCode>General</c:formatCode>
              <c:ptCount val="2"/>
              <c:pt idx="0">
                <c:v>-4.5367490194500562</c:v>
              </c:pt>
              <c:pt idx="1">
                <c:v>-4.7951507841525576</c:v>
              </c:pt>
            </c:numLit>
          </c:xVal>
          <c:yVal>
            <c:numLit>
              <c:formatCode>General</c:formatCode>
              <c:ptCount val="2"/>
              <c:pt idx="0">
                <c:v>1.5669331520569488E-2</c:v>
              </c:pt>
              <c:pt idx="1">
                <c:v>1.5556602910295978E-2</c:v>
              </c:pt>
            </c:numLit>
          </c:yVal>
          <c:smooth val="0"/>
          <c:extLst>
            <c:ext xmlns:c16="http://schemas.microsoft.com/office/drawing/2014/chart" uri="{C3380CC4-5D6E-409C-BE32-E72D297353CC}">
              <c16:uniqueId val="{000000C7-8F2E-4270-8906-1944D030A90F}"/>
            </c:ext>
          </c:extLst>
        </c:ser>
        <c:ser>
          <c:idx val="165"/>
          <c:order val="165"/>
          <c:spPr>
            <a:ln w="3175">
              <a:solidFill>
                <a:srgbClr val="000000"/>
              </a:solidFill>
              <a:prstDash val="solid"/>
            </a:ln>
          </c:spPr>
          <c:marker>
            <c:symbol val="none"/>
          </c:marker>
          <c:xVal>
            <c:numLit>
              <c:formatCode>General</c:formatCode>
              <c:ptCount val="2"/>
              <c:pt idx="0">
                <c:v>-4.3950067701211761</c:v>
              </c:pt>
              <c:pt idx="1">
                <c:v>-4.650371200909488</c:v>
              </c:pt>
            </c:numLit>
          </c:xVal>
          <c:yVal>
            <c:numLit>
              <c:formatCode>General</c:formatCode>
              <c:ptCount val="2"/>
              <c:pt idx="0">
                <c:v>1.5495499179174118E-2</c:v>
              </c:pt>
              <c:pt idx="1">
                <c:v>1.5379045590156421E-2</c:v>
              </c:pt>
            </c:numLit>
          </c:yVal>
          <c:smooth val="0"/>
          <c:extLst>
            <c:ext xmlns:c16="http://schemas.microsoft.com/office/drawing/2014/chart" uri="{C3380CC4-5D6E-409C-BE32-E72D297353CC}">
              <c16:uniqueId val="{000000C8-8F2E-4270-8906-1944D030A90F}"/>
            </c:ext>
          </c:extLst>
        </c:ser>
        <c:ser>
          <c:idx val="166"/>
          <c:order val="166"/>
          <c:spPr>
            <a:ln w="3175">
              <a:solidFill>
                <a:srgbClr val="000000"/>
              </a:solidFill>
              <a:prstDash val="solid"/>
            </a:ln>
          </c:spPr>
          <c:marker>
            <c:symbol val="none"/>
          </c:marker>
          <c:xVal>
            <c:numLit>
              <c:formatCode>General</c:formatCode>
              <c:ptCount val="2"/>
              <c:pt idx="0">
                <c:v>-4.2385843738412259</c:v>
              </c:pt>
              <c:pt idx="1">
                <c:v>-4.4905968961378235</c:v>
              </c:pt>
            </c:numLit>
          </c:xVal>
          <c:yVal>
            <c:numLit>
              <c:formatCode>General</c:formatCode>
              <c:ptCount val="2"/>
              <c:pt idx="0">
                <c:v>1.5312170997110987E-2</c:v>
              </c:pt>
              <c:pt idx="1">
                <c:v>1.5191788947049081E-2</c:v>
              </c:pt>
            </c:numLit>
          </c:yVal>
          <c:smooth val="0"/>
          <c:extLst>
            <c:ext xmlns:c16="http://schemas.microsoft.com/office/drawing/2014/chart" uri="{C3380CC4-5D6E-409C-BE32-E72D297353CC}">
              <c16:uniqueId val="{000000C9-8F2E-4270-8906-1944D030A90F}"/>
            </c:ext>
          </c:extLst>
        </c:ser>
        <c:ser>
          <c:idx val="167"/>
          <c:order val="167"/>
          <c:spPr>
            <a:ln w="3175">
              <a:solidFill>
                <a:srgbClr val="000000"/>
              </a:solidFill>
              <a:prstDash val="solid"/>
            </a:ln>
          </c:spPr>
          <c:marker>
            <c:symbol val="none"/>
          </c:marker>
          <c:xVal>
            <c:numLit>
              <c:formatCode>General</c:formatCode>
              <c:ptCount val="2"/>
              <c:pt idx="0">
                <c:v>-4.0656184666577015</c:v>
              </c:pt>
              <c:pt idx="1">
                <c:v>-4.3139245766575094</c:v>
              </c:pt>
            </c:numLit>
          </c:xVal>
          <c:yVal>
            <c:numLit>
              <c:formatCode>General</c:formatCode>
              <c:ptCount val="2"/>
              <c:pt idx="0">
                <c:v>1.5118861327289309E-2</c:v>
              </c:pt>
              <c:pt idx="1">
                <c:v>1.4994336927159794E-2</c:v>
              </c:pt>
            </c:numLit>
          </c:yVal>
          <c:smooth val="0"/>
          <c:extLst>
            <c:ext xmlns:c16="http://schemas.microsoft.com/office/drawing/2014/chart" uri="{C3380CC4-5D6E-409C-BE32-E72D297353CC}">
              <c16:uniqueId val="{000000CA-8F2E-4270-8906-1944D030A90F}"/>
            </c:ext>
          </c:extLst>
        </c:ser>
        <c:ser>
          <c:idx val="168"/>
          <c:order val="168"/>
          <c:spPr>
            <a:ln w="3175">
              <a:solidFill>
                <a:srgbClr val="000000"/>
              </a:solidFill>
              <a:prstDash val="solid"/>
            </a:ln>
          </c:spPr>
          <c:marker>
            <c:symbol val="none"/>
          </c:marker>
          <c:xVal>
            <c:numLit>
              <c:formatCode>General</c:formatCode>
              <c:ptCount val="2"/>
              <c:pt idx="0">
                <c:v>-3.8739905493226741</c:v>
              </c:pt>
              <c:pt idx="1">
                <c:v>-4.3623901442936459</c:v>
              </c:pt>
            </c:numLit>
          </c:xVal>
          <c:yVal>
            <c:numLit>
              <c:formatCode>General</c:formatCode>
              <c:ptCount val="2"/>
              <c:pt idx="0">
                <c:v>1.4915117265152884E-2</c:v>
              </c:pt>
              <c:pt idx="1">
                <c:v>1.4657336576516579E-2</c:v>
              </c:pt>
            </c:numLit>
          </c:yVal>
          <c:smooth val="0"/>
          <c:extLst>
            <c:ext xmlns:c16="http://schemas.microsoft.com/office/drawing/2014/chart" uri="{C3380CC4-5D6E-409C-BE32-E72D297353CC}">
              <c16:uniqueId val="{000000CB-8F2E-4270-8906-1944D030A90F}"/>
            </c:ext>
          </c:extLst>
        </c:ser>
        <c:ser>
          <c:idx val="169"/>
          <c:order val="169"/>
          <c:spPr>
            <a:ln w="3175">
              <a:solidFill>
                <a:srgbClr val="000000"/>
              </a:solidFill>
              <a:prstDash val="solid"/>
            </a:ln>
          </c:spPr>
          <c:marker>
            <c:symbol val="none"/>
          </c:marker>
          <c:dLbls>
            <c:dLbl>
              <c:idx val="0"/>
              <c:tx>
                <c:rich>
                  <a:bodyPr rot="-216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4500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CC-8F2E-4270-8906-1944D030A9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-5.2577894017404265</c:v>
              </c:pt>
            </c:numLit>
          </c:xVal>
          <c:yVal>
            <c:numLit>
              <c:formatCode>General</c:formatCode>
              <c:ptCount val="1"/>
              <c:pt idx="0">
                <c:v>1.418473864735002E-2</c:v>
              </c:pt>
            </c:numLit>
          </c:yVal>
          <c:smooth val="0"/>
          <c:extLst>
            <c:ext xmlns:c16="http://schemas.microsoft.com/office/drawing/2014/chart" uri="{C3380CC4-5D6E-409C-BE32-E72D297353CC}">
              <c16:uniqueId val="{000000CD-8F2E-4270-8906-1944D030A90F}"/>
            </c:ext>
          </c:extLst>
        </c:ser>
        <c:ser>
          <c:idx val="170"/>
          <c:order val="170"/>
          <c:spPr>
            <a:ln w="3175">
              <a:solidFill>
                <a:srgbClr val="000000"/>
              </a:solidFill>
              <a:prstDash val="solid"/>
            </a:ln>
          </c:spPr>
          <c:marker>
            <c:symbol val="none"/>
          </c:marker>
          <c:xVal>
            <c:numLit>
              <c:formatCode>General</c:formatCode>
              <c:ptCount val="2"/>
              <c:pt idx="0">
                <c:v>-3.7704392439481627</c:v>
              </c:pt>
              <c:pt idx="1">
                <c:v>-4.0124200848899099</c:v>
              </c:pt>
            </c:numLit>
          </c:xVal>
          <c:yVal>
            <c:numLit>
              <c:formatCode>General</c:formatCode>
              <c:ptCount val="2"/>
              <c:pt idx="0">
                <c:v>1.4809205883937578E-2</c:v>
              </c:pt>
              <c:pt idx="1">
                <c:v>1.4678046010021956E-2</c:v>
              </c:pt>
            </c:numLit>
          </c:yVal>
          <c:smooth val="0"/>
          <c:extLst>
            <c:ext xmlns:c16="http://schemas.microsoft.com/office/drawing/2014/chart" uri="{C3380CC4-5D6E-409C-BE32-E72D297353CC}">
              <c16:uniqueId val="{000000CE-8F2E-4270-8906-1944D030A90F}"/>
            </c:ext>
          </c:extLst>
        </c:ser>
        <c:ser>
          <c:idx val="171"/>
          <c:order val="171"/>
          <c:spPr>
            <a:ln w="3175">
              <a:solidFill>
                <a:srgbClr val="000000"/>
              </a:solidFill>
              <a:prstDash val="solid"/>
            </a:ln>
          </c:spPr>
          <c:marker>
            <c:symbol val="none"/>
          </c:marker>
          <c:xVal>
            <c:numLit>
              <c:formatCode>General</c:formatCode>
              <c:ptCount val="2"/>
              <c:pt idx="0">
                <c:v>-3.6612973419810073</c:v>
              </c:pt>
              <c:pt idx="1">
                <c:v>-4.1405815137801936</c:v>
              </c:pt>
            </c:numLit>
          </c:xVal>
          <c:yVal>
            <c:numLit>
              <c:formatCode>General</c:formatCode>
              <c:ptCount val="2"/>
              <c:pt idx="0">
                <c:v>1.4700544227002829E-2</c:v>
              </c:pt>
              <c:pt idx="1">
                <c:v>1.4433567551017237E-2</c:v>
              </c:pt>
            </c:numLit>
          </c:yVal>
          <c:smooth val="0"/>
          <c:extLst>
            <c:ext xmlns:c16="http://schemas.microsoft.com/office/drawing/2014/chart" uri="{C3380CC4-5D6E-409C-BE32-E72D297353CC}">
              <c16:uniqueId val="{000000CF-8F2E-4270-8906-1944D030A90F}"/>
            </c:ext>
          </c:extLst>
        </c:ser>
        <c:ser>
          <c:idx val="172"/>
          <c:order val="172"/>
          <c:spPr>
            <a:ln w="3175">
              <a:solidFill>
                <a:srgbClr val="000000"/>
              </a:solidFill>
              <a:prstDash val="solid"/>
            </a:ln>
          </c:spPr>
          <c:marker>
            <c:symbol val="none"/>
          </c:marker>
          <c:xVal>
            <c:numLit>
              <c:formatCode>General</c:formatCode>
              <c:ptCount val="2"/>
              <c:pt idx="0">
                <c:v>-3.5462151642748525</c:v>
              </c:pt>
              <c:pt idx="1">
                <c:v>-3.7833912035093142</c:v>
              </c:pt>
            </c:numLit>
          </c:xVal>
          <c:yVal>
            <c:numLit>
              <c:formatCode>General</c:formatCode>
              <c:ptCount val="2"/>
              <c:pt idx="0">
                <c:v>1.4589097690626144E-2</c:v>
              </c:pt>
              <c:pt idx="1">
                <c:v>1.4453221212568132E-2</c:v>
              </c:pt>
            </c:numLit>
          </c:yVal>
          <c:smooth val="0"/>
          <c:extLst>
            <c:ext xmlns:c16="http://schemas.microsoft.com/office/drawing/2014/chart" uri="{C3380CC4-5D6E-409C-BE32-E72D297353CC}">
              <c16:uniqueId val="{000000D0-8F2E-4270-8906-1944D030A90F}"/>
            </c:ext>
          </c:extLst>
        </c:ser>
        <c:ser>
          <c:idx val="173"/>
          <c:order val="173"/>
          <c:spPr>
            <a:ln w="3175">
              <a:solidFill>
                <a:srgbClr val="000000"/>
              </a:solidFill>
              <a:prstDash val="solid"/>
            </a:ln>
          </c:spPr>
          <c:marker>
            <c:symbol val="none"/>
          </c:marker>
          <c:xVal>
            <c:numLit>
              <c:formatCode>General</c:formatCode>
              <c:ptCount val="2"/>
              <c:pt idx="0">
                <c:v>-3.4248217502543765</c:v>
              </c:pt>
              <c:pt idx="1">
                <c:v>-3.8939712538367064</c:v>
              </c:pt>
            </c:numLit>
          </c:xVal>
          <c:yVal>
            <c:numLit>
              <c:formatCode>General</c:formatCode>
              <c:ptCount val="2"/>
              <c:pt idx="0">
                <c:v>1.4474840163683531E-2</c:v>
              </c:pt>
              <c:pt idx="1">
                <c:v>1.4198190456412825E-2</c:v>
              </c:pt>
            </c:numLit>
          </c:yVal>
          <c:smooth val="0"/>
          <c:extLst>
            <c:ext xmlns:c16="http://schemas.microsoft.com/office/drawing/2014/chart" uri="{C3380CC4-5D6E-409C-BE32-E72D297353CC}">
              <c16:uniqueId val="{000000D1-8F2E-4270-8906-1944D030A90F}"/>
            </c:ext>
          </c:extLst>
        </c:ser>
        <c:ser>
          <c:idx val="174"/>
          <c:order val="174"/>
          <c:spPr>
            <a:ln w="3175">
              <a:solidFill>
                <a:srgbClr val="000000"/>
              </a:solidFill>
              <a:prstDash val="solid"/>
            </a:ln>
          </c:spPr>
          <c:marker>
            <c:symbol val="none"/>
          </c:marker>
          <c:xVal>
            <c:numLit>
              <c:formatCode>General</c:formatCode>
              <c:ptCount val="2"/>
              <c:pt idx="0">
                <c:v>-3.2967241795418643</c:v>
              </c:pt>
              <c:pt idx="1">
                <c:v>-3.5285539833891901</c:v>
              </c:pt>
            </c:numLit>
          </c:xVal>
          <c:yVal>
            <c:numLit>
              <c:formatCode>General</c:formatCode>
              <c:ptCount val="2"/>
              <c:pt idx="0">
                <c:v>1.4357755721848364E-2</c:v>
              </c:pt>
              <c:pt idx="1">
                <c:v>1.421692191588797E-2</c:v>
              </c:pt>
            </c:numLit>
          </c:yVal>
          <c:smooth val="0"/>
          <c:extLst>
            <c:ext xmlns:c16="http://schemas.microsoft.com/office/drawing/2014/chart" uri="{C3380CC4-5D6E-409C-BE32-E72D297353CC}">
              <c16:uniqueId val="{000000D2-8F2E-4270-8906-1944D030A90F}"/>
            </c:ext>
          </c:extLst>
        </c:ser>
        <c:ser>
          <c:idx val="175"/>
          <c:order val="175"/>
          <c:spPr>
            <a:ln w="3175">
              <a:solidFill>
                <a:srgbClr val="000000"/>
              </a:solidFill>
              <a:prstDash val="solid"/>
            </a:ln>
          </c:spPr>
          <c:marker>
            <c:symbol val="none"/>
          </c:marker>
          <c:xVal>
            <c:numLit>
              <c:formatCode>General</c:formatCode>
              <c:ptCount val="2"/>
              <c:pt idx="0">
                <c:v>-3.1615070418306956</c:v>
              </c:pt>
              <c:pt idx="1">
                <c:v>-3.6193716293377252</c:v>
              </c:pt>
            </c:numLit>
          </c:xVal>
          <c:yVal>
            <c:numLit>
              <c:formatCode>General</c:formatCode>
              <c:ptCount val="2"/>
              <c:pt idx="0">
                <c:v>1.4237840545403689E-2</c:v>
              </c:pt>
              <c:pt idx="1">
                <c:v>1.3951033711635275E-2</c:v>
              </c:pt>
            </c:numLit>
          </c:yVal>
          <c:smooth val="0"/>
          <c:extLst>
            <c:ext xmlns:c16="http://schemas.microsoft.com/office/drawing/2014/chart" uri="{C3380CC4-5D6E-409C-BE32-E72D297353CC}">
              <c16:uniqueId val="{000000D3-8F2E-4270-8906-1944D030A90F}"/>
            </c:ext>
          </c:extLst>
        </c:ser>
        <c:ser>
          <c:idx val="176"/>
          <c:order val="176"/>
          <c:spPr>
            <a:ln w="3175">
              <a:solidFill>
                <a:srgbClr val="000000"/>
              </a:solidFill>
              <a:prstDash val="solid"/>
            </a:ln>
          </c:spPr>
          <c:marker>
            <c:symbol val="none"/>
          </c:marker>
          <c:dLbls>
            <c:dLbl>
              <c:idx val="0"/>
              <c:tx>
                <c:rich>
                  <a:bodyPr rot="-240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4200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D4-8F2E-4270-8906-1944D030A9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-4.4587900397672797</c:v>
              </c:pt>
            </c:numLit>
          </c:xVal>
          <c:yVal>
            <c:numLit>
              <c:formatCode>General</c:formatCode>
              <c:ptCount val="1"/>
              <c:pt idx="0">
                <c:v>1.3425221183059851E-2</c:v>
              </c:pt>
            </c:numLit>
          </c:yVal>
          <c:smooth val="0"/>
          <c:extLst>
            <c:ext xmlns:c16="http://schemas.microsoft.com/office/drawing/2014/chart" uri="{C3380CC4-5D6E-409C-BE32-E72D297353CC}">
              <c16:uniqueId val="{000000D5-8F2E-4270-8906-1944D030A90F}"/>
            </c:ext>
          </c:extLst>
        </c:ser>
        <c:ser>
          <c:idx val="177"/>
          <c:order val="177"/>
          <c:spPr>
            <a:ln w="3175">
              <a:solidFill>
                <a:srgbClr val="000000"/>
              </a:solidFill>
              <a:prstDash val="solid"/>
            </a:ln>
          </c:spPr>
          <c:marker>
            <c:symbol val="none"/>
          </c:marker>
          <c:xVal>
            <c:numLit>
              <c:formatCode>General</c:formatCode>
              <c:ptCount val="2"/>
              <c:pt idx="0">
                <c:v>-3.0187321044678757</c:v>
              </c:pt>
              <c:pt idx="1">
                <c:v>-3.2446049352779021</c:v>
              </c:pt>
            </c:numLit>
          </c:xVal>
          <c:yVal>
            <c:numLit>
              <c:formatCode>General</c:formatCode>
              <c:ptCount val="2"/>
              <c:pt idx="0">
                <c:v>1.4115105078987998E-2</c:v>
              </c:pt>
              <c:pt idx="1">
                <c:v>1.3969071616394883E-2</c:v>
              </c:pt>
            </c:numLit>
          </c:yVal>
          <c:smooth val="0"/>
          <c:extLst>
            <c:ext xmlns:c16="http://schemas.microsoft.com/office/drawing/2014/chart" uri="{C3380CC4-5D6E-409C-BE32-E72D297353CC}">
              <c16:uniqueId val="{000000D6-8F2E-4270-8906-1944D030A90F}"/>
            </c:ext>
          </c:extLst>
        </c:ser>
        <c:ser>
          <c:idx val="178"/>
          <c:order val="178"/>
          <c:spPr>
            <a:ln w="3175">
              <a:solidFill>
                <a:srgbClr val="000000"/>
              </a:solidFill>
              <a:prstDash val="solid"/>
            </a:ln>
          </c:spPr>
          <c:marker>
            <c:symbol val="none"/>
          </c:marker>
          <c:xVal>
            <c:numLit>
              <c:formatCode>General</c:formatCode>
              <c:ptCount val="2"/>
              <c:pt idx="0">
                <c:v>-2.8679382367257746</c:v>
              </c:pt>
              <c:pt idx="1">
                <c:v>-3.3132213040140215</c:v>
              </c:pt>
            </c:numLit>
          </c:xVal>
          <c:yVal>
            <c:numLit>
              <c:formatCode>General</c:formatCode>
              <c:ptCount val="2"/>
              <c:pt idx="0">
                <c:v>1.3989576450102176E-2</c:v>
              </c:pt>
              <c:pt idx="1">
                <c:v>1.3692129726535128E-2</c:v>
              </c:pt>
            </c:numLit>
          </c:yVal>
          <c:smooth val="0"/>
          <c:extLst>
            <c:ext xmlns:c16="http://schemas.microsoft.com/office/drawing/2014/chart" uri="{C3380CC4-5D6E-409C-BE32-E72D297353CC}">
              <c16:uniqueId val="{000000D7-8F2E-4270-8906-1944D030A90F}"/>
            </c:ext>
          </c:extLst>
        </c:ser>
        <c:ser>
          <c:idx val="179"/>
          <c:order val="179"/>
          <c:spPr>
            <a:ln w="3175">
              <a:solidFill>
                <a:srgbClr val="000000"/>
              </a:solidFill>
              <a:prstDash val="solid"/>
            </a:ln>
          </c:spPr>
          <c:marker>
            <c:symbol val="none"/>
          </c:marker>
          <c:xVal>
            <c:numLit>
              <c:formatCode>General</c:formatCode>
              <c:ptCount val="2"/>
              <c:pt idx="0">
                <c:v>-2.7086416603368892</c:v>
              </c:pt>
              <c:pt idx="1">
                <c:v>-2.9278696959155375</c:v>
              </c:pt>
            </c:numLit>
          </c:xVal>
          <c:yVal>
            <c:numLit>
              <c:formatCode>General</c:formatCode>
              <c:ptCount val="2"/>
              <c:pt idx="0">
                <c:v>1.3861301160508996E-2</c:v>
              </c:pt>
              <c:pt idx="1">
                <c:v>1.3709829042519902E-2</c:v>
              </c:pt>
            </c:numLit>
          </c:yVal>
          <c:smooth val="0"/>
          <c:extLst>
            <c:ext xmlns:c16="http://schemas.microsoft.com/office/drawing/2014/chart" uri="{C3380CC4-5D6E-409C-BE32-E72D297353CC}">
              <c16:uniqueId val="{000000D8-8F2E-4270-8906-1944D030A90F}"/>
            </c:ext>
          </c:extLst>
        </c:ser>
        <c:ser>
          <c:idx val="180"/>
          <c:order val="180"/>
          <c:spPr>
            <a:ln w="3175">
              <a:solidFill>
                <a:srgbClr val="000000"/>
              </a:solidFill>
              <a:prstDash val="solid"/>
            </a:ln>
          </c:spPr>
          <c:marker>
            <c:symbol val="none"/>
          </c:marker>
          <c:xVal>
            <c:numLit>
              <c:formatCode>General</c:formatCode>
              <c:ptCount val="2"/>
              <c:pt idx="0">
                <c:v>-2.5403366074235816</c:v>
              </c:pt>
              <c:pt idx="1">
                <c:v>-2.9715796048845915</c:v>
              </c:pt>
            </c:numLit>
          </c:xVal>
          <c:yVal>
            <c:numLit>
              <c:formatCode>General</c:formatCode>
              <c:ptCount val="2"/>
              <c:pt idx="0">
                <c:v>1.3730348060406742E-2</c:v>
              </c:pt>
              <c:pt idx="1">
                <c:v>1.3421791548709889E-2</c:v>
              </c:pt>
            </c:numLit>
          </c:yVal>
          <c:smooth val="0"/>
          <c:extLst>
            <c:ext xmlns:c16="http://schemas.microsoft.com/office/drawing/2014/chart" uri="{C3380CC4-5D6E-409C-BE32-E72D297353CC}">
              <c16:uniqueId val="{000000D9-8F2E-4270-8906-1944D030A90F}"/>
            </c:ext>
          </c:extLst>
        </c:ser>
        <c:ser>
          <c:idx val="181"/>
          <c:order val="181"/>
          <c:spPr>
            <a:ln w="3175">
              <a:solidFill>
                <a:srgbClr val="000000"/>
              </a:solidFill>
              <a:prstDash val="solid"/>
            </a:ln>
          </c:spPr>
          <c:marker>
            <c:symbol val="none"/>
          </c:marker>
          <c:dLbls>
            <c:dLbl>
              <c:idx val="0"/>
              <c:tx>
                <c:rich>
                  <a:bodyPr rot="-264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4000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DA-8F2E-4270-8906-1944D030A9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-3.7621917668964442</c:v>
              </c:pt>
            </c:numLit>
          </c:xVal>
          <c:yVal>
            <c:numLit>
              <c:formatCode>General</c:formatCode>
              <c:ptCount val="1"/>
              <c:pt idx="0">
                <c:v>1.285610461059899E-2</c:v>
              </c:pt>
            </c:numLit>
          </c:yVal>
          <c:smooth val="0"/>
          <c:extLst>
            <c:ext xmlns:c16="http://schemas.microsoft.com/office/drawing/2014/chart" uri="{C3380CC4-5D6E-409C-BE32-E72D297353CC}">
              <c16:uniqueId val="{000000DB-8F2E-4270-8906-1944D030A90F}"/>
            </c:ext>
          </c:extLst>
        </c:ser>
        <c:ser>
          <c:idx val="182"/>
          <c:order val="182"/>
          <c:spPr>
            <a:ln w="3175">
              <a:solidFill>
                <a:srgbClr val="000000"/>
              </a:solidFill>
              <a:prstDash val="solid"/>
            </a:ln>
          </c:spPr>
          <c:marker>
            <c:symbol val="none"/>
          </c:marker>
          <c:xVal>
            <c:numLit>
              <c:formatCode>General</c:formatCode>
              <c:ptCount val="2"/>
              <c:pt idx="0">
                <c:v>-2.3624964792520693</c:v>
              </c:pt>
              <c:pt idx="1">
                <c:v>-2.5743071180931856</c:v>
              </c:pt>
            </c:numLit>
          </c:xVal>
          <c:yVal>
            <c:numLit>
              <c:formatCode>General</c:formatCode>
              <c:ptCount val="2"/>
              <c:pt idx="0">
                <c:v>1.3596811609050458E-2</c:v>
              </c:pt>
              <c:pt idx="1">
                <c:v>1.3439671857815824E-2</c:v>
              </c:pt>
            </c:numLit>
          </c:yVal>
          <c:smooth val="0"/>
          <c:extLst>
            <c:ext xmlns:c16="http://schemas.microsoft.com/office/drawing/2014/chart" uri="{C3380CC4-5D6E-409C-BE32-E72D297353CC}">
              <c16:uniqueId val="{000000DC-8F2E-4270-8906-1944D030A90F}"/>
            </c:ext>
          </c:extLst>
        </c:ser>
        <c:ser>
          <c:idx val="183"/>
          <c:order val="183"/>
          <c:spPr>
            <a:ln w="3175">
              <a:solidFill>
                <a:srgbClr val="000000"/>
              </a:solidFill>
              <a:prstDash val="solid"/>
            </a:ln>
          </c:spPr>
          <c:marker>
            <c:symbol val="none"/>
          </c:marker>
          <c:xVal>
            <c:numLit>
              <c:formatCode>General</c:formatCode>
              <c:ptCount val="2"/>
              <c:pt idx="0">
                <c:v>-2.1745756118950066</c:v>
              </c:pt>
              <c:pt idx="1">
                <c:v>-2.5901431381190783</c:v>
              </c:pt>
            </c:numLit>
          </c:xVal>
          <c:yVal>
            <c:numLit>
              <c:formatCode>General</c:formatCode>
              <c:ptCount val="2"/>
              <c:pt idx="0">
                <c:v>1.3460815416871075E-2</c:v>
              </c:pt>
              <c:pt idx="1">
                <c:v>1.314070750616555E-2</c:v>
              </c:pt>
            </c:numLit>
          </c:yVal>
          <c:smooth val="0"/>
          <c:extLst>
            <c:ext xmlns:c16="http://schemas.microsoft.com/office/drawing/2014/chart" uri="{C3380CC4-5D6E-409C-BE32-E72D297353CC}">
              <c16:uniqueId val="{000000DD-8F2E-4270-8906-1944D030A90F}"/>
            </c:ext>
          </c:extLst>
        </c:ser>
        <c:ser>
          <c:idx val="184"/>
          <c:order val="184"/>
          <c:spPr>
            <a:ln w="3175">
              <a:solidFill>
                <a:srgbClr val="000000"/>
              </a:solidFill>
              <a:prstDash val="solid"/>
            </a:ln>
          </c:spPr>
          <c:marker>
            <c:symbol val="none"/>
          </c:marker>
          <c:xVal>
            <c:numLit>
              <c:formatCode>General</c:formatCode>
              <c:ptCount val="2"/>
              <c:pt idx="0">
                <c:v>-1.9760117673163591</c:v>
              </c:pt>
              <c:pt idx="1">
                <c:v>-2.17954059090171</c:v>
              </c:pt>
            </c:numLit>
          </c:xVal>
          <c:yVal>
            <c:numLit>
              <c:formatCode>General</c:formatCode>
              <c:ptCount val="2"/>
              <c:pt idx="0">
                <c:v>1.3322516052611264E-2</c:v>
              </c:pt>
              <c:pt idx="1">
                <c:v>1.3159498539452934E-2</c:v>
              </c:pt>
            </c:numLit>
          </c:yVal>
          <c:smooth val="0"/>
          <c:extLst>
            <c:ext xmlns:c16="http://schemas.microsoft.com/office/drawing/2014/chart" uri="{C3380CC4-5D6E-409C-BE32-E72D297353CC}">
              <c16:uniqueId val="{000000DE-8F2E-4270-8906-1944D030A90F}"/>
            </c:ext>
          </c:extLst>
        </c:ser>
        <c:ser>
          <c:idx val="185"/>
          <c:order val="185"/>
          <c:spPr>
            <a:ln w="3175">
              <a:solidFill>
                <a:srgbClr val="000000"/>
              </a:solidFill>
              <a:prstDash val="solid"/>
            </a:ln>
          </c:spPr>
          <c:marker>
            <c:symbol val="none"/>
          </c:marker>
          <c:xVal>
            <c:numLit>
              <c:formatCode>General</c:formatCode>
              <c:ptCount val="2"/>
              <c:pt idx="0">
                <c:v>-1.7662294797563944</c:v>
              </c:pt>
              <c:pt idx="1">
                <c:v>-2.1642964574602397</c:v>
              </c:pt>
            </c:numLit>
          </c:xVal>
          <c:yVal>
            <c:numLit>
              <c:formatCode>General</c:formatCode>
              <c:ptCount val="2"/>
              <c:pt idx="0">
                <c:v>1.318210708405064E-2</c:v>
              </c:pt>
              <c:pt idx="1">
                <c:v>1.2850054530509953E-2</c:v>
              </c:pt>
            </c:numLit>
          </c:yVal>
          <c:smooth val="0"/>
          <c:extLst>
            <c:ext xmlns:c16="http://schemas.microsoft.com/office/drawing/2014/chart" uri="{C3380CC4-5D6E-409C-BE32-E72D297353CC}">
              <c16:uniqueId val="{000000DF-8F2E-4270-8906-1944D030A90F}"/>
            </c:ext>
          </c:extLst>
        </c:ser>
        <c:ser>
          <c:idx val="186"/>
          <c:order val="186"/>
          <c:spPr>
            <a:ln w="3175">
              <a:solidFill>
                <a:srgbClr val="000000"/>
              </a:solidFill>
              <a:prstDash val="solid"/>
            </a:ln>
          </c:spPr>
          <c:marker>
            <c:symbol val="none"/>
          </c:marker>
          <c:dLbls>
            <c:dLbl>
              <c:idx val="0"/>
              <c:tx>
                <c:rich>
                  <a:bodyPr rot="-2880000" vert="horz" wrap="square" lIns="38100" tIns="19050" rIns="38100" bIns="19050" anchor="ctr">
                    <a:spAutoFit/>
                  </a:bodyPr>
                  <a:lstStyle/>
                  <a:p>
                    <a:pPr algn="ctr">
                      <a:defRPr altLang="ja-JP" sz="600" u="none" strike="noStrike" baseline="0">
                        <a:latin typeface="ＭＳ Ｐ明朝"/>
                        <a:ea typeface="ＭＳ Ｐ明朝"/>
                        <a:cs typeface="ＭＳ Ｐ明朝"/>
                      </a:defRPr>
                    </a:pPr>
                    <a:r>
                      <a:rPr lang="en-US"/>
                      <a:t>3800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E0-8F2E-4270-8906-1944D030A90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-2.8940859165839559</c:v>
              </c:pt>
            </c:numLit>
          </c:xVal>
          <c:yVal>
            <c:numLit>
              <c:formatCode>General</c:formatCode>
              <c:ptCount val="1"/>
              <c:pt idx="0">
                <c:v>1.2241291515685362E-2</c:v>
              </c:pt>
            </c:numLit>
          </c:yVal>
          <c:smooth val="0"/>
          <c:extLst>
            <c:ext xmlns:c16="http://schemas.microsoft.com/office/drawing/2014/chart" uri="{C3380CC4-5D6E-409C-BE32-E72D297353CC}">
              <c16:uniqueId val="{000000E1-8F2E-4270-8906-1944D030A90F}"/>
            </c:ext>
          </c:extLst>
        </c:ser>
        <c:ser>
          <c:idx val="187"/>
          <c:order val="187"/>
          <c:spPr>
            <a:ln w="3175">
              <a:solidFill>
                <a:srgbClr val="000000"/>
              </a:solidFill>
              <a:prstDash val="solid"/>
            </a:ln>
          </c:spPr>
          <c:marker>
            <c:symbol val="none"/>
          </c:marker>
          <c:xVal>
            <c:numLit>
              <c:formatCode>General</c:formatCode>
              <c:ptCount val="147"/>
              <c:pt idx="0">
                <c:v>16.810229479756391</c:v>
              </c:pt>
              <c:pt idx="1">
                <c:v>16.588644396444685</c:v>
              </c:pt>
              <c:pt idx="2">
                <c:v>16.354668757094764</c:v>
              </c:pt>
              <c:pt idx="3">
                <c:v>16.107718156429225</c:v>
              </c:pt>
              <c:pt idx="4">
                <c:v>15.847219725836448</c:v>
              </c:pt>
              <c:pt idx="5">
                <c:v>15.572621851491188</c:v>
              </c:pt>
              <c:pt idx="6">
                <c:v>15.283405513946459</c:v>
              </c:pt>
              <c:pt idx="7">
                <c:v>14.97909728533833</c:v>
              </c:pt>
              <c:pt idx="8">
                <c:v>14.659283952235356</c:v>
              </c:pt>
              <c:pt idx="9">
                <c:v>14.323628642858322</c:v>
              </c:pt>
              <c:pt idx="10">
                <c:v>13.971888226311023</c:v>
              </c:pt>
              <c:pt idx="11">
                <c:v>13.603931620112528</c:v>
              </c:pt>
              <c:pt idx="12">
                <c:v>13.2197584950931</c:v>
              </c:pt>
              <c:pt idx="13">
                <c:v>12.819517711563606</c:v>
              </c:pt>
              <c:pt idx="14">
                <c:v>12.403524669547116</c:v>
              </c:pt>
              <c:pt idx="15">
                <c:v>11.972276624673018</c:v>
              </c:pt>
              <c:pt idx="16">
                <c:v>11.526464929155814</c:v>
              </c:pt>
              <c:pt idx="17">
                <c:v>11.066983124686066</c:v>
              </c:pt>
              <c:pt idx="18">
                <c:v>10.594929860498169</c:v>
              </c:pt>
              <c:pt idx="19">
                <c:v>10.111605750259969</c:v>
              </c:pt>
              <c:pt idx="20">
                <c:v>9.6185035223870123</c:v>
              </c:pt>
              <c:pt idx="21">
                <c:v>9.1172911549090987</c:v>
              </c:pt>
              <c:pt idx="22">
                <c:v>8.6097880993478064</c:v>
              </c:pt>
              <c:pt idx="23">
                <c:v>8.0979351556909851</c:v>
              </c:pt>
              <c:pt idx="24">
                <c:v>7.5837590188694071</c:v>
              </c:pt>
              <c:pt idx="25">
                <c:v>7.069332926750965</c:v>
              </c:pt>
              <c:pt idx="26">
                <c:v>6.5567351526053601</c:v>
              </c:pt>
              <c:pt idx="27">
                <c:v>6.048007262567018</c:v>
              </c:pt>
              <c:pt idx="28">
                <c:v>5.5451140781737465</c:v>
              </c:pt>
              <c:pt idx="29">
                <c:v>5.0499071430589693</c:v>
              </c:pt>
              <c:pt idx="30">
                <c:v>4.5640932094034081</c:v>
              </c:pt>
              <c:pt idx="31">
                <c:v>4.0892088691906565</c:v>
              </c:pt>
              <c:pt idx="32">
                <c:v>3.6266020041010818</c:v>
              </c:pt>
              <c:pt idx="33">
                <c:v>3.1774202657841126</c:v>
              </c:pt>
              <c:pt idx="34">
                <c:v>2.7426063708388666</c:v>
              </c:pt>
              <c:pt idx="35">
                <c:v>2.3228996376269366</c:v>
              </c:pt>
              <c:pt idx="36">
                <c:v>1.9188429271939578</c:v>
              </c:pt>
              <c:pt idx="37">
                <c:v>1.5307939862731423</c:v>
              </c:pt>
              <c:pt idx="38">
                <c:v>1.1589401224706948</c:v>
              </c:pt>
              <c:pt idx="39">
                <c:v>0.80331515702341572</c:v>
              </c:pt>
              <c:pt idx="40">
                <c:v>0.4638176802814884</c:v>
              </c:pt>
              <c:pt idx="41">
                <c:v>0.14022975872621024</c:v>
              </c:pt>
              <c:pt idx="42">
                <c:v>-0.16776460974090424</c:v>
              </c:pt>
              <c:pt idx="43">
                <c:v>-0.46056184007219381</c:v>
              </c:pt>
              <c:pt idx="44">
                <c:v>-0.73862230174342836</c:v>
              </c:pt>
              <c:pt idx="45">
                <c:v>-1.002455319966258</c:v>
              </c:pt>
              <c:pt idx="46">
                <c:v>-1.2526057824083219</c:v>
              </c:pt>
              <c:pt idx="47">
                <c:v>-1.4896424028400646</c:v>
              </c:pt>
              <c:pt idx="48">
                <c:v>-1.7141476200677335</c:v>
              </c:pt>
              <c:pt idx="49">
                <c:v>-1.9267090572547372</c:v>
              </c:pt>
              <c:pt idx="50">
                <c:v>-2.1279124307072412</c:v>
              </c:pt>
              <c:pt idx="51">
                <c:v>-2.3183357754510565</c:v>
              </c:pt>
              <c:pt idx="52">
                <c:v>-2.4985448444866902</c:v>
              </c:pt>
              <c:pt idx="53">
                <c:v>-2.669089536724063</c:v>
              </c:pt>
              <c:pt idx="54">
                <c:v>-2.8305012128620142</c:v>
              </c:pt>
              <c:pt idx="55">
                <c:v>-2.9832907668862556</c:v>
              </c:pt>
              <c:pt idx="56">
                <c:v>-3.1279473318097732</c:v>
              </c:pt>
              <c:pt idx="57">
                <c:v>-3.3947050354255355</c:v>
              </c:pt>
              <c:pt idx="58">
                <c:v>-3.6342329977636059</c:v>
              </c:pt>
              <c:pt idx="59">
                <c:v>-3.8496301535387389</c:v>
              </c:pt>
              <c:pt idx="60">
                <c:v>-4.0436530888624631</c:v>
              </c:pt>
              <c:pt idx="61">
                <c:v>-4.2187412428710447</c:v>
              </c:pt>
              <c:pt idx="62">
                <c:v>-4.3770457171884622</c:v>
              </c:pt>
              <c:pt idx="63">
                <c:v>-4.5204589487479616</c:v>
              </c:pt>
              <c:pt idx="64">
                <c:v>-4.6506435459878448</c:v>
              </c:pt>
              <c:pt idx="65">
                <c:v>-4.7690593110363508</c:v>
              </c:pt>
              <c:pt idx="66">
                <c:v>-4.8769879543111792</c:v>
              </c:pt>
              <c:pt idx="67">
                <c:v>-4.97555532075208</c:v>
              </c:pt>
              <c:pt idx="68">
                <c:v>-5.0657511406962898</c:v>
              </c:pt>
              <c:pt idx="69">
                <c:v>-5.1484464315058194</c:v>
              </c:pt>
              <c:pt idx="70">
                <c:v>-5.2244087358312541</c:v>
              </c:pt>
              <c:pt idx="71">
                <c:v>-5.2943154079273143</c:v>
              </c:pt>
              <c:pt idx="72">
                <c:v>-5.358765163744196</c:v>
              </c:pt>
              <c:pt idx="73">
                <c:v>-5.4182881023183391</c:v>
              </c:pt>
              <c:pt idx="74">
                <c:v>-5.4733543909858673</c:v>
              </c:pt>
              <c:pt idx="75">
                <c:v>-5.5243817887928159</c:v>
              </c:pt>
              <c:pt idx="76">
                <c:v>-5.571742163443429</c:v>
              </c:pt>
              <c:pt idx="77">
                <c:v>-5.6567529906365968</c:v>
              </c:pt>
              <c:pt idx="78">
                <c:v>-5.7306406407761212</c:v>
              </c:pt>
              <c:pt idx="79">
                <c:v>-5.7952165720117108</c:v>
              </c:pt>
              <c:pt idx="80">
                <c:v>-5.851947118469381</c:v>
              </c:pt>
              <c:pt idx="81">
                <c:v>-5.9020274437754896</c:v>
              </c:pt>
              <c:pt idx="82">
                <c:v>-6.0041567309797621</c:v>
              </c:pt>
              <c:pt idx="83">
                <c:v>-6.0816762741522021</c:v>
              </c:pt>
              <c:pt idx="84">
                <c:v>-6.1418165019856463</c:v>
              </c:pt>
              <c:pt idx="85">
                <c:v>-6.1893611787955249</c:v>
              </c:pt>
              <c:pt idx="86">
                <c:v>-6.2275685419443816</c:v>
              </c:pt>
              <c:pt idx="87">
                <c:v>-6.2587153367755777</c:v>
              </c:pt>
              <c:pt idx="88">
                <c:v>-6.3058961870318369</c:v>
              </c:pt>
              <c:pt idx="89">
                <c:v>-6.3394006467143074</c:v>
              </c:pt>
              <c:pt idx="90">
                <c:v>-6.3640278309235088</c:v>
              </c:pt>
              <c:pt idx="91">
                <c:v>-6.382648783342864</c:v>
              </c:pt>
              <c:pt idx="92">
                <c:v>-6.3970641036563771</c:v>
              </c:pt>
              <c:pt idx="93">
                <c:v>-6.436353647558132</c:v>
              </c:pt>
              <c:pt idx="94">
                <c:v>-6.4527022004217862</c:v>
              </c:pt>
              <c:pt idx="95">
                <c:v>-6.4658267837767367</c:v>
              </c:pt>
              <c:pt idx="96">
                <c:v>-6.4708678812703511</c:v>
              </c:pt>
              <c:pt idx="97">
                <c:v>-6.4780000000000006</c:v>
              </c:pt>
              <c:pt idx="98">
                <c:v>-6.4687544134534143</c:v>
              </c:pt>
              <c:pt idx="99">
                <c:v>-6.4607910353144655</c:v>
              </c:pt>
              <c:pt idx="100">
                <c:v>-6.4354532742589932</c:v>
              </c:pt>
              <c:pt idx="101">
                <c:v>-6.3946145573537017</c:v>
              </c:pt>
              <c:pt idx="102">
                <c:v>-6.3795129803289274</c:v>
              </c:pt>
              <c:pt idx="103">
                <c:v>-6.3599248979775851</c:v>
              </c:pt>
              <c:pt idx="104">
                <c:v>-6.3338909498930658</c:v>
              </c:pt>
              <c:pt idx="105">
                <c:v>-6.2982611859413211</c:v>
              </c:pt>
              <c:pt idx="106">
                <c:v>-6.2477177107241779</c:v>
              </c:pt>
              <c:pt idx="107">
                <c:v>-6.2141364364601657</c:v>
              </c:pt>
              <c:pt idx="108">
                <c:v>-6.1727292094729158</c:v>
              </c:pt>
              <c:pt idx="109">
                <c:v>-6.1208981028564446</c:v>
              </c:pt>
              <c:pt idx="110">
                <c:v>-6.0548906661909623</c:v>
              </c:pt>
              <c:pt idx="111">
                <c:v>-5.969139454636716</c:v>
              </c:pt>
              <c:pt idx="112">
                <c:v>-5.8551287645325596</c:v>
              </c:pt>
              <c:pt idx="113">
                <c:v>-5.7988285531075912</c:v>
              </c:pt>
              <c:pt idx="114">
                <c:v>-5.7347616757504305</c:v>
              </c:pt>
              <c:pt idx="115">
                <c:v>-5.6614799564344587</c:v>
              </c:pt>
              <c:pt idx="116">
                <c:v>-5.5771951197065643</c:v>
              </c:pt>
              <c:pt idx="117">
                <c:v>-5.4796832004534721</c:v>
              </c:pt>
              <c:pt idx="118">
                <c:v>-5.4251226750385708</c:v>
              </c:pt>
              <c:pt idx="119">
                <c:v>-5.3661582607451805</c:v>
              </c:pt>
              <c:pt idx="120">
                <c:v>-5.3023264552641391</c:v>
              </c:pt>
              <c:pt idx="121">
                <c:v>-5.2331047854998651</c:v>
              </c:pt>
              <c:pt idx="122">
                <c:v>-5.1579032706065853</c:v>
              </c:pt>
              <c:pt idx="123">
                <c:v>-5.0760545707644287</c:v>
              </c:pt>
              <c:pt idx="124">
                <c:v>-4.9868026312391578</c:v>
              </c:pt>
              <c:pt idx="125">
                <c:v>-4.889289615730835</c:v>
              </c:pt>
              <c:pt idx="126">
                <c:v>-4.7825409137469856</c:v>
              </c:pt>
              <c:pt idx="127">
                <c:v>-4.6654480091532298</c:v>
              </c:pt>
              <c:pt idx="128">
                <c:v>-4.5367490194500562</c:v>
              </c:pt>
              <c:pt idx="129">
                <c:v>-4.3950067701211761</c:v>
              </c:pt>
              <c:pt idx="130">
                <c:v>-4.2385843738412259</c:v>
              </c:pt>
              <c:pt idx="131">
                <c:v>-4.0656184666577015</c:v>
              </c:pt>
              <c:pt idx="132">
                <c:v>-3.8739905493226741</c:v>
              </c:pt>
              <c:pt idx="133">
                <c:v>-3.7704392439481627</c:v>
              </c:pt>
              <c:pt idx="134">
                <c:v>-3.6612973419810073</c:v>
              </c:pt>
              <c:pt idx="135">
                <c:v>-3.5462151642748525</c:v>
              </c:pt>
              <c:pt idx="136">
                <c:v>-3.4248217502543765</c:v>
              </c:pt>
              <c:pt idx="137">
                <c:v>-3.2967241795418643</c:v>
              </c:pt>
              <c:pt idx="138">
                <c:v>-3.1615070418306956</c:v>
              </c:pt>
              <c:pt idx="139">
                <c:v>-3.0187321044678757</c:v>
              </c:pt>
              <c:pt idx="140">
                <c:v>-2.8679382367257746</c:v>
              </c:pt>
              <c:pt idx="141">
                <c:v>-2.7086416603368892</c:v>
              </c:pt>
              <c:pt idx="142">
                <c:v>-2.5403366074235816</c:v>
              </c:pt>
              <c:pt idx="143">
                <c:v>-2.3624964792520693</c:v>
              </c:pt>
              <c:pt idx="144">
                <c:v>-2.1745756118950066</c:v>
              </c:pt>
              <c:pt idx="145">
                <c:v>-1.9760117673163591</c:v>
              </c:pt>
              <c:pt idx="146">
                <c:v>-1.7662294797563944</c:v>
              </c:pt>
            </c:numLit>
          </c:xVal>
          <c:yVal>
            <c:numLit>
              <c:formatCode>General</c:formatCode>
              <c:ptCount val="147"/>
              <c:pt idx="0">
                <c:v>2.8677892915949361E-2</c:v>
              </c:pt>
              <c:pt idx="1">
                <c:v>2.882017669794408E-2</c:v>
              </c:pt>
              <c:pt idx="2">
                <c:v>2.8964054945422545E-2</c:v>
              </c:pt>
              <c:pt idx="3">
                <c:v>2.9109197410386176E-2</c:v>
              </c:pt>
              <c:pt idx="4">
                <c:v>2.9255219725836449E-2</c:v>
              </c:pt>
              <c:pt idx="5">
                <c:v>2.9401679479707257E-2</c:v>
              </c:pt>
              <c:pt idx="6">
                <c:v>2.9548072789216489E-2</c:v>
              </c:pt>
              <c:pt idx="7">
                <c:v>2.9693831622722384E-2</c:v>
              </c:pt>
              <c:pt idx="8">
                <c:v>2.9838322153782595E-2</c:v>
              </c:pt>
              <c:pt idx="9">
                <c:v>2.9980844463909358E-2</c:v>
              </c:pt>
              <c:pt idx="10">
                <c:v>3.0120633931542337E-2</c:v>
              </c:pt>
              <c:pt idx="11">
                <c:v>3.0256864649135986E-2</c:v>
              </c:pt>
              <c:pt idx="12">
                <c:v>3.0388655191524186E-2</c:v>
              </c:pt>
              <c:pt idx="13">
                <c:v>3.0515077010490988E-2</c:v>
              </c:pt>
              <c:pt idx="14">
                <c:v>3.0635165647360473E-2</c:v>
              </c:pt>
              <c:pt idx="15">
                <c:v>3.0747934834256706E-2</c:v>
              </c:pt>
              <c:pt idx="16">
                <c:v>3.085239339588855E-2</c:v>
              </c:pt>
              <c:pt idx="17">
                <c:v>3.0947564672567929E-2</c:v>
              </c:pt>
              <c:pt idx="18">
                <c:v>3.1032507972748882E-2</c:v>
              </c:pt>
              <c:pt idx="19">
                <c:v>3.1106341346724724E-2</c:v>
              </c:pt>
              <c:pt idx="20">
                <c:v>3.1168264774375409E-2</c:v>
              </c:pt>
              <c:pt idx="21">
                <c:v>3.1217582704093288E-2</c:v>
              </c:pt>
              <c:pt idx="22">
                <c:v>3.1253724791923544E-2</c:v>
              </c:pt>
              <c:pt idx="23">
                <c:v>3.127626368973449E-2</c:v>
              </c:pt>
              <c:pt idx="24">
                <c:v>3.1284928830437236E-2</c:v>
              </c:pt>
              <c:pt idx="25">
                <c:v>3.1279615356557502E-2</c:v>
              </c:pt>
              <c:pt idx="26">
                <c:v>3.1260387622117129E-2</c:v>
              </c:pt>
              <c:pt idx="27">
                <c:v>3.1227477040677638E-2</c:v>
              </c:pt>
              <c:pt idx="28">
                <c:v>3.1181274419367078E-2</c:v>
              </c:pt>
              <c:pt idx="29">
                <c:v>3.1122317270830653E-2</c:v>
              </c:pt>
              <c:pt idx="30">
                <c:v>3.1051272895714872E-2</c:v>
              </c:pt>
              <c:pt idx="31">
                <c:v>3.0968918248820355E-2</c:v>
              </c:pt>
              <c:pt idx="32">
                <c:v>3.0876117725569325E-2</c:v>
              </c:pt>
              <c:pt idx="33">
                <c:v>3.0773800028426088E-2</c:v>
              </c:pt>
              <c:pt idx="34">
                <c:v>3.0662935204324095E-2</c:v>
              </c:pt>
              <c:pt idx="35">
                <c:v>3.0544512802476664E-2</c:v>
              </c:pt>
              <c:pt idx="36">
                <c:v>3.04195219111833E-2</c:v>
              </c:pt>
              <c:pt idx="37">
                <c:v>3.0288933617716181E-2</c:v>
              </c:pt>
              <c:pt idx="38">
                <c:v>3.0153686220164965E-2</c:v>
              </c:pt>
              <c:pt idx="39">
                <c:v>3.0014673322626941E-2</c:v>
              </c:pt>
              <c:pt idx="40">
                <c:v>2.9872734777880133E-2</c:v>
              </c:pt>
              <c:pt idx="41">
                <c:v>2.9728650311281322E-2</c:v>
              </c:pt>
              <c:pt idx="42">
                <c:v>2.95831355675608E-2</c:v>
              </c:pt>
              <c:pt idx="43">
                <c:v>2.9436840266009144E-2</c:v>
              </c:pt>
              <c:pt idx="44">
                <c:v>2.9290348124299693E-2</c:v>
              </c:pt>
              <c:pt idx="45">
                <c:v>2.9144178210618831E-2</c:v>
              </c:pt>
              <c:pt idx="46">
                <c:v>2.8998787401373648E-2</c:v>
              </c:pt>
              <c:pt idx="47">
                <c:v>2.8854573651448525E-2</c:v>
              </c:pt>
              <c:pt idx="48">
                <c:v>2.8711879820593082E-2</c:v>
              </c:pt>
              <c:pt idx="49">
                <c:v>2.8570997838905359E-2</c:v>
              </c:pt>
              <c:pt idx="50">
                <c:v>2.8432173033455556E-2</c:v>
              </c:pt>
              <c:pt idx="51">
                <c:v>2.8295608474779587E-2</c:v>
              </c:pt>
              <c:pt idx="52">
                <c:v>2.8161469234973899E-2</c:v>
              </c:pt>
              <c:pt idx="53">
                <c:v>2.8029886477800841E-2</c:v>
              </c:pt>
              <c:pt idx="54">
                <c:v>2.7900961325394373E-2</c:v>
              </c:pt>
              <c:pt idx="55">
                <c:v>2.777476846598936E-2</c:v>
              </c:pt>
              <c:pt idx="56">
                <c:v>2.765135948293641E-2</c:v>
              </c:pt>
              <c:pt idx="57">
                <c:v>2.741300192776747E-2</c:v>
              </c:pt>
              <c:pt idx="58">
                <c:v>2.7185947823718054E-2</c:v>
              </c:pt>
              <c:pt idx="59">
                <c:v>2.6970052763706429E-2</c:v>
              </c:pt>
              <c:pt idx="60">
                <c:v>2.6765028589466222E-2</c:v>
              </c:pt>
              <c:pt idx="61">
                <c:v>2.6570489823461451E-2</c:v>
              </c:pt>
              <c:pt idx="62">
                <c:v>2.6385989057197627E-2</c:v>
              </c:pt>
              <c:pt idx="63">
                <c:v>2.6211043462266981E-2</c:v>
              </c:pt>
              <c:pt idx="64">
                <c:v>2.6045154305456879E-2</c:v>
              </c:pt>
              <c:pt idx="65">
                <c:v>2.5887821037250434E-2</c:v>
              </c:pt>
              <c:pt idx="66">
                <c:v>2.573855122669123E-2</c:v>
              </c:pt>
              <c:pt idx="67">
                <c:v>2.5596867354371416E-2</c:v>
              </c:pt>
              <c:pt idx="68">
                <c:v>2.5462311255383133E-2</c:v>
              </c:pt>
              <c:pt idx="69">
                <c:v>2.5334446824497189E-2</c:v>
              </c:pt>
              <c:pt idx="70">
                <c:v>2.5212861452320056E-2</c:v>
              </c:pt>
              <c:pt idx="71">
                <c:v>2.5097166548278888E-2</c:v>
              </c:pt>
              <c:pt idx="72">
                <c:v>2.4986997418511792E-2</c:v>
              </c:pt>
              <c:pt idx="73">
                <c:v>2.4882012699129402E-2</c:v>
              </c:pt>
              <c:pt idx="74">
                <c:v>2.4781893493615731E-2</c:v>
              </c:pt>
              <c:pt idx="75">
                <c:v>2.4686342323848191E-2</c:v>
              </c:pt>
              <c:pt idx="76">
                <c:v>2.4595081974519786E-2</c:v>
              </c:pt>
              <c:pt idx="77">
                <c:v>2.4424418953236802E-2</c:v>
              </c:pt>
              <c:pt idx="78">
                <c:v>2.4268046190440859E-2</c:v>
              </c:pt>
              <c:pt idx="79">
                <c:v>2.4124353808164946E-2</c:v>
              </c:pt>
              <c:pt idx="80">
                <c:v>2.3991946017564908E-2</c:v>
              </c:pt>
              <c:pt idx="81">
                <c:v>2.3869610711458024E-2</c:v>
              </c:pt>
              <c:pt idx="82">
                <c:v>2.3601243359121643E-2</c:v>
              </c:pt>
              <c:pt idx="83">
                <c:v>2.3376424442580822E-2</c:v>
              </c:pt>
              <c:pt idx="84">
                <c:v>2.3185628388742628E-2</c:v>
              </c:pt>
              <c:pt idx="85">
                <c:v>2.3021845518026735E-2</c:v>
              </c:pt>
              <c:pt idx="86">
                <c:v>2.2879826043585575E-2</c:v>
              </c:pt>
              <c:pt idx="87">
                <c:v>2.2755572771766694E-2</c:v>
              </c:pt>
              <c:pt idx="88">
                <c:v>2.2548671580655582E-2</c:v>
              </c:pt>
              <c:pt idx="89">
                <c:v>2.2383467693411988E-2</c:v>
              </c:pt>
              <c:pt idx="90">
                <c:v>2.2248609023778468E-2</c:v>
              </c:pt>
              <c:pt idx="91">
                <c:v>2.2136492726931425E-2</c:v>
              </c:pt>
              <c:pt idx="92">
                <c:v>2.2041845203134694E-2</c:v>
              </c:pt>
              <c:pt idx="93">
                <c:v>2.172811889106761E-2</c:v>
              </c:pt>
              <c:pt idx="94">
                <c:v>2.1552224945278583E-2</c:v>
              </c:pt>
              <c:pt idx="95">
                <c:v>2.1361728347072451E-2</c:v>
              </c:pt>
              <c:pt idx="96">
                <c:v>2.1260488451156453E-2</c:v>
              </c:pt>
              <c:pt idx="97">
                <c:v>2.0930000000000001E-2</c:v>
              </c:pt>
              <c:pt idx="98">
                <c:v>2.0553731515266696E-2</c:v>
              </c:pt>
              <c:pt idx="99">
                <c:v>2.0416729629222568E-2</c:v>
              </c:pt>
              <c:pt idx="100">
                <c:v>2.0123312766063169E-2</c:v>
              </c:pt>
              <c:pt idx="101">
                <c:v>1.9801504574826875E-2</c:v>
              </c:pt>
              <c:pt idx="102">
                <c:v>1.9703897767998347E-2</c:v>
              </c:pt>
              <c:pt idx="103">
                <c:v>1.9587964977189561E-2</c:v>
              </c:pt>
              <c:pt idx="104">
                <c:v>1.9448070774442654E-2</c:v>
              </c:pt>
              <c:pt idx="105">
                <c:v>1.9276040595639192E-2</c:v>
              </c:pt>
              <c:pt idx="106">
                <c:v>1.9059579257765528E-2</c:v>
              </c:pt>
              <c:pt idx="107">
                <c:v>1.8929051078036645E-2</c:v>
              </c:pt>
              <c:pt idx="108">
                <c:v>1.8779375962421206E-2</c:v>
              </c:pt>
              <c:pt idx="109">
                <c:v>1.8606133509740334E-2</c:v>
              </c:pt>
              <c:pt idx="110">
                <c:v>1.8403482795007753E-2</c:v>
              </c:pt>
              <c:pt idx="111">
                <c:v>1.8163573931641964E-2</c:v>
              </c:pt>
              <c:pt idx="112">
                <c:v>1.7875666923032288E-2</c:v>
              </c:pt>
              <c:pt idx="113">
                <c:v>1.7743895976123102E-2</c:v>
              </c:pt>
              <c:pt idx="114">
                <c:v>1.7600918061456586E-2</c:v>
              </c:pt>
              <c:pt idx="115">
                <c:v>1.7445349228540973E-2</c:v>
              </c:pt>
              <c:pt idx="116">
                <c:v>1.7275593374812867E-2</c:v>
              </c:pt>
              <c:pt idx="117">
                <c:v>1.7089808191527837E-2</c:v>
              </c:pt>
              <c:pt idx="118">
                <c:v>1.6990252446736603E-2</c:v>
              </c:pt>
              <c:pt idx="119">
                <c:v>1.6885867994288942E-2</c:v>
              </c:pt>
              <c:pt idx="120">
                <c:v>1.677633856600267E-2</c:v>
              </c:pt>
              <c:pt idx="121">
                <c:v>1.6661325544174033E-2</c:v>
              </c:pt>
              <c:pt idx="122">
                <c:v>1.6540467071496829E-2</c:v>
              </c:pt>
              <c:pt idx="123">
                <c:v>1.6413377441842833E-2</c:v>
              </c:pt>
              <c:pt idx="124">
                <c:v>1.6279646915363419E-2</c:v>
              </c:pt>
              <c:pt idx="125">
                <c:v>1.6138842151410121E-2</c:v>
              </c:pt>
              <c:pt idx="126">
                <c:v>1.599050751826438E-2</c:v>
              </c:pt>
              <c:pt idx="127">
                <c:v>1.5834167623770514E-2</c:v>
              </c:pt>
              <c:pt idx="128">
                <c:v>1.5669331520569488E-2</c:v>
              </c:pt>
              <c:pt idx="129">
                <c:v>1.5495499179174118E-2</c:v>
              </c:pt>
              <c:pt idx="130">
                <c:v>1.5312170997110987E-2</c:v>
              </c:pt>
              <c:pt idx="131">
                <c:v>1.5118861327289309E-2</c:v>
              </c:pt>
              <c:pt idx="132">
                <c:v>1.4915117265152884E-2</c:v>
              </c:pt>
              <c:pt idx="133">
                <c:v>1.4809205883937578E-2</c:v>
              </c:pt>
              <c:pt idx="134">
                <c:v>1.4700544227002829E-2</c:v>
              </c:pt>
              <c:pt idx="135">
                <c:v>1.4589097690626144E-2</c:v>
              </c:pt>
              <c:pt idx="136">
                <c:v>1.4474840163683531E-2</c:v>
              </c:pt>
              <c:pt idx="137">
                <c:v>1.4357755721848364E-2</c:v>
              </c:pt>
              <c:pt idx="138">
                <c:v>1.4237840545403689E-2</c:v>
              </c:pt>
              <c:pt idx="139">
                <c:v>1.4115105078987998E-2</c:v>
              </c:pt>
              <c:pt idx="140">
                <c:v>1.3989576450102176E-2</c:v>
              </c:pt>
              <c:pt idx="141">
                <c:v>1.3861301160508996E-2</c:v>
              </c:pt>
              <c:pt idx="142">
                <c:v>1.3730348060406742E-2</c:v>
              </c:pt>
              <c:pt idx="143">
                <c:v>1.3596811609050458E-2</c:v>
              </c:pt>
              <c:pt idx="144">
                <c:v>1.3460815416871075E-2</c:v>
              </c:pt>
              <c:pt idx="145">
                <c:v>1.3322516052611264E-2</c:v>
              </c:pt>
              <c:pt idx="146">
                <c:v>1.318210708405064E-2</c:v>
              </c:pt>
            </c:numLit>
          </c:yVal>
          <c:smooth val="1"/>
          <c:extLst>
            <c:ext xmlns:c16="http://schemas.microsoft.com/office/drawing/2014/chart" uri="{C3380CC4-5D6E-409C-BE32-E72D297353CC}">
              <c16:uniqueId val="{000000E2-8F2E-4270-8906-1944D030A90F}"/>
            </c:ext>
          </c:extLst>
        </c:ser>
        <c:ser>
          <c:idx val="188"/>
          <c:order val="188"/>
          <c:tx>
            <c:v>熱水分比基点</c:v>
          </c:tx>
          <c:spPr>
            <a:ln w="3175">
              <a:solidFill>
                <a:srgbClr val="000000"/>
              </a:solidFill>
              <a:prstDash val="solid"/>
            </a:ln>
          </c:spPr>
          <c:marker>
            <c:symbol val="circle"/>
            <c:size val="10"/>
            <c:spPr>
              <a:noFill/>
              <a:ln>
                <a:solidFill>
                  <a:srgbClr val="808080"/>
                </a:solidFill>
                <a:prstDash val="solid"/>
              </a:ln>
              <a:extLst>
                <a:ext uri="{909E8E84-426E-40DD-AFC4-6F175D3DCCD1}">
                  <a14:hiddenFill xmlns:a14="http://schemas.microsoft.com/office/drawing/2010/main">
                    <a:solidFill>
                      <a:srgbClr val="A5A5A5">
                        <a:tint val="35000"/>
                      </a:srgbClr>
                    </a:solidFill>
                  </a14:hiddenFill>
                </a:ext>
              </a:extLst>
            </c:spPr>
          </c:marker>
          <c:xVal>
            <c:numLit>
              <c:formatCode>General</c:formatCode>
              <c:ptCount val="1"/>
              <c:pt idx="0">
                <c:v>7.5219999999999994</c:v>
              </c:pt>
            </c:numLit>
          </c:xVal>
          <c:yVal>
            <c:numLit>
              <c:formatCode>General</c:formatCode>
              <c:ptCount val="1"/>
              <c:pt idx="0">
                <c:v>2.0930000000000001E-2</c:v>
              </c:pt>
            </c:numLit>
          </c:yVal>
          <c:smooth val="0"/>
          <c:extLst>
            <c:ext xmlns:c16="http://schemas.microsoft.com/office/drawing/2014/chart" uri="{C3380CC4-5D6E-409C-BE32-E72D297353CC}">
              <c16:uniqueId val="{000000E3-8F2E-4270-8906-1944D030A90F}"/>
            </c:ext>
          </c:extLst>
        </c:ser>
        <c:ser>
          <c:idx val="189"/>
          <c:order val="189"/>
          <c:tx>
            <c:v>熱水分比基点</c:v>
          </c:tx>
          <c:spPr>
            <a:ln w="3175">
              <a:solidFill>
                <a:srgbClr val="000000"/>
              </a:solidFill>
              <a:prstDash val="solid"/>
            </a:ln>
          </c:spPr>
          <c:marker>
            <c:symbol val="plus"/>
            <c:size val="10"/>
            <c:spPr>
              <a:noFill/>
              <a:ln>
                <a:solidFill>
                  <a:srgbClr val="808080"/>
                </a:solidFill>
                <a:prstDash val="solid"/>
              </a:ln>
              <a:extLst>
                <a:ext uri="{909E8E84-426E-40DD-AFC4-6F175D3DCCD1}">
                  <a14:hiddenFill xmlns:a14="http://schemas.microsoft.com/office/drawing/2010/main">
                    <a:solidFill>
                      <a:srgbClr val="FFC000">
                        <a:tint val="35000"/>
                      </a:srgbClr>
                    </a:solidFill>
                  </a14:hiddenFill>
                </a:ext>
              </a:extLst>
            </c:spPr>
          </c:marker>
          <c:xVal>
            <c:numLit>
              <c:formatCode>General</c:formatCode>
              <c:ptCount val="1"/>
              <c:pt idx="0">
                <c:v>7.5219999999999994</c:v>
              </c:pt>
            </c:numLit>
          </c:xVal>
          <c:yVal>
            <c:numLit>
              <c:formatCode>General</c:formatCode>
              <c:ptCount val="1"/>
              <c:pt idx="0">
                <c:v>2.0930000000000001E-2</c:v>
              </c:pt>
            </c:numLit>
          </c:yVal>
          <c:smooth val="0"/>
          <c:extLst>
            <c:ext xmlns:c16="http://schemas.microsoft.com/office/drawing/2014/chart" uri="{C3380CC4-5D6E-409C-BE32-E72D297353CC}">
              <c16:uniqueId val="{000000E4-8F2E-4270-8906-1944D030A90F}"/>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0B28-4903-AA2E-7B40D0C5C481}"/>
            </c:ext>
          </c:extLst>
        </c:ser>
        <c:ser>
          <c:idx val="1"/>
          <c:order val="1"/>
          <c:tx>
            <c:v>RH=10_1</c:v>
          </c:tx>
          <c:spPr>
            <a:ln w="3175">
              <a:solidFill>
                <a:srgbClr val="0000FF"/>
              </a:solidFill>
              <a:prstDash val="solid"/>
            </a:ln>
          </c:spPr>
          <c:marker>
            <c:symbol val="none"/>
          </c:marker>
          <c:xVal>
            <c:numLit>
              <c:formatCode>General</c:formatCode>
              <c:ptCount val="38"/>
              <c:pt idx="0">
                <c:v>-10.0177756677797</c:v>
              </c:pt>
              <c:pt idx="1">
                <c:v>-9.0190959721921065</c:v>
              </c:pt>
              <c:pt idx="2">
                <c:v>-8.0204947203038497</c:v>
              </c:pt>
              <c:pt idx="3">
                <c:v>-7.0219748302109002</c:v>
              </c:pt>
              <c:pt idx="4">
                <c:v>-6.0235391639546627</c:v>
              </c:pt>
              <c:pt idx="5">
                <c:v>-5.0251905057455675</c:v>
              </c:pt>
              <c:pt idx="6">
                <c:v>-4.0269315379580988</c:v>
              </c:pt>
              <c:pt idx="7">
                <c:v>-3.0287648147507311</c:v>
              </c:pt>
              <c:pt idx="8">
                <c:v>-2.0306927331577049</c:v>
              </c:pt>
              <c:pt idx="9">
                <c:v>-1.0327175014929011</c:v>
              </c:pt>
              <c:pt idx="10">
                <c:v>-3.484110489918895E-2</c:v>
              </c:pt>
              <c:pt idx="11">
                <c:v>0.96328939591528173</c:v>
              </c:pt>
              <c:pt idx="12">
                <c:v>1.9613621474223808</c:v>
              </c:pt>
              <c:pt idx="13">
                <c:v>2.9593749622169305</c:v>
              </c:pt>
              <c:pt idx="14">
                <c:v>3.9573294009540501</c:v>
              </c:pt>
              <c:pt idx="15">
                <c:v>4.9552274207672413</c:v>
              </c:pt>
              <c:pt idx="16">
                <c:v>5.9530704719223664</c:v>
              </c:pt>
              <c:pt idx="17">
                <c:v>6.9508622511413787</c:v>
              </c:pt>
              <c:pt idx="18">
                <c:v>7.9486061034176085</c:v>
              </c:pt>
              <c:pt idx="19">
                <c:v>8.946305910300195</c:v>
              </c:pt>
              <c:pt idx="20">
                <c:v>9.9439661291778094</c:v>
              </c:pt>
              <c:pt idx="21">
                <c:v>10.941590669234015</c:v>
              </c:pt>
              <c:pt idx="22">
                <c:v>11.939186333734822</c:v>
              </c:pt>
              <c:pt idx="23">
                <c:v>12.936759560270477</c:v>
              </c:pt>
              <c:pt idx="24">
                <c:v>13.934317538581611</c:v>
              </c:pt>
              <c:pt idx="25">
                <c:v>14.931868259472157</c:v>
              </c:pt>
              <c:pt idx="26">
                <c:v>15.929420565788638</c:v>
              </c:pt>
              <c:pt idx="27">
                <c:v>16.926984205518398</c:v>
              </c:pt>
              <c:pt idx="28">
                <c:v>17.9245698870604</c:v>
              </c:pt>
              <c:pt idx="29">
                <c:v>18.922189336723491</c:v>
              </c:pt>
              <c:pt idx="30">
                <c:v>19.919855358508599</c:v>
              </c:pt>
              <c:pt idx="31">
                <c:v>20.917581896232608</c:v>
              </c:pt>
              <c:pt idx="32">
                <c:v>21.915384098053682</c:v>
              </c:pt>
              <c:pt idx="33">
                <c:v>22.913278383459538</c:v>
              </c:pt>
              <c:pt idx="34">
                <c:v>23.911282512782485</c:v>
              </c:pt>
              <c:pt idx="35">
                <c:v>24.909415659307243</c:v>
              </c:pt>
              <c:pt idx="36">
                <c:v>25.907696639619608</c:v>
              </c:pt>
              <c:pt idx="37">
                <c:v>26.317040192907807</c:v>
              </c:pt>
            </c:numLit>
          </c:xVal>
          <c:yVal>
            <c:numLit>
              <c:formatCode>General</c:formatCode>
              <c:ptCount val="38"/>
              <c:pt idx="0">
                <c:v>1.6023585830088701E-4</c:v>
              </c:pt>
              <c:pt idx="1">
                <c:v>1.7505511231326874E-4</c:v>
              </c:pt>
              <c:pt idx="2">
                <c:v>1.911168763966824E-4</c:v>
              </c:pt>
              <c:pt idx="3">
                <c:v>2.0851423497609411E-4</c:v>
              </c:pt>
              <c:pt idx="4">
                <c:v>2.2734637997686826E-4</c:v>
              </c:pt>
              <c:pt idx="5">
                <c:v>2.4771895190655777E-4</c:v>
              </c:pt>
              <c:pt idx="6">
                <c:v>2.6974439651381417E-4</c:v>
              </c:pt>
              <c:pt idx="7">
                <c:v>2.9354233758607893E-4</c:v>
              </c:pt>
              <c:pt idx="8">
                <c:v>3.1923996646661596E-4</c:v>
              </c:pt>
              <c:pt idx="9">
                <c:v>3.4697244889161612E-4</c:v>
              </c:pt>
              <c:pt idx="10">
                <c:v>3.7688334976972127E-4</c:v>
              </c:pt>
              <c:pt idx="11">
                <c:v>4.0521031061253583E-4</c:v>
              </c:pt>
              <c:pt idx="12">
                <c:v>4.3536827613222564E-4</c:v>
              </c:pt>
              <c:pt idx="13">
                <c:v>4.6749929089188232E-4</c:v>
              </c:pt>
              <c:pt idx="14">
                <c:v>5.0171368209707661E-4</c:v>
              </c:pt>
              <c:pt idx="15">
                <c:v>5.3812681849648315E-4</c:v>
              </c:pt>
              <c:pt idx="16">
                <c:v>5.7687078746455054E-4</c:v>
              </c:pt>
              <c:pt idx="17">
                <c:v>6.1806170732398903E-4</c:v>
              </c:pt>
              <c:pt idx="18">
                <c:v>6.6183128471435158E-4</c:v>
              </c:pt>
              <c:pt idx="19">
                <c:v>7.0831699761347128E-4</c:v>
              </c:pt>
              <c:pt idx="20">
                <c:v>7.5766228557958958E-4</c:v>
              </c:pt>
              <c:pt idx="21">
                <c:v>8.100329025445516E-4</c:v>
              </c:pt>
              <c:pt idx="22">
                <c:v>8.6557085827349055E-4</c:v>
              </c:pt>
              <c:pt idx="23">
                <c:v>9.244388603298438E-4</c:v>
              </c:pt>
              <c:pt idx="24">
                <c:v>9.8680639466692979E-4</c:v>
              </c:pt>
              <c:pt idx="25">
                <c:v>1.0528499381107718E-3</c:v>
              </c:pt>
              <c:pt idx="26">
                <c:v>1.1227531754685466E-3</c:v>
              </c:pt>
              <c:pt idx="27">
                <c:v>1.196707221383005E-3</c:v>
              </c:pt>
              <c:pt idx="28">
                <c:v>1.2749108470638381E-3</c:v>
              </c:pt>
              <c:pt idx="29">
                <c:v>1.357570712039002E-3</c:v>
              </c:pt>
              <c:pt idx="30">
                <c:v>1.4449016010815252E-3</c:v>
              </c:pt>
              <c:pt idx="31">
                <c:v>1.5371266664811695E-3</c:v>
              </c:pt>
              <c:pt idx="32">
                <c:v>1.6344776758448051E-3</c:v>
              </c:pt>
              <c:pt idx="33">
                <c:v>1.7371952656253776E-3</c:v>
              </c:pt>
              <c:pt idx="34">
                <c:v>1.8455292005959472E-3</c:v>
              </c:pt>
              <c:pt idx="35">
                <c:v>1.9597386395035048E-3</c:v>
              </c:pt>
              <c:pt idx="36">
                <c:v>2.0801339727301582E-3</c:v>
              </c:pt>
              <c:pt idx="37">
                <c:v>2.1313379082339733E-3</c:v>
              </c:pt>
            </c:numLit>
          </c:yVal>
          <c:smooth val="1"/>
          <c:extLst>
            <c:ext xmlns:c16="http://schemas.microsoft.com/office/drawing/2014/chart" uri="{C3380CC4-5D6E-409C-BE32-E72D297353CC}">
              <c16:uniqueId val="{00000001-0B28-4903-AA2E-7B40D0C5C481}"/>
            </c:ext>
          </c:extLst>
        </c:ser>
        <c:ser>
          <c:idx val="2"/>
          <c:order val="2"/>
          <c:tx>
            <c:v>RH=10_Label1</c:v>
          </c:tx>
          <c:spPr>
            <a:ln w="3175">
              <a:solidFill>
                <a:srgbClr val="0000FF"/>
              </a:solidFill>
              <a:prstDash val="solid"/>
            </a:ln>
          </c:spPr>
          <c:marker>
            <c:symbol val="none"/>
          </c:marker>
          <c:dLbls>
            <c:dLbl>
              <c:idx val="0"/>
              <c:tx>
                <c:rich>
                  <a:bodyPr rot="-6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10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B28-4903-AA2E-7B40D0C5C4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27.065919432379985</c:v>
              </c:pt>
            </c:numLit>
          </c:xVal>
          <c:yVal>
            <c:numLit>
              <c:formatCode>General</c:formatCode>
              <c:ptCount val="1"/>
              <c:pt idx="0">
                <c:v>2.2278649752776442E-3</c:v>
              </c:pt>
            </c:numLit>
          </c:yVal>
          <c:smooth val="0"/>
          <c:extLst>
            <c:ext xmlns:c16="http://schemas.microsoft.com/office/drawing/2014/chart" uri="{C3380CC4-5D6E-409C-BE32-E72D297353CC}">
              <c16:uniqueId val="{00000003-0B28-4903-AA2E-7B40D0C5C481}"/>
            </c:ext>
          </c:extLst>
        </c:ser>
        <c:ser>
          <c:idx val="3"/>
          <c:order val="3"/>
          <c:tx>
            <c:v>RH=10_2</c:v>
          </c:tx>
          <c:spPr>
            <a:ln w="3175">
              <a:solidFill>
                <a:srgbClr val="0000FF"/>
              </a:solidFill>
              <a:prstDash val="solid"/>
            </a:ln>
          </c:spPr>
          <c:marker>
            <c:symbol val="none"/>
          </c:marker>
          <c:xVal>
            <c:numLit>
              <c:formatCode>General</c:formatCode>
              <c:ptCount val="21"/>
              <c:pt idx="0">
                <c:v>27.804923631172404</c:v>
              </c:pt>
              <c:pt idx="1">
                <c:v>28.803770180784756</c:v>
              </c:pt>
              <c:pt idx="2">
                <c:v>29.802862673887123</c:v>
              </c:pt>
              <c:pt idx="3">
                <c:v>30.802230253577527</c:v>
              </c:pt>
              <c:pt idx="4">
                <c:v>31.801904052668917</c:v>
              </c:pt>
              <c:pt idx="5">
                <c:v>32.801917289185013</c:v>
              </c:pt>
              <c:pt idx="6">
                <c:v>33.802305365200944</c:v>
              </c:pt>
              <c:pt idx="7">
                <c:v>34.803105969135679</c:v>
              </c:pt>
              <c:pt idx="8">
                <c:v>35.804359181609868</c:v>
              </c:pt>
              <c:pt idx="9">
                <c:v>36.806107584989242</c:v>
              </c:pt>
              <c:pt idx="10">
                <c:v>37.808396376741563</c:v>
              </c:pt>
              <c:pt idx="11">
                <c:v>38.811273486743076</c:v>
              </c:pt>
              <c:pt idx="12">
                <c:v>39.81478969867927</c:v>
              </c:pt>
              <c:pt idx="13">
                <c:v>40.818998044575913</c:v>
              </c:pt>
              <c:pt idx="14">
                <c:v>41.823956140919336</c:v>
              </c:pt>
              <c:pt idx="15">
                <c:v>42.829724214366031</c:v>
              </c:pt>
              <c:pt idx="16">
                <c:v>43.836365792343038</c:v>
              </c:pt>
              <c:pt idx="17">
                <c:v>44.843947933065749</c:v>
              </c:pt>
              <c:pt idx="18">
                <c:v>45.852541375331619</c:v>
              </c:pt>
              <c:pt idx="19">
                <c:v>46.86222069374503</c:v>
              </c:pt>
              <c:pt idx="20">
                <c:v>47.165347874114275</c:v>
              </c:pt>
            </c:numLit>
          </c:xVal>
          <c:yVal>
            <c:numLit>
              <c:formatCode>General</c:formatCode>
              <c:ptCount val="21"/>
              <c:pt idx="0">
                <c:v>2.3268337235576001E-3</c:v>
              </c:pt>
              <c:pt idx="1">
                <c:v>2.466676811153637E-3</c:v>
              </c:pt>
              <c:pt idx="2">
                <c:v>2.6138166712018933E-3</c:v>
              </c:pt>
              <c:pt idx="3">
                <c:v>2.7685741400948331E-3</c:v>
              </c:pt>
              <c:pt idx="4">
                <c:v>2.9312815010714525E-3</c:v>
              </c:pt>
              <c:pt idx="5">
                <c:v>3.1022828107865022E-3</c:v>
              </c:pt>
              <c:pt idx="6">
                <c:v>3.2819342352185372E-3</c:v>
              </c:pt>
              <c:pt idx="7">
                <c:v>3.4706043954107185E-3</c:v>
              </c:pt>
              <c:pt idx="8">
                <c:v>3.6686747235745365E-3</c:v>
              </c:pt>
              <c:pt idx="9">
                <c:v>3.87653983012467E-3</c:v>
              </c:pt>
              <c:pt idx="10">
                <c:v>4.094607882253176E-3</c:v>
              </c:pt>
              <c:pt idx="11">
                <c:v>4.3233009946946083E-3</c:v>
              </c:pt>
              <c:pt idx="12">
                <c:v>4.5630556333788666E-3</c:v>
              </c:pt>
              <c:pt idx="13">
                <c:v>4.8143664868622081E-3</c:v>
              </c:pt>
              <c:pt idx="14">
                <c:v>5.0776664167760535E-3</c:v>
              </c:pt>
              <c:pt idx="15">
                <c:v>5.3534333142334486E-3</c:v>
              </c:pt>
              <c:pt idx="16">
                <c:v>5.6421657767406772E-3</c:v>
              </c:pt>
              <c:pt idx="17">
                <c:v>5.9443790149535658E-3</c:v>
              </c:pt>
              <c:pt idx="18">
                <c:v>6.2606053522673184E-3</c:v>
              </c:pt>
              <c:pt idx="19">
                <c:v>6.5913947437551716E-3</c:v>
              </c:pt>
              <c:pt idx="20">
                <c:v>6.693555806651999E-3</c:v>
              </c:pt>
            </c:numLit>
          </c:yVal>
          <c:smooth val="1"/>
          <c:extLst>
            <c:ext xmlns:c16="http://schemas.microsoft.com/office/drawing/2014/chart" uri="{C3380CC4-5D6E-409C-BE32-E72D297353CC}">
              <c16:uniqueId val="{00000004-0B28-4903-AA2E-7B40D0C5C481}"/>
            </c:ext>
          </c:extLst>
        </c:ser>
        <c:ser>
          <c:idx val="4"/>
          <c:order val="4"/>
          <c:tx>
            <c:v>RH=10_Label2</c:v>
          </c:tx>
          <c:spPr>
            <a:ln w="3175">
              <a:solidFill>
                <a:srgbClr val="0000FF"/>
              </a:solidFill>
              <a:prstDash val="solid"/>
            </a:ln>
          </c:spPr>
          <c:marker>
            <c:symbol val="none"/>
          </c:marker>
          <c:dLbls>
            <c:dLbl>
              <c:idx val="0"/>
              <c:tx>
                <c:rich>
                  <a:bodyPr rot="-15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10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B28-4903-AA2E-7B40D0C5C4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47.468582019792713</c:v>
              </c:pt>
            </c:numLit>
          </c:xVal>
          <c:yVal>
            <c:numLit>
              <c:formatCode>General</c:formatCode>
              <c:ptCount val="1"/>
              <c:pt idx="0">
                <c:v>6.7970942125870166E-3</c:v>
              </c:pt>
            </c:numLit>
          </c:yVal>
          <c:smooth val="0"/>
          <c:extLst>
            <c:ext xmlns:c16="http://schemas.microsoft.com/office/drawing/2014/chart" uri="{C3380CC4-5D6E-409C-BE32-E72D297353CC}">
              <c16:uniqueId val="{00000006-0B28-4903-AA2E-7B40D0C5C481}"/>
            </c:ext>
          </c:extLst>
        </c:ser>
        <c:ser>
          <c:idx val="5"/>
          <c:order val="5"/>
          <c:tx>
            <c:v>RH=10_3</c:v>
          </c:tx>
          <c:spPr>
            <a:ln w="3175">
              <a:solidFill>
                <a:srgbClr val="0000FF"/>
              </a:solidFill>
              <a:prstDash val="solid"/>
            </a:ln>
          </c:spPr>
          <c:marker>
            <c:symbol val="none"/>
          </c:marker>
          <c:xVal>
            <c:numLit>
              <c:formatCode>General</c:formatCode>
              <c:ptCount val="4"/>
              <c:pt idx="0">
                <c:v>47.77192535836096</c:v>
              </c:pt>
              <c:pt idx="1">
                <c:v>48.783887743051473</c:v>
              </c:pt>
              <c:pt idx="2">
                <c:v>49.797175474186403</c:v>
              </c:pt>
              <c:pt idx="3">
                <c:v>50</c:v>
              </c:pt>
            </c:numLit>
          </c:xVal>
          <c:yVal>
            <c:numLit>
              <c:formatCode>General</c:formatCode>
              <c:ptCount val="4"/>
              <c:pt idx="0">
                <c:v>6.9020257792945907E-3</c:v>
              </c:pt>
              <c:pt idx="1">
                <c:v>7.262065631820038E-3</c:v>
              </c:pt>
              <c:pt idx="2">
                <c:v>7.6383681948431099E-3</c:v>
              </c:pt>
              <c:pt idx="3">
                <c:v>7.7156347951563434E-3</c:v>
              </c:pt>
            </c:numLit>
          </c:yVal>
          <c:smooth val="1"/>
          <c:extLst>
            <c:ext xmlns:c16="http://schemas.microsoft.com/office/drawing/2014/chart" uri="{C3380CC4-5D6E-409C-BE32-E72D297353CC}">
              <c16:uniqueId val="{00000007-0B28-4903-AA2E-7B40D0C5C481}"/>
            </c:ext>
          </c:extLst>
        </c:ser>
        <c:ser>
          <c:idx val="6"/>
          <c:order val="6"/>
          <c:tx>
            <c:v>RH=20_1</c:v>
          </c:tx>
          <c:spPr>
            <a:ln w="3175">
              <a:solidFill>
                <a:srgbClr val="0000FF"/>
              </a:solidFill>
              <a:prstDash val="solid"/>
            </a:ln>
          </c:spPr>
          <c:marker>
            <c:symbol val="none"/>
          </c:marker>
          <c:xVal>
            <c:numLit>
              <c:formatCode>General</c:formatCode>
              <c:ptCount val="34"/>
              <c:pt idx="0">
                <c:v>-10.035560496732938</c:v>
              </c:pt>
              <c:pt idx="1">
                <c:v>-9.0382026964619619</c:v>
              </c:pt>
              <c:pt idx="2">
                <c:v>-8.0410020393756554</c:v>
              </c:pt>
              <c:pt idx="3">
                <c:v>-7.0439643991642971</c:v>
              </c:pt>
              <c:pt idx="4">
                <c:v>-6.0470955422909016</c:v>
              </c:pt>
              <c:pt idx="5">
                <c:v>-5.0504010849725072</c:v>
              </c:pt>
              <c:pt idx="6">
                <c:v>-4.0538864457460759</c:v>
              </c:pt>
              <c:pt idx="7">
                <c:v>-3.0575567933261141</c:v>
              </c:pt>
              <c:pt idx="8">
                <c:v>-2.0614169894474266</c:v>
              </c:pt>
              <c:pt idx="9">
                <c:v>-1.0654715263721464</c:v>
              </c:pt>
              <c:pt idx="10">
                <c:v>-6.97244587252972E-2</c:v>
              </c:pt>
              <c:pt idx="11">
                <c:v>0.92653092787105074</c:v>
              </c:pt>
              <c:pt idx="12">
                <c:v>1.9226701661646581</c:v>
              </c:pt>
              <c:pt idx="13">
                <c:v>2.9186888084423579</c:v>
              </c:pt>
              <c:pt idx="14">
                <c:v>3.9145899067468815</c:v>
              </c:pt>
              <c:pt idx="15">
                <c:v>4.9103773014566139</c:v>
              </c:pt>
              <c:pt idx="16">
                <c:v>5.9060538111202767</c:v>
              </c:pt>
              <c:pt idx="17">
                <c:v>6.9016267487543175</c:v>
              </c:pt>
              <c:pt idx="18">
                <c:v>7.8971027167532792</c:v>
              </c:pt>
              <c:pt idx="19">
                <c:v>8.8924893864465524</c:v>
              </c:pt>
              <c:pt idx="20">
                <c:v>9.8877955770160781</c:v>
              </c:pt>
              <c:pt idx="21">
                <c:v>10.883029001805786</c:v>
              </c:pt>
              <c:pt idx="22">
                <c:v>11.878203170401681</c:v>
              </c:pt>
              <c:pt idx="23">
                <c:v>12.873330854228927</c:v>
              </c:pt>
              <c:pt idx="24">
                <c:v>13.868426328102487</c:v>
              </c:pt>
              <c:pt idx="25">
                <c:v>14.863505469299307</c:v>
              </c:pt>
              <c:pt idx="26">
                <c:v>15.858585861032267</c:v>
              </c:pt>
              <c:pt idx="27">
                <c:v>16.853686900469274</c:v>
              </c:pt>
              <c:pt idx="28">
                <c:v>17.848829911447321</c:v>
              </c:pt>
              <c:pt idx="29">
                <c:v>18.844038262038808</c:v>
              </c:pt>
              <c:pt idx="30">
                <c:v>19.839337487135094</c:v>
              </c:pt>
              <c:pt idx="31">
                <c:v>20.83475541622126</c:v>
              </c:pt>
              <c:pt idx="32">
                <c:v>21.830322306525588</c:v>
              </c:pt>
              <c:pt idx="33">
                <c:v>22.826070981737747</c:v>
              </c:pt>
            </c:numLit>
          </c:xVal>
          <c:yVal>
            <c:numLit>
              <c:formatCode>General</c:formatCode>
              <c:ptCount val="34"/>
              <c:pt idx="0">
                <c:v>3.2055429850658324E-4</c:v>
              </c:pt>
              <c:pt idx="1">
                <c:v>3.5020879023814594E-4</c:v>
              </c:pt>
              <c:pt idx="2">
                <c:v>3.8235123852344135E-4</c:v>
              </c:pt>
              <c:pt idx="3">
                <c:v>4.1716832257387661E-4</c:v>
              </c:pt>
              <c:pt idx="4">
                <c:v>4.5485902020590482E-4</c:v>
              </c:pt>
              <c:pt idx="5">
                <c:v>4.9563530285770194E-4</c:v>
              </c:pt>
              <c:pt idx="6">
                <c:v>5.3972286360566622E-4</c:v>
              </c:pt>
              <c:pt idx="7">
                <c:v>5.873618795503245E-4</c:v>
              </c:pt>
              <c:pt idx="8">
                <c:v>6.3880781000941775E-4</c:v>
              </c:pt>
              <c:pt idx="9">
                <c:v>6.9433223203014031E-4</c:v>
              </c:pt>
              <c:pt idx="10">
                <c:v>7.5422371481342985E-4</c:v>
              </c:pt>
              <c:pt idx="11">
                <c:v>8.1094894186661099E-4</c:v>
              </c:pt>
              <c:pt idx="12">
                <c:v>8.7134646996364098E-4</c:v>
              </c:pt>
              <c:pt idx="13">
                <c:v>9.3570188408817544E-4</c:v>
              </c:pt>
              <c:pt idx="14">
                <c:v>1.0042374218400759E-3</c:v>
              </c:pt>
              <c:pt idx="15">
                <c:v>1.0771856001749857E-3</c:v>
              </c:pt>
              <c:pt idx="16">
                <c:v>1.154812634567477E-3</c:v>
              </c:pt>
              <c:pt idx="17">
                <c:v>1.2373529726576297E-3</c:v>
              </c:pt>
              <c:pt idx="18">
                <c:v>1.3250725415540391E-3</c:v>
              </c:pt>
              <c:pt idx="19">
                <c:v>1.4182491113921719E-3</c:v>
              </c:pt>
              <c:pt idx="20">
                <c:v>1.5171727086266814E-3</c:v>
              </c:pt>
              <c:pt idx="21">
                <c:v>1.622178442009625E-3</c:v>
              </c:pt>
              <c:pt idx="22">
                <c:v>1.7335541960372019E-3</c:v>
              </c:pt>
              <c:pt idx="23">
                <c:v>1.8516297681735034E-3</c:v>
              </c:pt>
              <c:pt idx="24">
                <c:v>1.9767490132750658E-3</c:v>
              </c:pt>
              <c:pt idx="25">
                <c:v>2.10927032081257E-3</c:v>
              </c:pt>
              <c:pt idx="26">
                <c:v>2.2495671062861596E-3</c:v>
              </c:pt>
              <c:pt idx="27">
                <c:v>2.3980283174961114E-3</c:v>
              </c:pt>
              <c:pt idx="28">
                <c:v>2.5550589563843114E-3</c:v>
              </c:pt>
              <c:pt idx="29">
                <c:v>2.7210806172209283E-3</c:v>
              </c:pt>
              <c:pt idx="30">
                <c:v>2.8965320419730616E-3</c:v>
              </c:pt>
              <c:pt idx="31">
                <c:v>3.0818696937599506E-3</c:v>
              </c:pt>
              <c:pt idx="32">
                <c:v>3.2775683493713736E-3</c:v>
              </c:pt>
              <c:pt idx="33">
                <c:v>3.4841217119041239E-3</c:v>
              </c:pt>
            </c:numLit>
          </c:yVal>
          <c:smooth val="1"/>
          <c:extLst>
            <c:ext xmlns:c16="http://schemas.microsoft.com/office/drawing/2014/chart" uri="{C3380CC4-5D6E-409C-BE32-E72D297353CC}">
              <c16:uniqueId val="{00000008-0B28-4903-AA2E-7B40D0C5C481}"/>
            </c:ext>
          </c:extLst>
        </c:ser>
        <c:ser>
          <c:idx val="7"/>
          <c:order val="7"/>
          <c:tx>
            <c:v>RH=20_Label1</c:v>
          </c:tx>
          <c:spPr>
            <a:ln w="3175">
              <a:solidFill>
                <a:srgbClr val="0000FF"/>
              </a:solidFill>
              <a:prstDash val="solid"/>
            </a:ln>
          </c:spPr>
          <c:marker>
            <c:symbol val="none"/>
          </c:marker>
          <c:dLbls>
            <c:dLbl>
              <c:idx val="0"/>
              <c:tx>
                <c:rich>
                  <a:bodyPr rot="-9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20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B28-4903-AA2E-7B40D0C5C4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23.4634618281546</c:v>
              </c:pt>
            </c:numLit>
          </c:xVal>
          <c:yVal>
            <c:numLit>
              <c:formatCode>General</c:formatCode>
              <c:ptCount val="1"/>
              <c:pt idx="0">
                <c:v>3.6222486187216128E-3</c:v>
              </c:pt>
            </c:numLit>
          </c:yVal>
          <c:smooth val="0"/>
          <c:extLst>
            <c:ext xmlns:c16="http://schemas.microsoft.com/office/drawing/2014/chart" uri="{C3380CC4-5D6E-409C-BE32-E72D297353CC}">
              <c16:uniqueId val="{0000000A-0B28-4903-AA2E-7B40D0C5C481}"/>
            </c:ext>
          </c:extLst>
        </c:ser>
        <c:ser>
          <c:idx val="8"/>
          <c:order val="8"/>
          <c:tx>
            <c:v>RH=20_2</c:v>
          </c:tx>
          <c:spPr>
            <a:ln w="3175">
              <a:solidFill>
                <a:srgbClr val="0000FF"/>
              </a:solidFill>
              <a:prstDash val="solid"/>
            </a:ln>
          </c:spPr>
          <c:marker>
            <c:symbol val="none"/>
          </c:marker>
          <c:xVal>
            <c:numLit>
              <c:formatCode>General</c:formatCode>
              <c:ptCount val="21"/>
              <c:pt idx="0">
                <c:v>24.090989965522958</c:v>
              </c:pt>
              <c:pt idx="1">
                <c:v>25.08728670106132</c:v>
              </c:pt>
              <c:pt idx="2">
                <c:v>26.083889525140563</c:v>
              </c:pt>
              <c:pt idx="3">
                <c:v>27.080846559796672</c:v>
              </c:pt>
              <c:pt idx="4">
                <c:v>28.078206710864933</c:v>
              </c:pt>
              <c:pt idx="5">
                <c:v>29.07602246563086</c:v>
              </c:pt>
              <c:pt idx="6">
                <c:v>30.074350079513291</c:v>
              </c:pt>
              <c:pt idx="7">
                <c:v>31.073249770509715</c:v>
              </c:pt>
              <c:pt idx="8">
                <c:v>32.072785921759255</c:v>
              </c:pt>
              <c:pt idx="9">
                <c:v>33.073027292605012</c:v>
              </c:pt>
              <c:pt idx="10">
                <c:v>34.074047238566301</c:v>
              </c:pt>
              <c:pt idx="11">
                <c:v>35.075923940662001</c:v>
              </c:pt>
              <c:pt idx="12">
                <c:v>36.078740644560909</c:v>
              </c:pt>
              <c:pt idx="13">
                <c:v>37.082585910071032</c:v>
              </c:pt>
              <c:pt idx="14">
                <c:v>38.087553871520392</c:v>
              </c:pt>
              <c:pt idx="15">
                <c:v>39.093744509625317</c:v>
              </c:pt>
              <c:pt idx="16">
                <c:v>40.101263475245702</c:v>
              </c:pt>
              <c:pt idx="17">
                <c:v>41.110222635937923</c:v>
              </c:pt>
              <c:pt idx="18">
                <c:v>42.120742613179722</c:v>
              </c:pt>
              <c:pt idx="19">
                <c:v>43.132949797257567</c:v>
              </c:pt>
              <c:pt idx="20">
                <c:v>43.143080835819099</c:v>
              </c:pt>
            </c:numLit>
          </c:xVal>
          <c:yVal>
            <c:numLit>
              <c:formatCode>General</c:formatCode>
              <c:ptCount val="21"/>
              <c:pt idx="0">
                <c:v>3.762899562535327E-3</c:v>
              </c:pt>
              <c:pt idx="1">
                <c:v>3.9960515227318218E-3</c:v>
              </c:pt>
              <c:pt idx="2">
                <c:v>4.2418774317838923E-3</c:v>
              </c:pt>
              <c:pt idx="3">
                <c:v>4.5009049866489162E-3</c:v>
              </c:pt>
              <c:pt idx="4">
                <c:v>4.7737395125384907E-3</c:v>
              </c:pt>
              <c:pt idx="5">
                <c:v>5.0610096938973562E-3</c:v>
              </c:pt>
              <c:pt idx="6">
                <c:v>5.3633683765682734E-3</c:v>
              </c:pt>
              <c:pt idx="7">
                <c:v>5.6814934027757868E-3</c:v>
              </c:pt>
              <c:pt idx="8">
                <c:v>6.0160884810445394E-3</c:v>
              </c:pt>
              <c:pt idx="9">
                <c:v>6.3678840933275062E-3</c:v>
              </c:pt>
              <c:pt idx="10">
                <c:v>6.7376384417931747E-3</c:v>
              </c:pt>
              <c:pt idx="11">
                <c:v>7.1261384379044338E-3</c:v>
              </c:pt>
              <c:pt idx="12">
                <c:v>7.5342007366225091E-3</c:v>
              </c:pt>
              <c:pt idx="13">
                <c:v>7.9626728187814425E-3</c:v>
              </c:pt>
              <c:pt idx="14">
                <c:v>8.4124341249109912E-3</c:v>
              </c:pt>
              <c:pt idx="15">
                <c:v>8.8843972440316565E-3</c:v>
              </c:pt>
              <c:pt idx="16">
                <c:v>9.3795347447102571E-3</c:v>
              </c:pt>
              <c:pt idx="17">
                <c:v>9.8988796663613213E-3</c:v>
              </c:pt>
              <c:pt idx="18">
                <c:v>1.0443387106594744E-2</c:v>
              </c:pt>
              <c:pt idx="19">
                <c:v>1.1014116215220278E-2</c:v>
              </c:pt>
              <c:pt idx="20">
                <c:v>1.1019959610694009E-2</c:v>
              </c:pt>
            </c:numLit>
          </c:yVal>
          <c:smooth val="1"/>
          <c:extLst>
            <c:ext xmlns:c16="http://schemas.microsoft.com/office/drawing/2014/chart" uri="{C3380CC4-5D6E-409C-BE32-E72D297353CC}">
              <c16:uniqueId val="{0000000B-0B28-4903-AA2E-7B40D0C5C481}"/>
            </c:ext>
          </c:extLst>
        </c:ser>
        <c:ser>
          <c:idx val="9"/>
          <c:order val="9"/>
          <c:tx>
            <c:v>RH=20_Label2</c:v>
          </c:tx>
          <c:spPr>
            <a:ln w="3175">
              <a:solidFill>
                <a:srgbClr val="0000FF"/>
              </a:solidFill>
              <a:prstDash val="solid"/>
            </a:ln>
          </c:spPr>
          <c:marker>
            <c:symbol val="none"/>
          </c:marker>
          <c:dLbls>
            <c:dLbl>
              <c:idx val="0"/>
              <c:tx>
                <c:rich>
                  <a:bodyPr rot="-22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20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B28-4903-AA2E-7B40D0C5C4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43.447097324768826</c:v>
              </c:pt>
            </c:numLit>
          </c:xVal>
          <c:yVal>
            <c:numLit>
              <c:formatCode>General</c:formatCode>
              <c:ptCount val="1"/>
              <c:pt idx="0">
                <c:v>1.1196537306347976E-2</c:v>
              </c:pt>
            </c:numLit>
          </c:yVal>
          <c:smooth val="0"/>
          <c:extLst>
            <c:ext xmlns:c16="http://schemas.microsoft.com/office/drawing/2014/chart" uri="{C3380CC4-5D6E-409C-BE32-E72D297353CC}">
              <c16:uniqueId val="{0000000D-0B28-4903-AA2E-7B40D0C5C481}"/>
            </c:ext>
          </c:extLst>
        </c:ser>
        <c:ser>
          <c:idx val="10"/>
          <c:order val="10"/>
          <c:tx>
            <c:v>RH=20_3</c:v>
          </c:tx>
          <c:spPr>
            <a:ln w="3175">
              <a:solidFill>
                <a:srgbClr val="0000FF"/>
              </a:solidFill>
              <a:prstDash val="solid"/>
            </a:ln>
          </c:spPr>
          <c:marker>
            <c:symbol val="none"/>
          </c:marker>
          <c:dLbls>
            <c:dLbl>
              <c:idx val="3"/>
              <c:tx>
                <c:rich>
                  <a:bodyPr rot="-2520000" vert="horz" wrap="square" lIns="0" tIns="0" rIns="0" bIns="0" anchor="ctr">
                    <a:spAutoFit/>
                  </a:bodyPr>
                  <a:lstStyle/>
                  <a:p>
                    <a:pPr algn="ctr">
                      <a:defRPr altLang="en-US" sz="700" i="1" u="none" strike="noStrike" baseline="0">
                        <a:latin typeface="ＭＳ Ｐ明朝"/>
                        <a:ea typeface="ＭＳ Ｐ明朝"/>
                        <a:cs typeface="ＭＳ Ｐ明朝"/>
                      </a:defRPr>
                    </a:pPr>
                    <a:r>
                      <a:rPr lang="ja-JP" altLang="en-US"/>
                      <a:t>相対湿度 </a:t>
                    </a:r>
                    <a:r>
                      <a:rPr lang="el-GR"/>
                      <a:t>φ[</a:t>
                    </a:r>
                    <a:r>
                      <a:rPr lang="ja-JP" altLang="el-GR"/>
                      <a:t>％</a:t>
                    </a:r>
                    <a:r>
                      <a:rPr lang="el-GR"/>
                      <a:t>]
</a:t>
                    </a:r>
                    <a:endParaRPr lang="el-GR" altLang="ja-JP"/>
                  </a:p>
                </c:rich>
              </c:tx>
              <c:spPr>
                <a:solidFill>
                  <a:srgbClr val="FFFFFF">
                    <a:alpha val="0"/>
                  </a:srgbClr>
                </a:solidFill>
                <a:ln>
                  <a:noFill/>
                </a:ln>
                <a:effectLst/>
              </c:spPr>
              <c:dLblPos val="ct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E-0B28-4903-AA2E-7B40D0C5C4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8"/>
              <c:pt idx="0">
                <c:v>43.751281523767183</c:v>
              </c:pt>
              <c:pt idx="1">
                <c:v>44.766489529880268</c:v>
              </c:pt>
              <c:pt idx="2">
                <c:v>45.783750430022089</c:v>
              </c:pt>
              <c:pt idx="3">
                <c:v>46.803219082404993</c:v>
              </c:pt>
              <c:pt idx="4">
                <c:v>47.825059125327186</c:v>
              </c:pt>
              <c:pt idx="5">
                <c:v>48.849443401728202</c:v>
              </c:pt>
              <c:pt idx="6">
                <c:v>49.876554405498752</c:v>
              </c:pt>
              <c:pt idx="7">
                <c:v>50.000000000000007</c:v>
              </c:pt>
            </c:numLit>
          </c:xVal>
          <c:yVal>
            <c:numLit>
              <c:formatCode>General</c:formatCode>
              <c:ptCount val="8"/>
              <c:pt idx="0">
                <c:v>1.1375605022333236E-2</c:v>
              </c:pt>
              <c:pt idx="1">
                <c:v>1.199087837496329E-2</c:v>
              </c:pt>
              <c:pt idx="2">
                <c:v>1.2635330853661442E-2</c:v>
              </c:pt>
              <c:pt idx="3">
                <c:v>1.3310174231557656E-2</c:v>
              </c:pt>
              <c:pt idx="4">
                <c:v>1.4016666646594227E-2</c:v>
              </c:pt>
              <c:pt idx="5">
                <c:v>1.475611456481781E-2</c:v>
              </c:pt>
              <c:pt idx="6">
                <c:v>1.5529874857761593E-2</c:v>
              </c:pt>
              <c:pt idx="7">
                <c:v>1.5625098253228449E-2</c:v>
              </c:pt>
            </c:numLit>
          </c:yVal>
          <c:smooth val="1"/>
          <c:extLst>
            <c:ext xmlns:c16="http://schemas.microsoft.com/office/drawing/2014/chart" uri="{C3380CC4-5D6E-409C-BE32-E72D297353CC}">
              <c16:uniqueId val="{0000000F-0B28-4903-AA2E-7B40D0C5C481}"/>
            </c:ext>
          </c:extLst>
        </c:ser>
        <c:ser>
          <c:idx val="11"/>
          <c:order val="11"/>
          <c:tx>
            <c:v>RH=30_1</c:v>
          </c:tx>
          <c:spPr>
            <a:ln w="3175">
              <a:solidFill>
                <a:srgbClr val="0000FF"/>
              </a:solidFill>
              <a:prstDash val="solid"/>
            </a:ln>
          </c:spPr>
          <c:marker>
            <c:symbol val="none"/>
          </c:marker>
          <c:xVal>
            <c:numLit>
              <c:formatCode>General</c:formatCode>
              <c:ptCount val="32"/>
              <c:pt idx="0">
                <c:v>-10.053354493943724</c:v>
              </c:pt>
              <c:pt idx="1">
                <c:v>-9.0573201818931413</c:v>
              </c:pt>
              <c:pt idx="2">
                <c:v>-8.0615219688362885</c:v>
              </c:pt>
              <c:pt idx="3">
                <c:v>-7.0659687216933014</c:v>
              </c:pt>
              <c:pt idx="4">
                <c:v>-6.0706691538991491</c:v>
              </c:pt>
              <c:pt idx="5">
                <c:v>-5.0756317616842264</c:v>
              </c:pt>
              <c:pt idx="6">
                <c:v>-4.0808647537958755</c:v>
              </c:pt>
              <c:pt idx="7">
                <c:v>-3.0863759742222392</c:v>
              </c:pt>
              <c:pt idx="8">
                <c:v>-2.0921728174581125</c:v>
              </c:pt>
              <c:pt idx="9">
                <c:v>-1.0982621358298799</c:v>
              </c:pt>
              <c:pt idx="10">
                <c:v>-0.10465013837261665</c:v>
              </c:pt>
              <c:pt idx="11">
                <c:v>0.88972450219737909</c:v>
              </c:pt>
              <c:pt idx="12">
                <c:v>1.8839239424018834</c:v>
              </c:pt>
              <c:pt idx="13">
                <c:v>2.8779414006588313</c:v>
              </c:pt>
              <c:pt idx="14">
                <c:v>3.871781350388404</c:v>
              </c:pt>
              <c:pt idx="15">
                <c:v>4.8654494404600808</c:v>
              </c:pt>
              <c:pt idx="16">
                <c:v>5.8589497747029542</c:v>
              </c:pt>
              <c:pt idx="17">
                <c:v>6.8522932008453763</c:v>
              </c:pt>
              <c:pt idx="18">
                <c:v>7.8454894897457255</c:v>
              </c:pt>
              <c:pt idx="19">
                <c:v>8.8385500091965099</c:v>
              </c:pt>
              <c:pt idx="20">
                <c:v>9.8314878428015433</c:v>
              </c:pt>
              <c:pt idx="21">
                <c:v>10.824314400976062</c:v>
              </c:pt>
              <c:pt idx="22">
                <c:v>11.817049800389974</c:v>
              </c:pt>
              <c:pt idx="23">
                <c:v>12.809713039921014</c:v>
              </c:pt>
              <c:pt idx="24">
                <c:v>13.802325371823336</c:v>
              </c:pt>
              <c:pt idx="25">
                <c:v>14.794910452175319</c:v>
              </c:pt>
              <c:pt idx="26">
                <c:v>15.787494498334434</c:v>
              </c:pt>
              <c:pt idx="27">
                <c:v>16.780106453672715</c:v>
              </c:pt>
              <c:pt idx="28">
                <c:v>17.772778159883224</c:v>
              </c:pt>
              <c:pt idx="29">
                <c:v>18.765544537166129</c:v>
              </c:pt>
              <c:pt idx="30">
                <c:v>19.758443772623167</c:v>
              </c:pt>
              <c:pt idx="31">
                <c:v>20.24502537845661</c:v>
              </c:pt>
            </c:numLit>
          </c:xVal>
          <c:yVal>
            <c:numLit>
              <c:formatCode>General</c:formatCode>
              <c:ptCount val="32"/>
              <c:pt idx="0">
                <c:v>4.8095538447478798E-4</c:v>
              </c:pt>
              <c:pt idx="1">
                <c:v>5.2546111704482746E-4</c:v>
              </c:pt>
              <c:pt idx="2">
                <c:v>5.7370319474700678E-4</c:v>
              </c:pt>
              <c:pt idx="3">
                <c:v>6.2596240354141543E-4</c:v>
              </c:pt>
              <c:pt idx="4">
                <c:v>6.8253810313502938E-4</c:v>
              </c:pt>
              <c:pt idx="5">
                <c:v>7.4374928889864127E-4</c:v>
              </c:pt>
              <c:pt idx="6">
                <c:v>8.0993570607976032E-4</c:v>
              </c:pt>
              <c:pt idx="7">
                <c:v>8.8145901874186257E-4</c:v>
              </c:pt>
              <c:pt idx="8">
                <c:v>9.5870403600972981E-4</c:v>
              </c:pt>
              <c:pt idx="9">
                <c:v>1.042079998364528E-3</c:v>
              </c:pt>
              <c:pt idx="10">
                <c:v>1.1320219269123908E-3</c:v>
              </c:pt>
              <c:pt idx="11">
                <c:v>1.2172169276874775E-3</c:v>
              </c:pt>
              <c:pt idx="12">
                <c:v>1.3079358640647994E-3</c:v>
              </c:pt>
              <c:pt idx="13">
                <c:v>1.4046093678473526E-3</c:v>
              </c:pt>
              <c:pt idx="14">
                <c:v>1.5075731826702395E-3</c:v>
              </c:pt>
              <c:pt idx="15">
                <c:v>1.6171787681858833E-3</c:v>
              </c:pt>
              <c:pt idx="16">
                <c:v>1.7338285269895967E-3</c:v>
              </c:pt>
              <c:pt idx="17">
                <c:v>1.8578774687365771E-3</c:v>
              </c:pt>
              <c:pt idx="18">
                <c:v>1.9897282810522198E-3</c:v>
              </c:pt>
              <c:pt idx="19">
                <c:v>2.1298018718635013E-3</c:v>
              </c:pt>
              <c:pt idx="20">
                <c:v>2.278538039538269E-3</c:v>
              </c:pt>
              <c:pt idx="21">
                <c:v>2.4364448941009312E-3</c:v>
              </c:pt>
              <c:pt idx="22">
                <c:v>2.6039601132949388E-3</c:v>
              </c:pt>
              <c:pt idx="23">
                <c:v>2.7815850310877644E-3</c:v>
              </c:pt>
              <c:pt idx="24">
                <c:v>2.9698428307306547E-3</c:v>
              </c:pt>
              <c:pt idx="25">
                <c:v>3.1692793411924403E-3</c:v>
              </c:pt>
              <c:pt idx="26">
                <c:v>3.3804638626748922E-3</c:v>
              </c:pt>
              <c:pt idx="27">
                <c:v>3.6039900228942794E-3</c:v>
              </c:pt>
              <c:pt idx="28">
                <c:v>3.840476665952176E-3</c:v>
              </c:pt>
              <c:pt idx="29">
                <c:v>4.0905687757696188E-3</c:v>
              </c:pt>
              <c:pt idx="30">
                <c:v>4.3549384362202544E-3</c:v>
              </c:pt>
              <c:pt idx="31">
                <c:v>4.4899026259122817E-3</c:v>
              </c:pt>
            </c:numLit>
          </c:yVal>
          <c:smooth val="1"/>
          <c:extLst>
            <c:ext xmlns:c16="http://schemas.microsoft.com/office/drawing/2014/chart" uri="{C3380CC4-5D6E-409C-BE32-E72D297353CC}">
              <c16:uniqueId val="{00000010-0B28-4903-AA2E-7B40D0C5C481}"/>
            </c:ext>
          </c:extLst>
        </c:ser>
        <c:ser>
          <c:idx val="12"/>
          <c:order val="12"/>
          <c:tx>
            <c:v>RH=30_Label1</c:v>
          </c:tx>
          <c:spPr>
            <a:ln w="3175">
              <a:solidFill>
                <a:srgbClr val="0000FF"/>
              </a:solidFill>
              <a:prstDash val="solid"/>
            </a:ln>
          </c:spPr>
          <c:marker>
            <c:symbol val="none"/>
          </c:marker>
          <c:dLbls>
            <c:dLbl>
              <c:idx val="0"/>
              <c:tx>
                <c:rich>
                  <a:bodyPr rot="-12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30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B28-4903-AA2E-7B40D0C5C4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20.811108461403002</c:v>
              </c:pt>
            </c:numLit>
          </c:xVal>
          <c:yVal>
            <c:numLit>
              <c:formatCode>General</c:formatCode>
              <c:ptCount val="1"/>
              <c:pt idx="0">
                <c:v>4.6515387384462158E-3</c:v>
              </c:pt>
            </c:numLit>
          </c:yVal>
          <c:smooth val="0"/>
          <c:extLst>
            <c:ext xmlns:c16="http://schemas.microsoft.com/office/drawing/2014/chart" uri="{C3380CC4-5D6E-409C-BE32-E72D297353CC}">
              <c16:uniqueId val="{00000012-0B28-4903-AA2E-7B40D0C5C481}"/>
            </c:ext>
          </c:extLst>
        </c:ser>
        <c:ser>
          <c:idx val="13"/>
          <c:order val="13"/>
          <c:tx>
            <c:v>RH=30_2</c:v>
          </c:tx>
          <c:spPr>
            <a:ln w="3175">
              <a:solidFill>
                <a:srgbClr val="0000FF"/>
              </a:solidFill>
              <a:prstDash val="solid"/>
            </a:ln>
          </c:spPr>
          <c:marker>
            <c:symbol val="none"/>
          </c:marker>
          <c:xVal>
            <c:numLit>
              <c:formatCode>General</c:formatCode>
              <c:ptCount val="18"/>
              <c:pt idx="0">
                <c:v>21.377263818739706</c:v>
              </c:pt>
              <c:pt idx="1">
                <c:v>22.370720895339069</c:v>
              </c:pt>
              <c:pt idx="2">
                <c:v>23.364480102613534</c:v>
              </c:pt>
              <c:pt idx="3">
                <c:v>24.35859746559164</c:v>
              </c:pt>
              <c:pt idx="4">
                <c:v>25.353129999964821</c:v>
              </c:pt>
              <c:pt idx="5">
                <c:v>26.348144260675021</c:v>
              </c:pt>
              <c:pt idx="6">
                <c:v>27.343712590614235</c:v>
              </c:pt>
              <c:pt idx="7">
                <c:v>28.339910613496379</c:v>
              </c:pt>
              <c:pt idx="8">
                <c:v>29.336819542810858</c:v>
              </c:pt>
              <c:pt idx="9">
                <c:v>30.334526485832559</c:v>
              </c:pt>
              <c:pt idx="10">
                <c:v>31.333124762061246</c:v>
              </c:pt>
              <c:pt idx="11">
                <c:v>32.332714236929732</c:v>
              </c:pt>
              <c:pt idx="12">
                <c:v>33.333401671690773</c:v>
              </c:pt>
              <c:pt idx="13">
                <c:v>34.335301090470558</c:v>
              </c:pt>
              <c:pt idx="14">
                <c:v>35.338534165561015</c:v>
              </c:pt>
              <c:pt idx="15">
                <c:v>36.343230622116273</c:v>
              </c:pt>
              <c:pt idx="16">
                <c:v>37.349528663520069</c:v>
              </c:pt>
              <c:pt idx="17">
                <c:v>38.286952001805297</c:v>
              </c:pt>
            </c:numLit>
          </c:xVal>
          <c:yVal>
            <c:numLit>
              <c:formatCode>General</c:formatCode>
              <c:ptCount val="18"/>
              <c:pt idx="0">
                <c:v>4.8182920461159124E-3</c:v>
              </c:pt>
              <c:pt idx="1">
                <c:v>5.1236299709849099E-3</c:v>
              </c:pt>
              <c:pt idx="2">
                <c:v>5.445929040633163E-3</c:v>
              </c:pt>
              <c:pt idx="3">
                <c:v>5.7860005173922934E-3</c:v>
              </c:pt>
              <c:pt idx="4">
                <c:v>6.1447668346722162E-3</c:v>
              </c:pt>
              <c:pt idx="5">
                <c:v>6.5230875389578839E-3</c:v>
              </c:pt>
              <c:pt idx="6">
                <c:v>6.9218359323902426E-3</c:v>
              </c:pt>
              <c:pt idx="7">
                <c:v>7.3419657449303828E-3</c:v>
              </c:pt>
              <c:pt idx="8">
                <c:v>7.7844695692135405E-3</c:v>
              </c:pt>
              <c:pt idx="9">
                <c:v>8.2503804034741533E-3</c:v>
              </c:pt>
              <c:pt idx="10">
                <c:v>8.7407732735813454E-3</c:v>
              </c:pt>
              <c:pt idx="11">
                <c:v>9.256766939931332E-3</c:v>
              </c:pt>
              <c:pt idx="12">
                <c:v>9.7995256954131298E-3</c:v>
              </c:pt>
              <c:pt idx="13">
                <c:v>1.0370261261171108E-2</c:v>
              </c:pt>
              <c:pt idx="14">
                <c:v>1.0970234787438431E-2</c:v>
              </c:pt>
              <c:pt idx="15">
                <c:v>1.1600758967316551E-2</c:v>
              </c:pt>
              <c:pt idx="16">
                <c:v>1.226320027202504E-2</c:v>
              </c:pt>
              <c:pt idx="17">
                <c:v>1.2909160753810515E-2</c:v>
              </c:pt>
            </c:numLit>
          </c:yVal>
          <c:smooth val="1"/>
          <c:extLst>
            <c:ext xmlns:c16="http://schemas.microsoft.com/office/drawing/2014/chart" uri="{C3380CC4-5D6E-409C-BE32-E72D297353CC}">
              <c16:uniqueId val="{00000013-0B28-4903-AA2E-7B40D0C5C481}"/>
            </c:ext>
          </c:extLst>
        </c:ser>
        <c:ser>
          <c:idx val="14"/>
          <c:order val="14"/>
          <c:tx>
            <c:v>RH=30_Label2</c:v>
          </c:tx>
          <c:spPr>
            <a:ln w="3175">
              <a:solidFill>
                <a:srgbClr val="0000FF"/>
              </a:solidFill>
              <a:prstDash val="solid"/>
            </a:ln>
          </c:spPr>
          <c:marker>
            <c:symbol val="none"/>
          </c:marker>
          <c:dLbls>
            <c:dLbl>
              <c:idx val="0"/>
              <c:tx>
                <c:rich>
                  <a:bodyPr rot="-264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30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B28-4903-AA2E-7B40D0C5C4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38.589689789328688</c:v>
              </c:pt>
            </c:numLit>
          </c:xVal>
          <c:yVal>
            <c:numLit>
              <c:formatCode>General</c:formatCode>
              <c:ptCount val="1"/>
              <c:pt idx="0">
                <c:v>1.3123881389130688E-2</c:v>
              </c:pt>
            </c:numLit>
          </c:yVal>
          <c:smooth val="0"/>
          <c:extLst>
            <c:ext xmlns:c16="http://schemas.microsoft.com/office/drawing/2014/chart" uri="{C3380CC4-5D6E-409C-BE32-E72D297353CC}">
              <c16:uniqueId val="{00000015-0B28-4903-AA2E-7B40D0C5C481}"/>
            </c:ext>
          </c:extLst>
        </c:ser>
        <c:ser>
          <c:idx val="15"/>
          <c:order val="15"/>
          <c:tx>
            <c:v>RH=30_3</c:v>
          </c:tx>
          <c:spPr>
            <a:ln w="3175">
              <a:solidFill>
                <a:srgbClr val="0000FF"/>
              </a:solidFill>
              <a:prstDash val="solid"/>
            </a:ln>
          </c:spPr>
          <c:marker>
            <c:symbol val="none"/>
          </c:marker>
          <c:xVal>
            <c:numLit>
              <c:formatCode>General</c:formatCode>
              <c:ptCount val="12"/>
              <c:pt idx="0">
                <c:v>38.892602344462084</c:v>
              </c:pt>
              <c:pt idx="1">
                <c:v>39.903630523991851</c:v>
              </c:pt>
              <c:pt idx="2">
                <c:v>40.916820712497518</c:v>
              </c:pt>
              <c:pt idx="3">
                <c:v>41.932357840698131</c:v>
              </c:pt>
              <c:pt idx="4">
                <c:v>42.950435837011995</c:v>
              </c:pt>
              <c:pt idx="5">
                <c:v>43.971260512090304</c:v>
              </c:pt>
              <c:pt idx="6">
                <c:v>44.995050194605206</c:v>
              </c:pt>
              <c:pt idx="7">
                <c:v>46.022036404376692</c:v>
              </c:pt>
              <c:pt idx="8">
                <c:v>47.052464565732187</c:v>
              </c:pt>
              <c:pt idx="9">
                <c:v>48.086594764263893</c:v>
              </c:pt>
              <c:pt idx="10">
                <c:v>49.124702550447587</c:v>
              </c:pt>
              <c:pt idx="11">
                <c:v>50</c:v>
              </c:pt>
            </c:numLit>
          </c:xVal>
          <c:yVal>
            <c:numLit>
              <c:formatCode>General</c:formatCode>
              <c:ptCount val="12"/>
              <c:pt idx="0">
                <c:v>1.3341766926117184E-2</c:v>
              </c:pt>
              <c:pt idx="1">
                <c:v>1.4091468488515061E-2</c:v>
              </c:pt>
              <c:pt idx="2">
                <c:v>1.4878506983621821E-2</c:v>
              </c:pt>
              <c:pt idx="3">
                <c:v>1.5704411637157415E-2</c:v>
              </c:pt>
              <c:pt idx="4">
                <c:v>1.6570894482639917E-2</c:v>
              </c:pt>
              <c:pt idx="5">
                <c:v>1.7479739729448066E-2</c:v>
              </c:pt>
              <c:pt idx="6">
                <c:v>1.8432807276633257E-2</c:v>
              </c:pt>
              <c:pt idx="7">
                <c:v>1.9432036457920871E-2</c:v>
              </c:pt>
              <c:pt idx="8">
                <c:v>2.0479450036616827E-2</c:v>
              </c:pt>
              <c:pt idx="9">
                <c:v>2.1577158470815844E-2</c:v>
              </c:pt>
              <c:pt idx="10">
                <c:v>2.272736447115447E-2</c:v>
              </c:pt>
              <c:pt idx="11">
                <c:v>2.3735787197097544E-2</c:v>
              </c:pt>
            </c:numLit>
          </c:yVal>
          <c:smooth val="1"/>
          <c:extLst>
            <c:ext xmlns:c16="http://schemas.microsoft.com/office/drawing/2014/chart" uri="{C3380CC4-5D6E-409C-BE32-E72D297353CC}">
              <c16:uniqueId val="{00000016-0B28-4903-AA2E-7B40D0C5C481}"/>
            </c:ext>
          </c:extLst>
        </c:ser>
        <c:ser>
          <c:idx val="16"/>
          <c:order val="16"/>
          <c:tx>
            <c:v>RH=40_1</c:v>
          </c:tx>
          <c:spPr>
            <a:ln w="3175">
              <a:solidFill>
                <a:srgbClr val="0000FF"/>
              </a:solidFill>
              <a:prstDash val="solid"/>
            </a:ln>
          </c:spPr>
          <c:marker>
            <c:symbol val="none"/>
          </c:marker>
          <c:xVal>
            <c:numLit>
              <c:formatCode>General</c:formatCode>
              <c:ptCount val="30"/>
              <c:pt idx="0">
                <c:v>-10.071157666503382</c:v>
              </c:pt>
              <c:pt idx="1">
                <c:v>-9.0764484375794456</c:v>
              </c:pt>
              <c:pt idx="2">
                <c:v>-8.0820545203209271</c:v>
              </c:pt>
              <c:pt idx="3">
                <c:v>-7.0879878126509359</c:v>
              </c:pt>
              <c:pt idx="4">
                <c:v>-6.094260017697489</c:v>
              </c:pt>
              <c:pt idx="5">
                <c:v>-5.1008825599224101</c:v>
              </c:pt>
              <c:pt idx="6">
                <c:v>-4.107866492592299</c:v>
              </c:pt>
              <c:pt idx="7">
                <c:v>-3.1152223960079723</c:v>
              </c:pt>
              <c:pt idx="8">
                <c:v>-2.1229602658786209</c:v>
              </c:pt>
              <c:pt idx="9">
                <c:v>-1.1310893911950206</c:v>
              </c:pt>
              <c:pt idx="10">
                <c:v>-0.1396182209221522</c:v>
              </c:pt>
              <c:pt idx="11">
                <c:v>0.85287002497976261</c:v>
              </c:pt>
              <c:pt idx="12">
                <c:v>1.8451233619897396</c:v>
              </c:pt>
              <c:pt idx="13">
                <c:v>2.8371326004330104</c:v>
              </c:pt>
              <c:pt idx="14">
                <c:v>3.8289035643484142</c:v>
              </c:pt>
              <c:pt idx="15">
                <c:v>4.8204436354700766</c:v>
              </c:pt>
              <c:pt idx="16">
                <c:v>5.8117581188760123</c:v>
              </c:pt>
              <c:pt idx="17">
                <c:v>6.8028613142570338</c:v>
              </c:pt>
              <c:pt idx="18">
                <c:v>7.7937660706380818</c:v>
              </c:pt>
              <c:pt idx="19">
                <c:v>8.784487357391205</c:v>
              </c:pt>
              <c:pt idx="20">
                <c:v>9.7750424233722342</c:v>
              </c:pt>
              <c:pt idx="21">
                <c:v>10.765446266884746</c:v>
              </c:pt>
              <c:pt idx="22">
                <c:v>11.755725510122451</c:v>
              </c:pt>
              <c:pt idx="23">
                <c:v>12.745905270364457</c:v>
              </c:pt>
              <c:pt idx="24">
                <c:v>13.736013666649088</c:v>
              </c:pt>
              <c:pt idx="25">
                <c:v>14.726082022781892</c:v>
              </c:pt>
              <c:pt idx="26">
                <c:v>15.71614508022641</c:v>
              </c:pt>
              <c:pt idx="27">
                <c:v>16.706241221322188</c:v>
              </c:pt>
              <c:pt idx="28">
                <c:v>17.696412703306457</c:v>
              </c:pt>
              <c:pt idx="29">
                <c:v>18.171735229623049</c:v>
              </c:pt>
            </c:numLit>
          </c:xVal>
          <c:yVal>
            <c:numLit>
              <c:formatCode>General</c:formatCode>
              <c:ptCount val="30"/>
              <c:pt idx="0">
                <c:v>6.4143918012905593E-4</c:v>
              </c:pt>
              <c:pt idx="1">
                <c:v>7.008121760973331E-4</c:v>
              </c:pt>
              <c:pt idx="2">
                <c:v>7.651728535674235E-4</c:v>
              </c:pt>
              <c:pt idx="3">
                <c:v>8.3489661881570713E-4</c:v>
              </c:pt>
              <c:pt idx="4">
                <c:v>9.1038381147920844E-4</c:v>
              </c:pt>
              <c:pt idx="5">
                <c:v>9.9206114645107807E-4</c:v>
              </c:pt>
              <c:pt idx="6">
                <c:v>1.0803832292697476E-3</c:v>
              </c:pt>
              <c:pt idx="7">
                <c:v>1.1758341487524879E-3</c:v>
              </c:pt>
              <c:pt idx="8">
                <c:v>1.2789291508880532E-3</c:v>
              </c:pt>
              <c:pt idx="9">
                <c:v>1.3902163982942313E-3</c:v>
              </c:pt>
              <c:pt idx="10">
                <c:v>1.5102788198675821E-3</c:v>
              </c:pt>
              <c:pt idx="11">
                <c:v>1.6240153047000082E-3</c:v>
              </c:pt>
              <c:pt idx="12">
                <c:v>1.7451377446048627E-3</c:v>
              </c:pt>
              <c:pt idx="13">
                <c:v>1.8742233352138143E-3</c:v>
              </c:pt>
              <c:pt idx="14">
                <c:v>2.0117229343793344E-3</c:v>
              </c:pt>
              <c:pt idx="15">
                <c:v>2.1581087540872529E-3</c:v>
              </c:pt>
              <c:pt idx="16">
                <c:v>2.3139214615192092E-3</c:v>
              </c:pt>
              <c:pt idx="17">
                <c:v>2.4796388829385293E-3</c:v>
              </c:pt>
              <c:pt idx="18">
                <c:v>2.6558030330016539E-3</c:v>
              </c:pt>
              <c:pt idx="19">
                <c:v>2.8429808348341017E-3</c:v>
              </c:pt>
              <c:pt idx="20">
                <c:v>3.0417650818216663E-3</c:v>
              </c:pt>
              <c:pt idx="21">
                <c:v>3.2528405778045949E-3</c:v>
              </c:pt>
              <c:pt idx="22">
                <c:v>3.4767987665084011E-3</c:v>
              </c:pt>
              <c:pt idx="23">
                <c:v>3.7143170301272206E-3</c:v>
              </c:pt>
              <c:pt idx="24">
                <c:v>3.9661029174285749E-3</c:v>
              </c:pt>
              <c:pt idx="25">
                <c:v>4.2328953161507891E-3</c:v>
              </c:pt>
              <c:pt idx="26">
                <c:v>4.5154656750827386E-3</c:v>
              </c:pt>
              <c:pt idx="27">
                <c:v>4.8146192790791617E-3</c:v>
              </c:pt>
              <c:pt idx="28">
                <c:v>5.1311965805394127E-3</c:v>
              </c:pt>
              <c:pt idx="29">
                <c:v>5.289598667499288E-3</c:v>
              </c:pt>
            </c:numLit>
          </c:yVal>
          <c:smooth val="1"/>
          <c:extLst>
            <c:ext xmlns:c16="http://schemas.microsoft.com/office/drawing/2014/chart" uri="{C3380CC4-5D6E-409C-BE32-E72D297353CC}">
              <c16:uniqueId val="{00000017-0B28-4903-AA2E-7B40D0C5C481}"/>
            </c:ext>
          </c:extLst>
        </c:ser>
        <c:ser>
          <c:idx val="17"/>
          <c:order val="17"/>
          <c:tx>
            <c:v>RH=40_Label1</c:v>
          </c:tx>
          <c:spPr>
            <a:ln w="3175">
              <a:solidFill>
                <a:srgbClr val="0000FF"/>
              </a:solidFill>
              <a:prstDash val="solid"/>
            </a:ln>
          </c:spPr>
          <c:marker>
            <c:symbol val="none"/>
          </c:marker>
          <c:dLbls>
            <c:dLbl>
              <c:idx val="0"/>
              <c:tx>
                <c:rich>
                  <a:bodyPr rot="-15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40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B28-4903-AA2E-7B40D0C5C4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18.696609618261668</c:v>
              </c:pt>
            </c:numLit>
          </c:xVal>
          <c:yVal>
            <c:numLit>
              <c:formatCode>General</c:formatCode>
              <c:ptCount val="1"/>
              <c:pt idx="0">
                <c:v>5.4695188532680209E-3</c:v>
              </c:pt>
            </c:numLit>
          </c:yVal>
          <c:smooth val="0"/>
          <c:extLst>
            <c:ext xmlns:c16="http://schemas.microsoft.com/office/drawing/2014/chart" uri="{C3380CC4-5D6E-409C-BE32-E72D297353CC}">
              <c16:uniqueId val="{00000019-0B28-4903-AA2E-7B40D0C5C481}"/>
            </c:ext>
          </c:extLst>
        </c:ser>
        <c:ser>
          <c:idx val="18"/>
          <c:order val="18"/>
          <c:tx>
            <c:v>RH=40_2</c:v>
          </c:tx>
          <c:spPr>
            <a:ln w="3175">
              <a:solidFill>
                <a:srgbClr val="0000FF"/>
              </a:solidFill>
              <a:prstDash val="solid"/>
            </a:ln>
          </c:spPr>
          <c:marker>
            <c:symbol val="none"/>
          </c:marker>
          <c:xVal>
            <c:numLit>
              <c:formatCode>General</c:formatCode>
              <c:ptCount val="17"/>
              <c:pt idx="0">
                <c:v>19.211627821712195</c:v>
              </c:pt>
              <c:pt idx="1">
                <c:v>20.202207062511963</c:v>
              </c:pt>
              <c:pt idx="2">
                <c:v>21.193045521947305</c:v>
              </c:pt>
              <c:pt idx="3">
                <c:v>22.184206264025072</c:v>
              </c:pt>
              <c:pt idx="4">
                <c:v>23.175757742162592</c:v>
              </c:pt>
              <c:pt idx="5">
                <c:v>24.167774118297825</c:v>
              </c:pt>
              <c:pt idx="6">
                <c:v>25.1603316445307</c:v>
              </c:pt>
              <c:pt idx="7">
                <c:v>26.153517149618409</c:v>
              </c:pt>
              <c:pt idx="8">
                <c:v>27.14742747249446</c:v>
              </c:pt>
              <c:pt idx="9">
                <c:v>28.142163180108163</c:v>
              </c:pt>
              <c:pt idx="10">
                <c:v>29.137832409025819</c:v>
              </c:pt>
              <c:pt idx="11">
                <c:v>30.134551295721444</c:v>
              </c:pt>
              <c:pt idx="12">
                <c:v>31.132444429611024</c:v>
              </c:pt>
              <c:pt idx="13">
                <c:v>32.131645330365913</c:v>
              </c:pt>
              <c:pt idx="14">
                <c:v>33.132296951182454</c:v>
              </c:pt>
              <c:pt idx="15">
                <c:v>34.13455220983942</c:v>
              </c:pt>
              <c:pt idx="16">
                <c:v>34.726700730219605</c:v>
              </c:pt>
            </c:numLit>
          </c:xVal>
          <c:yVal>
            <c:numLit>
              <c:formatCode>General</c:formatCode>
              <c:ptCount val="17"/>
              <c:pt idx="0">
                <c:v>5.6512912640590517E-3</c:v>
              </c:pt>
              <c:pt idx="1">
                <c:v>6.0159538060022208E-3</c:v>
              </c:pt>
              <c:pt idx="2">
                <c:v>6.4013091486796996E-3</c:v>
              </c:pt>
              <c:pt idx="3">
                <c:v>6.8083754788367118E-3</c:v>
              </c:pt>
              <c:pt idx="4">
                <c:v>7.2382147244076525E-3</c:v>
              </c:pt>
              <c:pt idx="5">
                <c:v>7.6919343649579095E-3</c:v>
              </c:pt>
              <c:pt idx="6">
                <c:v>8.1707767158846062E-3</c:v>
              </c:pt>
              <c:pt idx="7">
                <c:v>8.6759520844244559E-3</c:v>
              </c:pt>
              <c:pt idx="8">
                <c:v>9.208645282612761E-3</c:v>
              </c:pt>
              <c:pt idx="9">
                <c:v>9.7701679465518245E-3</c:v>
              </c:pt>
              <c:pt idx="10">
                <c:v>1.0361888011305007E-2</c:v>
              </c:pt>
              <c:pt idx="11">
                <c:v>1.0985232215656456E-2</c:v>
              </c:pt>
              <c:pt idx="12">
                <c:v>1.1641688754542854E-2</c:v>
              </c:pt>
              <c:pt idx="13">
                <c:v>1.2332810090782168E-2</c:v>
              </c:pt>
              <c:pt idx="14">
                <c:v>1.3060215938736743E-2</c:v>
              </c:pt>
              <c:pt idx="15">
                <c:v>1.3825596433664258E-2</c:v>
              </c:pt>
              <c:pt idx="16">
                <c:v>1.4295694061418956E-2</c:v>
              </c:pt>
            </c:numLit>
          </c:yVal>
          <c:smooth val="1"/>
          <c:extLst>
            <c:ext xmlns:c16="http://schemas.microsoft.com/office/drawing/2014/chart" uri="{C3380CC4-5D6E-409C-BE32-E72D297353CC}">
              <c16:uniqueId val="{0000001A-0B28-4903-AA2E-7B40D0C5C481}"/>
            </c:ext>
          </c:extLst>
        </c:ser>
        <c:ser>
          <c:idx val="19"/>
          <c:order val="19"/>
          <c:tx>
            <c:v>RH=40_Label2</c:v>
          </c:tx>
          <c:spPr>
            <a:ln w="3175">
              <a:solidFill>
                <a:srgbClr val="0000FF"/>
              </a:solidFill>
              <a:prstDash val="solid"/>
            </a:ln>
          </c:spPr>
          <c:marker>
            <c:symbol val="none"/>
          </c:marker>
          <c:dLbls>
            <c:dLbl>
              <c:idx val="0"/>
              <c:tx>
                <c:rich>
                  <a:bodyPr rot="-28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40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0B28-4903-AA2E-7B40D0C5C4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35.028040308533853</c:v>
              </c:pt>
            </c:numLit>
          </c:xVal>
          <c:yVal>
            <c:numLit>
              <c:formatCode>General</c:formatCode>
              <c:ptCount val="1"/>
              <c:pt idx="0">
                <c:v>1.4540151098681935E-2</c:v>
              </c:pt>
            </c:numLit>
          </c:yVal>
          <c:smooth val="0"/>
          <c:extLst>
            <c:ext xmlns:c16="http://schemas.microsoft.com/office/drawing/2014/chart" uri="{C3380CC4-5D6E-409C-BE32-E72D297353CC}">
              <c16:uniqueId val="{0000001C-0B28-4903-AA2E-7B40D0C5C481}"/>
            </c:ext>
          </c:extLst>
        </c:ser>
        <c:ser>
          <c:idx val="20"/>
          <c:order val="20"/>
          <c:tx>
            <c:v>RH=40_3</c:v>
          </c:tx>
          <c:spPr>
            <a:ln w="3175">
              <a:solidFill>
                <a:srgbClr val="0000FF"/>
              </a:solidFill>
              <a:prstDash val="solid"/>
            </a:ln>
          </c:spPr>
          <c:marker>
            <c:symbol val="none"/>
          </c:marker>
          <c:xVal>
            <c:numLit>
              <c:formatCode>General</c:formatCode>
              <c:ptCount val="16"/>
              <c:pt idx="0">
                <c:v>35.329552776174317</c:v>
              </c:pt>
              <c:pt idx="1">
                <c:v>36.335906363098594</c:v>
              </c:pt>
              <c:pt idx="2">
                <c:v>37.344424679792851</c:v>
              </c:pt>
              <c:pt idx="3">
                <c:v>38.355308879053233</c:v>
              </c:pt>
              <c:pt idx="4">
                <c:v>39.368773366008369</c:v>
              </c:pt>
              <c:pt idx="5">
                <c:v>40.385044078419881</c:v>
              </c:pt>
              <c:pt idx="6">
                <c:v>41.404366085039008</c:v>
              </c:pt>
              <c:pt idx="7">
                <c:v>42.426999385462096</c:v>
              </c:pt>
              <c:pt idx="8">
                <c:v>43.453219557967351</c:v>
              </c:pt>
              <c:pt idx="9">
                <c:v>44.483319737831081</c:v>
              </c:pt>
              <c:pt idx="10">
                <c:v>45.517611653111167</c:v>
              </c:pt>
              <c:pt idx="11">
                <c:v>46.556426731421674</c:v>
              </c:pt>
              <c:pt idx="12">
                <c:v>47.600117283983685</c:v>
              </c:pt>
              <c:pt idx="13">
                <c:v>48.64905777389</c:v>
              </c:pt>
              <c:pt idx="14">
                <c:v>49.703646176251077</c:v>
              </c:pt>
              <c:pt idx="15">
                <c:v>50.000000000000007</c:v>
              </c:pt>
            </c:numLit>
          </c:xVal>
          <c:yVal>
            <c:numLit>
              <c:formatCode>General</c:formatCode>
              <c:ptCount val="16"/>
              <c:pt idx="0">
                <c:v>1.478833119366236E-2</c:v>
              </c:pt>
              <c:pt idx="1">
                <c:v>1.5643145109583971E-2</c:v>
              </c:pt>
              <c:pt idx="2">
                <c:v>1.6541836193495318E-2</c:v>
              </c:pt>
              <c:pt idx="3">
                <c:v>1.7486428909881571E-2</c:v>
              </c:pt>
              <c:pt idx="4">
                <c:v>1.8479038209467172E-2</c:v>
              </c:pt>
              <c:pt idx="5">
                <c:v>1.9522018510706687E-2</c:v>
              </c:pt>
              <c:pt idx="6">
                <c:v>2.0617611971505051E-2</c:v>
              </c:pt>
              <c:pt idx="7">
                <c:v>2.1768183432671905E-2</c:v>
              </c:pt>
              <c:pt idx="8">
                <c:v>2.2976262300941908E-2</c:v>
              </c:pt>
              <c:pt idx="9">
                <c:v>2.424449573781436E-2</c:v>
              </c:pt>
              <c:pt idx="10">
                <c:v>2.5575655332400155E-2</c:v>
              </c:pt>
              <c:pt idx="11">
                <c:v>2.6972644274486847E-2</c:v>
              </c:pt>
              <c:pt idx="12">
                <c:v>2.8438505072725828E-2</c:v>
              </c:pt>
              <c:pt idx="13">
                <c:v>2.9976427867378353E-2</c:v>
              </c:pt>
              <c:pt idx="14">
                <c:v>3.1589759392127853E-2</c:v>
              </c:pt>
              <c:pt idx="15">
                <c:v>3.2055479665609135E-2</c:v>
              </c:pt>
            </c:numLit>
          </c:yVal>
          <c:smooth val="1"/>
          <c:extLst>
            <c:ext xmlns:c16="http://schemas.microsoft.com/office/drawing/2014/chart" uri="{C3380CC4-5D6E-409C-BE32-E72D297353CC}">
              <c16:uniqueId val="{0000001D-0B28-4903-AA2E-7B40D0C5C481}"/>
            </c:ext>
          </c:extLst>
        </c:ser>
        <c:ser>
          <c:idx val="21"/>
          <c:order val="21"/>
          <c:tx>
            <c:v>RH=50_1</c:v>
          </c:tx>
          <c:spPr>
            <a:ln w="3175">
              <a:solidFill>
                <a:srgbClr val="FF6600"/>
              </a:solidFill>
              <a:prstDash val="solid"/>
            </a:ln>
          </c:spPr>
          <c:marker>
            <c:symbol val="none"/>
          </c:marker>
          <c:xVal>
            <c:numLit>
              <c:formatCode>General</c:formatCode>
              <c:ptCount val="28"/>
              <c:pt idx="0">
                <c:v>-10.08897002151055</c:v>
              </c:pt>
              <c:pt idx="1">
                <c:v>-9.0955874726249295</c:v>
              </c:pt>
              <c:pt idx="2">
                <c:v>-8.1025997054790633</c:v>
              </c:pt>
              <c:pt idx="3">
                <c:v>-7.1100216869101676</c:v>
              </c:pt>
              <c:pt idx="4">
                <c:v>-6.1178681526317034</c:v>
              </c:pt>
              <c:pt idx="5">
                <c:v>-5.1261535037671155</c:v>
              </c:pt>
              <c:pt idx="6">
                <c:v>-4.1348916926731265</c:v>
              </c:pt>
              <c:pt idx="7">
                <c:v>-3.1440960973251273</c:v>
              </c:pt>
              <c:pt idx="8">
                <c:v>-2.1537793834979757</c:v>
              </c:pt>
              <c:pt idx="9">
                <c:v>-1.1639533539336429</c:v>
              </c:pt>
              <c:pt idx="10">
                <c:v>-0.17462878364218917</c:v>
              </c:pt>
              <c:pt idx="11">
                <c:v>0.81596740205832308</c:v>
              </c:pt>
              <c:pt idx="12">
                <c:v>1.806268310463421</c:v>
              </c:pt>
              <c:pt idx="13">
                <c:v>2.7962622689140946</c:v>
              </c:pt>
              <c:pt idx="14">
                <c:v>3.785956380554413</c:v>
              </c:pt>
              <c:pt idx="15">
                <c:v>4.7753596834764709</c:v>
              </c:pt>
              <c:pt idx="16">
                <c:v>5.7644785989372425</c:v>
              </c:pt>
              <c:pt idx="17">
                <c:v>6.753330794661875</c:v>
              </c:pt>
              <c:pt idx="18">
                <c:v>7.7419321061698998</c:v>
              </c:pt>
              <c:pt idx="19">
                <c:v>8.7303010079445151</c:v>
              </c:pt>
              <c:pt idx="20">
                <c:v>9.7184588131024761</c:v>
              </c:pt>
              <c:pt idx="21">
                <c:v>10.706423996530482</c:v>
              </c:pt>
              <c:pt idx="22">
                <c:v>11.694229582027464</c:v>
              </c:pt>
              <c:pt idx="23">
                <c:v>12.681906693511435</c:v>
              </c:pt>
              <c:pt idx="24">
                <c:v>13.669490203078148</c:v>
              </c:pt>
              <c:pt idx="25">
                <c:v>14.657018987720264</c:v>
              </c:pt>
              <c:pt idx="26">
                <c:v>15.644536199075654</c:v>
              </c:pt>
              <c:pt idx="27">
                <c:v>16.444449259100793</c:v>
              </c:pt>
            </c:numLit>
          </c:xVal>
          <c:yVal>
            <c:numLit>
              <c:formatCode>General</c:formatCode>
              <c:ptCount val="28"/>
              <c:pt idx="0">
                <c:v>8.0200574945888238E-4</c:v>
              </c:pt>
              <c:pt idx="1">
                <c:v>8.7626205085363938E-4</c:v>
              </c:pt>
              <c:pt idx="2">
                <c:v>9.5676032361825683E-4</c:v>
              </c:pt>
              <c:pt idx="3">
                <c:v>1.0439711095229951E-3</c:v>
              </c:pt>
              <c:pt idx="4">
                <c:v>1.1383963282209435E-3</c:v>
              </c:pt>
              <c:pt idx="5">
                <c:v>1.2405711123139587E-3</c:v>
              </c:pt>
              <c:pt idx="6">
                <c:v>1.3510657390398758E-3</c:v>
              </c:pt>
              <c:pt idx="7">
                <c:v>1.4704876639184206E-3</c:v>
              </c:pt>
              <c:pt idx="8">
                <c:v>1.5994836621067371E-3</c:v>
              </c:pt>
              <c:pt idx="9">
                <c:v>1.7387420836732516E-3</c:v>
              </c:pt>
              <c:pt idx="10">
                <c:v>1.8889952295058313E-3</c:v>
              </c:pt>
              <c:pt idx="11">
                <c:v>2.0313451122375144E-3</c:v>
              </c:pt>
              <c:pt idx="12">
                <c:v>2.1829534013642305E-3</c:v>
              </c:pt>
              <c:pt idx="13">
                <c:v>2.3445453840359293E-3</c:v>
              </c:pt>
              <c:pt idx="14">
                <c:v>2.5166886531353488E-3</c:v>
              </c:pt>
              <c:pt idx="15">
                <c:v>2.6999779978813701E-3</c:v>
              </c:pt>
              <c:pt idx="16">
                <c:v>2.8950944461037949E-3</c:v>
              </c:pt>
              <c:pt idx="17">
                <c:v>3.1026409173562676E-3</c:v>
              </c:pt>
              <c:pt idx="18">
                <c:v>3.3233013465576106E-3</c:v>
              </c:pt>
              <c:pt idx="19">
                <c:v>3.5577915815344584E-3</c:v>
              </c:pt>
              <c:pt idx="20">
                <c:v>3.8068606722971615E-3</c:v>
              </c:pt>
              <c:pt idx="21">
                <c:v>4.0713738556704586E-3</c:v>
              </c:pt>
              <c:pt idx="22">
                <c:v>4.3520803689922234E-3</c:v>
              </c:pt>
              <c:pt idx="23">
                <c:v>4.6498382203937379E-3</c:v>
              </c:pt>
              <c:pt idx="24">
                <c:v>4.9655444400146668E-3</c:v>
              </c:pt>
              <c:pt idx="25">
                <c:v>5.300136687456442E-3</c:v>
              </c:pt>
              <c:pt idx="26">
                <c:v>5.654594935640289E-3</c:v>
              </c:pt>
              <c:pt idx="27">
                <c:v>5.9569705434108725E-3</c:v>
              </c:pt>
            </c:numLit>
          </c:yVal>
          <c:smooth val="1"/>
          <c:extLst>
            <c:ext xmlns:c16="http://schemas.microsoft.com/office/drawing/2014/chart" uri="{C3380CC4-5D6E-409C-BE32-E72D297353CC}">
              <c16:uniqueId val="{0000001E-0B28-4903-AA2E-7B40D0C5C481}"/>
            </c:ext>
          </c:extLst>
        </c:ser>
        <c:ser>
          <c:idx val="22"/>
          <c:order val="22"/>
          <c:tx>
            <c:v>RH=50_Label1</c:v>
          </c:tx>
          <c:spPr>
            <a:ln w="3175">
              <a:solidFill>
                <a:srgbClr val="FF6600"/>
              </a:solidFill>
              <a:prstDash val="solid"/>
            </a:ln>
          </c:spPr>
          <c:marker>
            <c:symbol val="none"/>
          </c:marker>
          <c:dLbls>
            <c:dLbl>
              <c:idx val="0"/>
              <c:tx>
                <c:rich>
                  <a:bodyPr rot="-16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50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0B28-4903-AA2E-7B40D0C5C4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16.938246504261446</c:v>
              </c:pt>
            </c:numLit>
          </c:xVal>
          <c:yVal>
            <c:numLit>
              <c:formatCode>General</c:formatCode>
              <c:ptCount val="1"/>
              <c:pt idx="0">
                <c:v>6.1507089523445638E-3</c:v>
              </c:pt>
            </c:numLit>
          </c:yVal>
          <c:smooth val="0"/>
          <c:extLst>
            <c:ext xmlns:c16="http://schemas.microsoft.com/office/drawing/2014/chart" uri="{C3380CC4-5D6E-409C-BE32-E72D297353CC}">
              <c16:uniqueId val="{00000020-0B28-4903-AA2E-7B40D0C5C481}"/>
            </c:ext>
          </c:extLst>
        </c:ser>
        <c:ser>
          <c:idx val="23"/>
          <c:order val="23"/>
          <c:tx>
            <c:v>RH=50_2</c:v>
          </c:tx>
          <c:spPr>
            <a:ln w="3175">
              <a:solidFill>
                <a:srgbClr val="FF6600"/>
              </a:solidFill>
              <a:prstDash val="solid"/>
            </a:ln>
          </c:spPr>
          <c:marker>
            <c:symbol val="none"/>
          </c:marker>
          <c:xVal>
            <c:numLit>
              <c:formatCode>General</c:formatCode>
              <c:ptCount val="16"/>
              <c:pt idx="0">
                <c:v>17.422193396353077</c:v>
              </c:pt>
              <c:pt idx="1">
                <c:v>18.409947717682584</c:v>
              </c:pt>
              <c:pt idx="2">
                <c:v>19.397898605362961</c:v>
              </c:pt>
              <c:pt idx="3">
                <c:v>20.386113938329231</c:v>
              </c:pt>
              <c:pt idx="4">
                <c:v>21.374667728823542</c:v>
              </c:pt>
              <c:pt idx="5">
                <c:v>22.363640501219667</c:v>
              </c:pt>
              <c:pt idx="6">
                <c:v>23.353119690709409</c:v>
              </c:pt>
              <c:pt idx="7">
                <c:v>24.343200063094248</c:v>
              </c:pt>
              <c:pt idx="8">
                <c:v>25.333976607753801</c:v>
              </c:pt>
              <c:pt idx="9">
                <c:v>26.32556544086038</c:v>
              </c:pt>
              <c:pt idx="10">
                <c:v>27.318087972919766</c:v>
              </c:pt>
              <c:pt idx="11">
                <c:v>28.311673026562932</c:v>
              </c:pt>
              <c:pt idx="12">
                <c:v>29.306459234239682</c:v>
              </c:pt>
              <c:pt idx="13">
                <c:v>30.302595619159391</c:v>
              </c:pt>
              <c:pt idx="14">
                <c:v>31.300242210065303</c:v>
              </c:pt>
              <c:pt idx="15">
                <c:v>31.909621057494508</c:v>
              </c:pt>
            </c:numLit>
          </c:xVal>
          <c:yVal>
            <c:numLit>
              <c:formatCode>General</c:formatCode>
              <c:ptCount val="16"/>
              <c:pt idx="0">
                <c:v>6.3459801520872189E-3</c:v>
              </c:pt>
              <c:pt idx="1">
                <c:v>6.7616590159105252E-3</c:v>
              </c:pt>
              <c:pt idx="2">
                <c:v>7.201345919761834E-3</c:v>
              </c:pt>
              <c:pt idx="3">
                <c:v>7.6662501480482086E-3</c:v>
              </c:pt>
              <c:pt idx="4">
                <c:v>8.1576348814824777E-3</c:v>
              </c:pt>
              <c:pt idx="5">
                <c:v>8.676819571731012E-3</c:v>
              </c:pt>
              <c:pt idx="6">
                <c:v>9.2251824498550249E-3</c:v>
              </c:pt>
              <c:pt idx="7">
                <c:v>9.8041631790234604E-3</c:v>
              </c:pt>
              <c:pt idx="8">
                <c:v>1.0415434386378618E-2</c:v>
              </c:pt>
              <c:pt idx="9">
                <c:v>1.1060464555396202E-2</c:v>
              </c:pt>
              <c:pt idx="10">
                <c:v>1.1740857774937448E-2</c:v>
              </c:pt>
              <c:pt idx="11">
                <c:v>1.2458331691968276E-2</c:v>
              </c:pt>
              <c:pt idx="12">
                <c:v>1.3214681421134968E-2</c:v>
              </c:pt>
              <c:pt idx="13">
                <c:v>1.4011783353652977E-2</c:v>
              </c:pt>
              <c:pt idx="14">
                <c:v>1.4851599216421624E-2</c:v>
              </c:pt>
              <c:pt idx="15">
                <c:v>1.5385734079129848E-2</c:v>
              </c:pt>
            </c:numLit>
          </c:yVal>
          <c:smooth val="1"/>
          <c:extLst>
            <c:ext xmlns:c16="http://schemas.microsoft.com/office/drawing/2014/chart" uri="{C3380CC4-5D6E-409C-BE32-E72D297353CC}">
              <c16:uniqueId val="{00000021-0B28-4903-AA2E-7B40D0C5C481}"/>
            </c:ext>
          </c:extLst>
        </c:ser>
        <c:ser>
          <c:idx val="24"/>
          <c:order val="24"/>
          <c:tx>
            <c:v>RH=50_Label2</c:v>
          </c:tx>
          <c:spPr>
            <a:ln w="3175">
              <a:solidFill>
                <a:srgbClr val="FF6600"/>
              </a:solidFill>
              <a:prstDash val="solid"/>
            </a:ln>
          </c:spPr>
          <c:marker>
            <c:symbol val="none"/>
          </c:marker>
          <c:dLbls>
            <c:dLbl>
              <c:idx val="0"/>
              <c:tx>
                <c:rich>
                  <a:bodyPr rot="-30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50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2-0B28-4903-AA2E-7B40D0C5C4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32.209557548226279</c:v>
              </c:pt>
            </c:numLit>
          </c:xVal>
          <c:yVal>
            <c:numLit>
              <c:formatCode>General</c:formatCode>
              <c:ptCount val="1"/>
              <c:pt idx="0">
                <c:v>1.565467970435885E-2</c:v>
              </c:pt>
            </c:numLit>
          </c:yVal>
          <c:smooth val="0"/>
          <c:extLst>
            <c:ext xmlns:c16="http://schemas.microsoft.com/office/drawing/2014/chart" uri="{C3380CC4-5D6E-409C-BE32-E72D297353CC}">
              <c16:uniqueId val="{00000023-0B28-4903-AA2E-7B40D0C5C481}"/>
            </c:ext>
          </c:extLst>
        </c:ser>
        <c:ser>
          <c:idx val="25"/>
          <c:order val="25"/>
          <c:tx>
            <c:v>RH=50_3</c:v>
          </c:tx>
          <c:spPr>
            <a:ln w="3175">
              <a:solidFill>
                <a:srgbClr val="FF6600"/>
              </a:solidFill>
              <a:prstDash val="solid"/>
            </a:ln>
          </c:spPr>
          <c:marker>
            <c:symbol val="none"/>
          </c:marker>
          <c:xVal>
            <c:numLit>
              <c:formatCode>General</c:formatCode>
              <c:ptCount val="18"/>
              <c:pt idx="0">
                <c:v>32.50966034549127</c:v>
              </c:pt>
              <c:pt idx="1">
                <c:v>33.511271187330614</c:v>
              </c:pt>
              <c:pt idx="2">
                <c:v>34.514988192934567</c:v>
              </c:pt>
              <c:pt idx="3">
                <c:v>35.521025346691431</c:v>
              </c:pt>
              <c:pt idx="4">
                <c:v>36.529611499761643</c:v>
              </c:pt>
              <c:pt idx="5">
                <c:v>37.540991263473543</c:v>
              </c:pt>
              <c:pt idx="6">
                <c:v>38.555425961918715</c:v>
              </c:pt>
              <c:pt idx="7">
                <c:v>39.573194603758857</c:v>
              </c:pt>
              <c:pt idx="8">
                <c:v>40.594590851639929</c:v>
              </c:pt>
              <c:pt idx="9">
                <c:v>41.619937316690823</c:v>
              </c:pt>
              <c:pt idx="10">
                <c:v>42.649573211420787</c:v>
              </c:pt>
              <c:pt idx="11">
                <c:v>43.683860328611424</c:v>
              </c:pt>
              <c:pt idx="12">
                <c:v>44.723184479726754</c:v>
              </c:pt>
              <c:pt idx="13">
                <c:v>45.767957042375727</c:v>
              </c:pt>
              <c:pt idx="14">
                <c:v>46.818616627355617</c:v>
              </c:pt>
              <c:pt idx="15">
                <c:v>47.87563087698836</c:v>
              </c:pt>
              <c:pt idx="16">
                <c:v>48.939498407794616</c:v>
              </c:pt>
              <c:pt idx="17">
                <c:v>50</c:v>
              </c:pt>
            </c:numLit>
          </c:xVal>
          <c:yVal>
            <c:numLit>
              <c:formatCode>General</c:formatCode>
              <c:ptCount val="18"/>
              <c:pt idx="0">
                <c:v>1.5927828907446664E-2</c:v>
              </c:pt>
              <c:pt idx="1">
                <c:v>1.6869454213500404E-2</c:v>
              </c:pt>
              <c:pt idx="2">
                <c:v>1.7860719974887418E-2</c:v>
              </c:pt>
              <c:pt idx="3">
                <c:v>1.8903998294804217E-2</c:v>
              </c:pt>
              <c:pt idx="4">
                <c:v>2.000177271349279E-2</c:v>
              </c:pt>
              <c:pt idx="5">
                <c:v>2.1156644378631805E-2</c:v>
              </c:pt>
              <c:pt idx="6">
                <c:v>2.2371338671019026E-2</c:v>
              </c:pt>
              <c:pt idx="7">
                <c:v>2.3648714769532078E-2</c:v>
              </c:pt>
              <c:pt idx="8">
                <c:v>2.4992022393473451E-2</c:v>
              </c:pt>
              <c:pt idx="9">
                <c:v>2.6404178570594451E-2</c:v>
              </c:pt>
              <c:pt idx="10">
                <c:v>2.7888485033202765E-2</c:v>
              </c:pt>
              <c:pt idx="11">
                <c:v>2.9448409483270498E-2</c:v>
              </c:pt>
              <c:pt idx="12">
                <c:v>3.1087595987123743E-2</c:v>
              </c:pt>
              <c:pt idx="13">
                <c:v>3.2809876218774625E-2</c:v>
              </c:pt>
              <c:pt idx="14">
                <c:v>3.4619281634166249E-2</c:v>
              </c:pt>
              <c:pt idx="15">
                <c:v>3.6520056667667937E-2</c:v>
              </c:pt>
              <c:pt idx="16">
                <c:v>3.8516673052359653E-2</c:v>
              </c:pt>
              <c:pt idx="17">
                <c:v>4.0592359792918926E-2</c:v>
              </c:pt>
            </c:numLit>
          </c:yVal>
          <c:smooth val="1"/>
          <c:extLst>
            <c:ext xmlns:c16="http://schemas.microsoft.com/office/drawing/2014/chart" uri="{C3380CC4-5D6E-409C-BE32-E72D297353CC}">
              <c16:uniqueId val="{00000024-0B28-4903-AA2E-7B40D0C5C481}"/>
            </c:ext>
          </c:extLst>
        </c:ser>
        <c:ser>
          <c:idx val="26"/>
          <c:order val="26"/>
          <c:tx>
            <c:v>RH=60_1</c:v>
          </c:tx>
          <c:spPr>
            <a:ln w="3175">
              <a:solidFill>
                <a:srgbClr val="0000FF"/>
              </a:solidFill>
              <a:prstDash val="solid"/>
            </a:ln>
          </c:spPr>
          <c:marker>
            <c:symbol val="none"/>
          </c:marker>
          <c:xVal>
            <c:numLit>
              <c:formatCode>General</c:formatCode>
              <c:ptCount val="27"/>
              <c:pt idx="0">
                <c:v>-10.106791566071182</c:v>
              </c:pt>
              <c:pt idx="1">
                <c:v>-9.114737296143911</c:v>
              </c:pt>
              <c:pt idx="2">
                <c:v>-8.1231575359745278</c:v>
              </c:pt>
              <c:pt idx="3">
                <c:v>-7.1320703593639401</c:v>
              </c:pt>
              <c:pt idx="4">
                <c:v>-6.1414935776753259</c:v>
              </c:pt>
              <c:pt idx="5">
                <c:v>-5.1514446173368293</c:v>
              </c:pt>
              <c:pt idx="6">
                <c:v>-4.1619403846292249</c:v>
              </c:pt>
              <c:pt idx="7">
                <c:v>-3.1729971168886375</c:v>
              </c:pt>
              <c:pt idx="8">
                <c:v>-2.1846302192056264</c:v>
              </c:pt>
              <c:pt idx="9">
                <c:v>-1.1968540856493599</c:v>
              </c:pt>
              <c:pt idx="10">
                <c:v>-0.20968190398886188</c:v>
              </c:pt>
              <c:pt idx="11">
                <c:v>0.77901653902700452</c:v>
              </c:pt>
              <c:pt idx="12">
                <c:v>1.7673586730365087</c:v>
              </c:pt>
              <c:pt idx="13">
                <c:v>2.7553302668322517</c:v>
              </c:pt>
              <c:pt idx="14">
                <c:v>3.742939630389412</c:v>
              </c:pt>
              <c:pt idx="15">
                <c:v>4.7301973807635171</c:v>
              </c:pt>
              <c:pt idx="16">
                <c:v>5.7171109692723858</c:v>
              </c:pt>
              <c:pt idx="17">
                <c:v>6.7037013465567465</c:v>
              </c:pt>
              <c:pt idx="18">
                <c:v>7.6899872415691117</c:v>
              </c:pt>
              <c:pt idx="19">
                <c:v>8.6759905358320282</c:v>
              </c:pt>
              <c:pt idx="20">
                <c:v>9.6617365038877931</c:v>
              </c:pt>
              <c:pt idx="21">
                <c:v>10.647246983750058</c:v>
              </c:pt>
              <c:pt idx="22">
                <c:v>11.632561294510978</c:v>
              </c:pt>
              <c:pt idx="23">
                <c:v>12.617716452210654</c:v>
              </c:pt>
              <c:pt idx="24">
                <c:v>13.60275396515117</c:v>
              </c:pt>
              <c:pt idx="25">
                <c:v>14.587720145442251</c:v>
              </c:pt>
              <c:pt idx="26">
                <c:v>14.971848553064145</c:v>
              </c:pt>
            </c:numLit>
          </c:xVal>
          <c:yVal>
            <c:numLit>
              <c:formatCode>General</c:formatCode>
              <c:ptCount val="27"/>
              <c:pt idx="0">
                <c:v>9.6265515651978821E-4</c:v>
              </c:pt>
              <c:pt idx="1">
                <c:v>1.0518108248658113E-3</c:v>
              </c:pt>
              <c:pt idx="2">
                <c:v>1.1484657136667973E-3</c:v>
              </c:pt>
              <c:pt idx="3">
                <c:v>1.253186016979086E-3</c:v>
              </c:pt>
              <c:pt idx="4">
                <c:v>1.3665758366107619E-3</c:v>
              </c:pt>
              <c:pt idx="5">
                <c:v>1.4892794236642264E-3</c:v>
              </c:pt>
              <c:pt idx="6">
                <c:v>1.6219835417861427E-3</c:v>
              </c:pt>
              <c:pt idx="7">
                <c:v>1.7654199593220663E-3</c:v>
              </c:pt>
              <c:pt idx="8">
                <c:v>1.9203680781726613E-3</c:v>
              </c:pt>
              <c:pt idx="9">
                <c:v>2.087657707814211E-3</c:v>
              </c:pt>
              <c:pt idx="10">
                <c:v>2.2681719936859684E-3</c:v>
              </c:pt>
              <c:pt idx="11">
                <c:v>2.4392073923505966E-3</c:v>
              </c:pt>
              <c:pt idx="12">
                <c:v>2.6213841277472243E-3</c:v>
              </c:pt>
              <c:pt idx="13">
                <c:v>2.815577116984156E-3</c:v>
              </c:pt>
              <c:pt idx="14">
                <c:v>3.0224723215083122E-3</c:v>
              </c:pt>
              <c:pt idx="15">
                <c:v>3.2427889480513973E-3</c:v>
              </c:pt>
              <c:pt idx="16">
                <c:v>3.4773504999020071E-3</c:v>
              </c:pt>
              <c:pt idx="17">
                <c:v>3.7268872888711327E-3</c:v>
              </c:pt>
              <c:pt idx="18">
                <c:v>3.9922277903414322E-3</c:v>
              </c:pt>
              <c:pt idx="19">
                <c:v>4.2742397187644924E-3</c:v>
              </c:pt>
              <c:pt idx="20">
                <c:v>4.5738316813021601E-3</c:v>
              </c:pt>
              <c:pt idx="21">
                <c:v>4.8920531340976188E-3</c:v>
              </c:pt>
              <c:pt idx="22">
                <c:v>5.2298151913123467E-3</c:v>
              </c:pt>
              <c:pt idx="23">
                <c:v>5.5881611315908462E-3</c:v>
              </c:pt>
              <c:pt idx="24">
                <c:v>5.968182662155372E-3</c:v>
              </c:pt>
              <c:pt idx="25">
                <c:v>6.3710220228125171E-3</c:v>
              </c:pt>
              <c:pt idx="26">
                <c:v>6.5345703991554396E-3</c:v>
              </c:pt>
            </c:numLit>
          </c:yVal>
          <c:smooth val="1"/>
          <c:extLst>
            <c:ext xmlns:c16="http://schemas.microsoft.com/office/drawing/2014/chart" uri="{C3380CC4-5D6E-409C-BE32-E72D297353CC}">
              <c16:uniqueId val="{00000025-0B28-4903-AA2E-7B40D0C5C481}"/>
            </c:ext>
          </c:extLst>
        </c:ser>
        <c:ser>
          <c:idx val="27"/>
          <c:order val="27"/>
          <c:tx>
            <c:v>RH=60_Label1</c:v>
          </c:tx>
          <c:spPr>
            <a:ln w="3175">
              <a:solidFill>
                <a:srgbClr val="0000FF"/>
              </a:solidFill>
              <a:prstDash val="solid"/>
            </a:ln>
          </c:spPr>
          <c:marker>
            <c:symbol val="none"/>
          </c:marker>
          <c:dLbls>
            <c:dLbl>
              <c:idx val="0"/>
              <c:tx>
                <c:rich>
                  <a:bodyPr rot="-18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60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6-0B28-4903-AA2E-7B40D0C5C4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15.434773089390811</c:v>
              </c:pt>
            </c:numLit>
          </c:xVal>
          <c:yVal>
            <c:numLit>
              <c:formatCode>General</c:formatCode>
              <c:ptCount val="1"/>
              <c:pt idx="0">
                <c:v>6.736623266512377E-3</c:v>
              </c:pt>
            </c:numLit>
          </c:yVal>
          <c:smooth val="0"/>
          <c:extLst>
            <c:ext xmlns:c16="http://schemas.microsoft.com/office/drawing/2014/chart" uri="{C3380CC4-5D6E-409C-BE32-E72D297353CC}">
              <c16:uniqueId val="{00000027-0B28-4903-AA2E-7B40D0C5C481}"/>
            </c:ext>
          </c:extLst>
        </c:ser>
        <c:ser>
          <c:idx val="28"/>
          <c:order val="28"/>
          <c:tx>
            <c:v>RH=60_2</c:v>
          </c:tx>
          <c:spPr>
            <a:ln w="3175">
              <a:solidFill>
                <a:srgbClr val="0000FF"/>
              </a:solidFill>
              <a:prstDash val="solid"/>
            </a:ln>
          </c:spPr>
          <c:marker>
            <c:symbol val="none"/>
          </c:marker>
          <c:xVal>
            <c:numLit>
              <c:formatCode>General</c:formatCode>
              <c:ptCount val="15"/>
              <c:pt idx="0">
                <c:v>15.897703887038311</c:v>
              </c:pt>
              <c:pt idx="1">
                <c:v>16.882712907666683</c:v>
              </c:pt>
              <c:pt idx="2">
                <c:v>17.867843780457338</c:v>
              </c:pt>
              <c:pt idx="3">
                <c:v>18.853167632773957</c:v>
              </c:pt>
              <c:pt idx="4">
                <c:v>19.838762357666667</c:v>
              </c:pt>
              <c:pt idx="5">
                <c:v>20.824713047015294</c:v>
              </c:pt>
              <c:pt idx="6">
                <c:v>21.811112448447897</c:v>
              </c:pt>
              <c:pt idx="7">
                <c:v>22.798061447611477</c:v>
              </c:pt>
              <c:pt idx="8">
                <c:v>23.785669577521677</c:v>
              </c:pt>
              <c:pt idx="9">
                <c:v>24.774051831419158</c:v>
              </c:pt>
              <c:pt idx="10">
                <c:v>25.763332537489855</c:v>
              </c:pt>
              <c:pt idx="11">
                <c:v>26.753657982880188</c:v>
              </c:pt>
              <c:pt idx="12">
                <c:v>27.745178065536479</c:v>
              </c:pt>
              <c:pt idx="13">
                <c:v>28.738054370171888</c:v>
              </c:pt>
              <c:pt idx="14">
                <c:v>29.583195155694028</c:v>
              </c:pt>
            </c:numLit>
          </c:xVal>
          <c:yVal>
            <c:numLit>
              <c:formatCode>General</c:formatCode>
              <c:ptCount val="15"/>
              <c:pt idx="0">
                <c:v>6.9442164723304209E-3</c:v>
              </c:pt>
              <c:pt idx="1">
                <c:v>7.4049523400725346E-3</c:v>
              </c:pt>
              <c:pt idx="2">
                <c:v>7.8927032614548986E-3</c:v>
              </c:pt>
              <c:pt idx="3">
                <c:v>8.4088574073189169E-3</c:v>
              </c:pt>
              <c:pt idx="4">
                <c:v>8.9548667635628559E-3</c:v>
              </c:pt>
              <c:pt idx="5">
                <c:v>9.5322500891234421E-3</c:v>
              </c:pt>
              <c:pt idx="6">
                <c:v>1.0142596050639335E-2</c:v>
              </c:pt>
              <c:pt idx="7">
                <c:v>1.0787566548190554E-2</c:v>
              </c:pt>
              <c:pt idx="8">
                <c:v>1.1468900247835185E-2</c:v>
              </c:pt>
              <c:pt idx="9">
                <c:v>1.2188498014486378E-2</c:v>
              </c:pt>
              <c:pt idx="10">
                <c:v>1.2948368636975393E-2</c:v>
              </c:pt>
              <c:pt idx="11">
                <c:v>1.3750351447902053E-2</c:v>
              </c:pt>
              <c:pt idx="12">
                <c:v>1.4596535174992941E-2</c:v>
              </c:pt>
              <c:pt idx="13">
                <c:v>1.5489106949635579E-2</c:v>
              </c:pt>
              <c:pt idx="14">
                <c:v>1.6285973584079443E-2</c:v>
              </c:pt>
            </c:numLit>
          </c:yVal>
          <c:smooth val="1"/>
          <c:extLst>
            <c:ext xmlns:c16="http://schemas.microsoft.com/office/drawing/2014/chart" uri="{C3380CC4-5D6E-409C-BE32-E72D297353CC}">
              <c16:uniqueId val="{00000028-0B28-4903-AA2E-7B40D0C5C481}"/>
            </c:ext>
          </c:extLst>
        </c:ser>
        <c:ser>
          <c:idx val="29"/>
          <c:order val="29"/>
          <c:tx>
            <c:v>RH=60_Label2</c:v>
          </c:tx>
          <c:spPr>
            <a:ln w="3175">
              <a:solidFill>
                <a:srgbClr val="0000FF"/>
              </a:solidFill>
              <a:prstDash val="solid"/>
            </a:ln>
          </c:spPr>
          <c:marker>
            <c:symbol val="none"/>
          </c:marker>
          <c:dLbls>
            <c:dLbl>
              <c:idx val="0"/>
              <c:tx>
                <c:rich>
                  <a:bodyPr rot="-31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60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9-0B28-4903-AA2E-7B40D0C5C4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29.881765236525613</c:v>
              </c:pt>
            </c:numLit>
          </c:xVal>
          <c:yVal>
            <c:numLit>
              <c:formatCode>General</c:formatCode>
              <c:ptCount val="1"/>
              <c:pt idx="0">
                <c:v>1.6575890513595995E-2</c:v>
              </c:pt>
            </c:numLit>
          </c:yVal>
          <c:smooth val="0"/>
          <c:extLst>
            <c:ext xmlns:c16="http://schemas.microsoft.com/office/drawing/2014/chart" uri="{C3380CC4-5D6E-409C-BE32-E72D297353CC}">
              <c16:uniqueId val="{0000002A-0B28-4903-AA2E-7B40D0C5C481}"/>
            </c:ext>
          </c:extLst>
        </c:ser>
        <c:ser>
          <c:idx val="30"/>
          <c:order val="30"/>
          <c:tx>
            <c:v>RH=60_3</c:v>
          </c:tx>
          <c:spPr>
            <a:ln w="3175">
              <a:solidFill>
                <a:srgbClr val="0000FF"/>
              </a:solidFill>
              <a:prstDash val="solid"/>
            </a:ln>
          </c:spPr>
          <c:marker>
            <c:symbol val="none"/>
          </c:marker>
          <c:xVal>
            <c:numLit>
              <c:formatCode>General</c:formatCode>
              <c:ptCount val="19"/>
              <c:pt idx="0">
                <c:v>30.180492418482846</c:v>
              </c:pt>
              <c:pt idx="1">
                <c:v>31.177453891540974</c:v>
              </c:pt>
              <c:pt idx="2">
                <c:v>32.176429201565348</c:v>
              </c:pt>
              <c:pt idx="3">
                <c:v>33.177641333674551</c:v>
              </c:pt>
              <c:pt idx="4">
                <c:v>34.181329486483897</c:v>
              </c:pt>
              <c:pt idx="5">
                <c:v>35.18775008865876</c:v>
              </c:pt>
              <c:pt idx="6">
                <c:v>36.19717788603942</c:v>
              </c:pt>
              <c:pt idx="7">
                <c:v>37.209907105737216</c:v>
              </c:pt>
              <c:pt idx="8">
                <c:v>38.226252704299107</c:v>
              </c:pt>
              <c:pt idx="9">
                <c:v>39.246551707818924</c:v>
              </c:pt>
              <c:pt idx="10">
                <c:v>40.271160513360229</c:v>
              </c:pt>
              <c:pt idx="11">
                <c:v>41.300468212126702</c:v>
              </c:pt>
              <c:pt idx="12">
                <c:v>42.334888519870255</c:v>
              </c:pt>
              <c:pt idx="13">
                <c:v>43.374862492056081</c:v>
              </c:pt>
              <c:pt idx="14">
                <c:v>44.420861699804476</c:v>
              </c:pt>
              <c:pt idx="15">
                <c:v>45.473390347027014</c:v>
              </c:pt>
              <c:pt idx="16">
                <c:v>46.53298756667926</c:v>
              </c:pt>
              <c:pt idx="17">
                <c:v>47.600229915093209</c:v>
              </c:pt>
              <c:pt idx="18">
                <c:v>42.698224206857375</c:v>
              </c:pt>
            </c:numLit>
          </c:xVal>
          <c:yVal>
            <c:numLit>
              <c:formatCode>General</c:formatCode>
              <c:ptCount val="19"/>
              <c:pt idx="0">
                <c:v>1.6870437016947411E-2</c:v>
              </c:pt>
              <c:pt idx="1">
                <c:v>1.7886565192149154E-2</c:v>
              </c:pt>
              <c:pt idx="2">
                <c:v>1.8957458295095053E-2</c:v>
              </c:pt>
              <c:pt idx="3">
                <c:v>2.0085809975849678E-2</c:v>
              </c:pt>
              <c:pt idx="4">
                <c:v>2.127444564301351E-2</c:v>
              </c:pt>
              <c:pt idx="5">
                <c:v>2.2526330127538324E-2</c:v>
              </c:pt>
              <c:pt idx="6">
                <c:v>2.3844575937580107E-2</c:v>
              </c:pt>
              <c:pt idx="7">
                <c:v>2.5232452159705081E-2</c:v>
              </c:pt>
              <c:pt idx="8">
                <c:v>2.6693394067577716E-2</c:v>
              </c:pt>
              <c:pt idx="9">
                <c:v>2.8231013505784899E-2</c:v>
              </c:pt>
              <c:pt idx="10">
                <c:v>2.984935294705339E-2</c:v>
              </c:pt>
              <c:pt idx="11">
                <c:v>3.1552270792490095E-2</c:v>
              </c:pt>
              <c:pt idx="12">
                <c:v>3.3343918402475865E-2</c:v>
              </c:pt>
              <c:pt idx="13">
                <c:v>3.522873949724975E-2</c:v>
              </c:pt>
              <c:pt idx="14">
                <c:v>3.7211421126014395E-2</c:v>
              </c:pt>
              <c:pt idx="15">
                <c:v>3.9296910626666244E-2</c:v>
              </c:pt>
              <c:pt idx="16">
                <c:v>4.1490434101493494E-2</c:v>
              </c:pt>
              <c:pt idx="17">
                <c:v>4.3797516568883268E-2</c:v>
              </c:pt>
              <c:pt idx="18">
                <c:v>3.4000000000000002E-2</c:v>
              </c:pt>
            </c:numLit>
          </c:yVal>
          <c:smooth val="1"/>
          <c:extLst>
            <c:ext xmlns:c16="http://schemas.microsoft.com/office/drawing/2014/chart" uri="{C3380CC4-5D6E-409C-BE32-E72D297353CC}">
              <c16:uniqueId val="{0000002B-0B28-4903-AA2E-7B40D0C5C481}"/>
            </c:ext>
          </c:extLst>
        </c:ser>
        <c:ser>
          <c:idx val="31"/>
          <c:order val="31"/>
          <c:tx>
            <c:v>RH=70_1</c:v>
          </c:tx>
          <c:spPr>
            <a:ln w="3175">
              <a:solidFill>
                <a:srgbClr val="0000FF"/>
              </a:solidFill>
              <a:prstDash val="solid"/>
            </a:ln>
          </c:spPr>
          <c:marker>
            <c:symbol val="none"/>
          </c:marker>
          <c:xVal>
            <c:numLit>
              <c:formatCode>General</c:formatCode>
              <c:ptCount val="26"/>
              <c:pt idx="0">
                <c:v>-10.124622307298575</c:v>
              </c:pt>
              <c:pt idx="1">
                <c:v>-9.1338979172609864</c:v>
              </c:pt>
              <c:pt idx="2">
                <c:v>-8.1437280234855134</c:v>
              </c:pt>
              <c:pt idx="3">
                <c:v>-7.1541338449252079</c:v>
              </c:pt>
              <c:pt idx="4">
                <c:v>-6.1651363118296896</c:v>
              </c:pt>
              <c:pt idx="5">
                <c:v>-5.1767559247885586</c:v>
              </c:pt>
              <c:pt idx="6">
                <c:v>-4.1890125991046698</c:v>
              </c:pt>
              <c:pt idx="7">
                <c:v>-3.2019254934867307</c:v>
              </c:pt>
              <c:pt idx="8">
                <c:v>-2.2155128219917031</c:v>
              </c:pt>
              <c:pt idx="9">
                <c:v>-1.2297916480837099</c:v>
              </c:pt>
              <c:pt idx="10">
                <c:v>-0.24477765960672535</c:v>
              </c:pt>
              <c:pt idx="11">
                <c:v>0.7420173412327703</c:v>
              </c:pt>
              <c:pt idx="12">
                <c:v>1.7283943345998389</c:v>
              </c:pt>
              <c:pt idx="13">
                <c:v>2.7143364544970345</c:v>
              </c:pt>
              <c:pt idx="14">
                <c:v>3.6998531446897225</c:v>
              </c:pt>
              <c:pt idx="15">
                <c:v>4.6849565229067851</c:v>
              </c:pt>
              <c:pt idx="16">
                <c:v>5.6696549833508803</c:v>
              </c:pt>
              <c:pt idx="17">
                <c:v>6.653972673256888</c:v>
              </c:pt>
              <c:pt idx="18">
                <c:v>7.6379311205439393</c:v>
              </c:pt>
              <c:pt idx="19">
                <c:v>8.6215555140799189</c:v>
              </c:pt>
              <c:pt idx="20">
                <c:v>9.6048749851296975</c:v>
              </c:pt>
              <c:pt idx="21">
                <c:v>10.587914619197658</c:v>
              </c:pt>
              <c:pt idx="22">
                <c:v>11.57071992192834</c:v>
              </c:pt>
              <c:pt idx="23">
                <c:v>12.553333684169095</c:v>
              </c:pt>
              <c:pt idx="24">
                <c:v>13.535803930399325</c:v>
              </c:pt>
              <c:pt idx="25">
                <c:v>13.663517251468223</c:v>
              </c:pt>
            </c:numLit>
          </c:xVal>
          <c:yVal>
            <c:numLit>
              <c:formatCode>General</c:formatCode>
              <c:ptCount val="26"/>
              <c:pt idx="0">
                <c:v>1.1233874654334045E-3</c:v>
              </c:pt>
              <c:pt idx="1">
                <c:v>1.2274585817801354E-3</c:v>
              </c:pt>
              <c:pt idx="2">
                <c:v>1.3402891326142665E-3</c:v>
              </c:pt>
              <c:pt idx="3">
                <c:v>1.4625414826896688E-3</c:v>
              </c:pt>
              <c:pt idx="4">
                <c:v>1.5949225201677061E-3</c:v>
              </c:pt>
              <c:pt idx="5">
                <c:v>1.7381863180575758E-3</c:v>
              </c:pt>
              <c:pt idx="6">
                <c:v>1.8931369444374524E-3</c:v>
              </c:pt>
              <c:pt idx="7">
                <c:v>2.0606314307937824E-3</c:v>
              </c:pt>
              <c:pt idx="8">
                <c:v>2.2415829086399218E-3</c:v>
              </c:pt>
              <c:pt idx="9">
                <c:v>2.436963925492433E-3</c:v>
              </c:pt>
              <c:pt idx="10">
                <c:v>2.6478099523050075E-3</c:v>
              </c:pt>
              <c:pt idx="11">
                <c:v>2.8476031898160307E-3</c:v>
              </c:pt>
              <c:pt idx="12">
                <c:v>3.0604312207948227E-3</c:v>
              </c:pt>
              <c:pt idx="13">
                <c:v>3.2873201415692466E-3</c:v>
              </c:pt>
              <c:pt idx="14">
                <c:v>3.5290759284962439E-3</c:v>
              </c:pt>
              <c:pt idx="15">
                <c:v>3.7865440615982605E-3</c:v>
              </c:pt>
              <c:pt idx="16">
                <c:v>4.0606926533359542E-3</c:v>
              </c:pt>
              <c:pt idx="17">
                <c:v>4.3523817292269416E-3</c:v>
              </c:pt>
              <c:pt idx="18">
                <c:v>4.662586952544772E-3</c:v>
              </c:pt>
              <c:pt idx="19">
                <c:v>4.9923308790401572E-3</c:v>
              </c:pt>
              <c:pt idx="20">
                <c:v>5.3426850128968318E-3</c:v>
              </c:pt>
              <c:pt idx="21">
                <c:v>5.7148868636222108E-3</c:v>
              </c:pt>
              <c:pt idx="22">
                <c:v>6.110013561687732E-3</c:v>
              </c:pt>
              <c:pt idx="23">
                <c:v>6.529298368583126E-3</c:v>
              </c:pt>
              <c:pt idx="24">
                <c:v>6.9740329453147794E-3</c:v>
              </c:pt>
              <c:pt idx="25">
                <c:v>7.0337875575625384E-3</c:v>
              </c:pt>
            </c:numLit>
          </c:yVal>
          <c:smooth val="1"/>
          <c:extLst>
            <c:ext xmlns:c16="http://schemas.microsoft.com/office/drawing/2014/chart" uri="{C3380CC4-5D6E-409C-BE32-E72D297353CC}">
              <c16:uniqueId val="{0000002C-0B28-4903-AA2E-7B40D0C5C481}"/>
            </c:ext>
          </c:extLst>
        </c:ser>
        <c:ser>
          <c:idx val="32"/>
          <c:order val="32"/>
          <c:tx>
            <c:v>RH=70_Label1</c:v>
          </c:tx>
          <c:spPr>
            <a:ln w="3175">
              <a:solidFill>
                <a:srgbClr val="0000FF"/>
              </a:solidFill>
              <a:prstDash val="solid"/>
            </a:ln>
          </c:spPr>
          <c:marker>
            <c:symbol val="none"/>
          </c:marker>
          <c:dLbls>
            <c:dLbl>
              <c:idx val="0"/>
              <c:tx>
                <c:rich>
                  <a:bodyPr rot="-19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70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D-0B28-4903-AA2E-7B40D0C5C4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14.115415531085313</c:v>
              </c:pt>
            </c:numLit>
          </c:xVal>
          <c:yVal>
            <c:numLit>
              <c:formatCode>General</c:formatCode>
              <c:ptCount val="1"/>
              <c:pt idx="0">
                <c:v>7.248908724043295E-3</c:v>
              </c:pt>
            </c:numLit>
          </c:yVal>
          <c:smooth val="0"/>
          <c:extLst>
            <c:ext xmlns:c16="http://schemas.microsoft.com/office/drawing/2014/chart" uri="{C3380CC4-5D6E-409C-BE32-E72D297353CC}">
              <c16:uniqueId val="{0000002E-0B28-4903-AA2E-7B40D0C5C481}"/>
            </c:ext>
          </c:extLst>
        </c:ser>
        <c:ser>
          <c:idx val="33"/>
          <c:order val="33"/>
          <c:tx>
            <c:v>RH=70_2</c:v>
          </c:tx>
          <c:spPr>
            <a:ln w="3175">
              <a:solidFill>
                <a:srgbClr val="0000FF"/>
              </a:solidFill>
              <a:prstDash val="solid"/>
            </a:ln>
          </c:spPr>
          <c:marker>
            <c:symbol val="none"/>
          </c:marker>
          <c:xVal>
            <c:numLit>
              <c:formatCode>General</c:formatCode>
              <c:ptCount val="15"/>
              <c:pt idx="0">
                <c:v>14.557478452716124</c:v>
              </c:pt>
              <c:pt idx="1">
                <c:v>15.539828650256451</c:v>
              </c:pt>
              <c:pt idx="2">
                <c:v>16.522217362965936</c:v>
              </c:pt>
              <c:pt idx="3">
                <c:v>17.504717714343734</c:v>
              </c:pt>
              <c:pt idx="4">
                <c:v>18.487410131551616</c:v>
              </c:pt>
              <c:pt idx="5">
                <c:v>19.470382827891875</c:v>
              </c:pt>
              <c:pt idx="6">
                <c:v>20.453732312792965</c:v>
              </c:pt>
              <c:pt idx="7">
                <c:v>21.437563931214026</c:v>
              </c:pt>
              <c:pt idx="8">
                <c:v>22.421992434567873</c:v>
              </c:pt>
              <c:pt idx="9">
                <c:v>23.407142585470929</c:v>
              </c:pt>
              <c:pt idx="10">
                <c:v>24.393149271932984</c:v>
              </c:pt>
              <c:pt idx="11">
                <c:v>25.380146828018695</c:v>
              </c:pt>
              <c:pt idx="12">
                <c:v>26.368306476005845</c:v>
              </c:pt>
              <c:pt idx="13">
                <c:v>27.357799918479614</c:v>
              </c:pt>
              <c:pt idx="14">
                <c:v>27.60540309392756</c:v>
              </c:pt>
            </c:numLit>
          </c:xVal>
          <c:yVal>
            <c:numLit>
              <c:formatCode>General</c:formatCode>
              <c:ptCount val="15"/>
              <c:pt idx="0">
                <c:v>7.4650088052640581E-3</c:v>
              </c:pt>
              <c:pt idx="1">
                <c:v>7.9659241397534303E-3</c:v>
              </c:pt>
              <c:pt idx="2">
                <c:v>8.4966028039244381E-3</c:v>
              </c:pt>
              <c:pt idx="3">
                <c:v>9.058601130616949E-3</c:v>
              </c:pt>
              <c:pt idx="4">
                <c:v>9.6535489368709364E-3</c:v>
              </c:pt>
              <c:pt idx="5">
                <c:v>1.0283153077594011E-2</c:v>
              </c:pt>
              <c:pt idx="6">
                <c:v>1.0949201221749659E-2</c:v>
              </c:pt>
              <c:pt idx="7">
                <c:v>1.1653565869804223E-2</c:v>
              </c:pt>
              <c:pt idx="8">
                <c:v>1.2398208632955276E-2</c:v>
              </c:pt>
              <c:pt idx="9">
                <c:v>1.318518479663176E-2</c:v>
              </c:pt>
              <c:pt idx="10">
                <c:v>1.4016659610978009E-2</c:v>
              </c:pt>
              <c:pt idx="11">
                <c:v>1.4895172308085002E-2</c:v>
              </c:pt>
              <c:pt idx="12">
                <c:v>1.5822835533000876E-2</c:v>
              </c:pt>
              <c:pt idx="13">
                <c:v>1.6802134918069693E-2</c:v>
              </c:pt>
              <c:pt idx="14">
                <c:v>1.7055330715959553E-2</c:v>
              </c:pt>
            </c:numLit>
          </c:yVal>
          <c:smooth val="1"/>
          <c:extLst>
            <c:ext xmlns:c16="http://schemas.microsoft.com/office/drawing/2014/chart" uri="{C3380CC4-5D6E-409C-BE32-E72D297353CC}">
              <c16:uniqueId val="{0000002F-0B28-4903-AA2E-7B40D0C5C481}"/>
            </c:ext>
          </c:extLst>
        </c:ser>
        <c:ser>
          <c:idx val="34"/>
          <c:order val="34"/>
          <c:tx>
            <c:v>RH=70_Label2</c:v>
          </c:tx>
          <c:spPr>
            <a:ln w="3175">
              <a:solidFill>
                <a:srgbClr val="0000FF"/>
              </a:solidFill>
              <a:prstDash val="solid"/>
            </a:ln>
          </c:spPr>
          <c:marker>
            <c:symbol val="none"/>
          </c:marker>
          <c:dLbls>
            <c:dLbl>
              <c:idx val="0"/>
              <c:tx>
                <c:rich>
                  <a:bodyPr rot="-33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70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0-0B28-4903-AA2E-7B40D0C5C4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27.902656418060964</c:v>
              </c:pt>
            </c:numLit>
          </c:xVal>
          <c:yVal>
            <c:numLit>
              <c:formatCode>General</c:formatCode>
              <c:ptCount val="1"/>
              <c:pt idx="0">
                <c:v>1.7363699091236338E-2</c:v>
              </c:pt>
            </c:numLit>
          </c:yVal>
          <c:smooth val="0"/>
          <c:extLst>
            <c:ext xmlns:c16="http://schemas.microsoft.com/office/drawing/2014/chart" uri="{C3380CC4-5D6E-409C-BE32-E72D297353CC}">
              <c16:uniqueId val="{00000031-0B28-4903-AA2E-7B40D0C5C481}"/>
            </c:ext>
          </c:extLst>
        </c:ser>
        <c:ser>
          <c:idx val="35"/>
          <c:order val="35"/>
          <c:tx>
            <c:v>RH=70_3</c:v>
          </c:tx>
          <c:spPr>
            <a:ln w="3175">
              <a:solidFill>
                <a:srgbClr val="0000FF"/>
              </a:solidFill>
              <a:prstDash val="solid"/>
            </a:ln>
          </c:spPr>
          <c:marker>
            <c:symbol val="none"/>
          </c:marker>
          <c:xVal>
            <c:numLit>
              <c:formatCode>General</c:formatCode>
              <c:ptCount val="18"/>
              <c:pt idx="0">
                <c:v>28.200056090842775</c:v>
              </c:pt>
              <c:pt idx="1">
                <c:v>29.192516531934622</c:v>
              </c:pt>
              <c:pt idx="2">
                <c:v>30.186878036299017</c:v>
              </c:pt>
              <c:pt idx="3">
                <c:v>31.183369872871133</c:v>
              </c:pt>
              <c:pt idx="4">
                <c:v>32.182238665200806</c:v>
              </c:pt>
              <c:pt idx="5">
                <c:v>33.183749518970501</c:v>
              </c:pt>
              <c:pt idx="6">
                <c:v>34.188187230843702</c:v>
              </c:pt>
              <c:pt idx="7">
                <c:v>35.195857586295595</c:v>
              </c:pt>
              <c:pt idx="8">
                <c:v>36.207088754941182</c:v>
              </c:pt>
              <c:pt idx="9">
                <c:v>37.222232792847343</c:v>
              </c:pt>
              <c:pt idx="10">
                <c:v>38.241667262409628</c:v>
              </c:pt>
              <c:pt idx="11">
                <c:v>39.265796981608062</c:v>
              </c:pt>
              <c:pt idx="12">
                <c:v>40.295050347074792</c:v>
              </c:pt>
              <c:pt idx="13">
                <c:v>41.329898060190359</c:v>
              </c:pt>
              <c:pt idx="14">
                <c:v>42.370839619643959</c:v>
              </c:pt>
              <c:pt idx="15">
                <c:v>43.418409665420448</c:v>
              </c:pt>
              <c:pt idx="16">
                <c:v>44.47318133087601</c:v>
              </c:pt>
              <c:pt idx="17">
                <c:v>39.594578804453931</c:v>
              </c:pt>
            </c:numLit>
          </c:xVal>
          <c:yVal>
            <c:numLit>
              <c:formatCode>General</c:formatCode>
              <c:ptCount val="18"/>
              <c:pt idx="0">
                <c:v>1.7677082476637275E-2</c:v>
              </c:pt>
              <c:pt idx="1">
                <c:v>1.8758879091709882E-2</c:v>
              </c:pt>
              <c:pt idx="2">
                <c:v>1.9900088775318587E-2</c:v>
              </c:pt>
              <c:pt idx="3">
                <c:v>2.1103706378928135E-2</c:v>
              </c:pt>
              <c:pt idx="4">
                <c:v>2.2372878301942182E-2</c:v>
              </c:pt>
              <c:pt idx="5">
                <c:v>2.3710911672963426E-2</c:v>
              </c:pt>
              <c:pt idx="6">
                <c:v>2.5121284265609178E-2</c:v>
              </c:pt>
              <c:pt idx="7">
                <c:v>2.6607655219993035E-2</c:v>
              </c:pt>
              <c:pt idx="8">
                <c:v>2.8173876648752687E-2</c:v>
              </c:pt>
              <c:pt idx="9">
                <c:v>2.9824006215230181E-2</c:v>
              </c:pt>
              <c:pt idx="10">
                <c:v>3.1562320781235269E-2</c:v>
              </c:pt>
              <c:pt idx="11">
                <c:v>3.339333123290554E-2</c:v>
              </c:pt>
              <c:pt idx="12">
                <c:v>3.5322129223631905E-2</c:v>
              </c:pt>
              <c:pt idx="13">
                <c:v>3.7353496377000327E-2</c:v>
              </c:pt>
              <c:pt idx="14">
                <c:v>3.949271377872883E-2</c:v>
              </c:pt>
              <c:pt idx="15">
                <c:v>4.1745409128964649E-2</c:v>
              </c:pt>
              <c:pt idx="16">
                <c:v>4.4117541099966587E-2</c:v>
              </c:pt>
              <c:pt idx="17">
                <c:v>3.4000000000000002E-2</c:v>
              </c:pt>
            </c:numLit>
          </c:yVal>
          <c:smooth val="1"/>
          <c:extLst>
            <c:ext xmlns:c16="http://schemas.microsoft.com/office/drawing/2014/chart" uri="{C3380CC4-5D6E-409C-BE32-E72D297353CC}">
              <c16:uniqueId val="{00000032-0B28-4903-AA2E-7B40D0C5C481}"/>
            </c:ext>
          </c:extLst>
        </c:ser>
        <c:ser>
          <c:idx val="36"/>
          <c:order val="36"/>
          <c:tx>
            <c:v>RH=80_1</c:v>
          </c:tx>
          <c:spPr>
            <a:ln w="3175">
              <a:solidFill>
                <a:srgbClr val="0000FF"/>
              </a:solidFill>
              <a:prstDash val="solid"/>
            </a:ln>
          </c:spPr>
          <c:marker>
            <c:symbol val="none"/>
          </c:marker>
          <c:xVal>
            <c:numLit>
              <c:formatCode>General</c:formatCode>
              <c:ptCount val="25"/>
              <c:pt idx="0">
                <c:v>-10.142462252313372</c:v>
              </c:pt>
              <c:pt idx="1">
                <c:v>-9.1530693451110441</c:v>
              </c:pt>
              <c:pt idx="2">
                <c:v>-8.1643111797046028</c:v>
              </c:pt>
              <c:pt idx="3">
                <c:v>-7.1762121585269725</c:v>
              </c:pt>
              <c:pt idx="4">
                <c:v>-6.1887963741239869</c:v>
              </c:pt>
              <c:pt idx="5">
                <c:v>-5.2020874503179</c:v>
              </c:pt>
              <c:pt idx="6">
                <c:v>-4.216108366796858</c:v>
              </c:pt>
              <c:pt idx="7">
                <c:v>-3.2308812659811013</c:v>
              </c:pt>
              <c:pt idx="8">
                <c:v>-2.2464272409472805</c:v>
              </c:pt>
              <c:pt idx="9">
                <c:v>-1.2627661031165411</c:v>
              </c:pt>
              <c:pt idx="10">
                <c:v>-0.27991612832932827</c:v>
              </c:pt>
              <c:pt idx="11">
                <c:v>0.70496971377479312</c:v>
              </c:pt>
              <c:pt idx="12">
                <c:v>1.6893751797203689</c:v>
              </c:pt>
              <c:pt idx="13">
                <c:v>2.673280691795791</c:v>
              </c:pt>
              <c:pt idx="14">
                <c:v>3.6566967537427413</c:v>
              </c:pt>
              <c:pt idx="15">
                <c:v>4.6396369047700743</c:v>
              </c:pt>
              <c:pt idx="16">
                <c:v>5.6221103937215835</c:v>
              </c:pt>
              <c:pt idx="17">
                <c:v>6.6041444768900135</c:v>
              </c:pt>
              <c:pt idx="18">
                <c:v>7.5857633852747366</c:v>
              </c:pt>
              <c:pt idx="19">
                <c:v>8.5669955137537652</c:v>
              </c:pt>
              <c:pt idx="20">
                <c:v>9.5478737437203733</c:v>
              </c:pt>
              <c:pt idx="21">
                <c:v>10.528426290323946</c:v>
              </c:pt>
              <c:pt idx="22">
                <c:v>11.508704734555835</c:v>
              </c:pt>
              <c:pt idx="23">
                <c:v>12.488757521913389</c:v>
              </c:pt>
              <c:pt idx="24">
                <c:v>12.508356639226964</c:v>
              </c:pt>
            </c:numLit>
          </c:xVal>
          <c:yVal>
            <c:numLit>
              <c:formatCode>General</c:formatCode>
              <c:ptCount val="25"/>
              <c:pt idx="0">
                <c:v>1.2842027403875593E-3</c:v>
              </c:pt>
              <c:pt idx="1">
                <c:v>1.4032054053372527E-3</c:v>
              </c:pt>
              <c:pt idx="2">
                <c:v>1.5322306894960248E-3</c:v>
              </c:pt>
              <c:pt idx="3">
                <c:v>1.6720376483506344E-3</c:v>
              </c:pt>
              <c:pt idx="4">
                <c:v>1.8234365626798278E-3</c:v>
              </c:pt>
              <c:pt idx="5">
                <c:v>1.9872920334292098E-3</c:v>
              </c:pt>
              <c:pt idx="6">
                <c:v>2.1645262544567742E-3</c:v>
              </c:pt>
              <c:pt idx="7">
                <c:v>2.3561224749136492E-3</c:v>
              </c:pt>
              <c:pt idx="8">
                <c:v>2.5631286641125323E-3</c:v>
              </c:pt>
              <c:pt idx="9">
                <c:v>2.7866613929500377E-3</c:v>
              </c:pt>
              <c:pt idx="10">
                <c:v>3.027909947304347E-3</c:v>
              </c:pt>
              <c:pt idx="11">
                <c:v>3.2565335521456892E-3</c:v>
              </c:pt>
              <c:pt idx="12">
                <c:v>3.5000959811974544E-3</c:v>
              </c:pt>
              <c:pt idx="13">
                <c:v>3.7597760701605356E-3</c:v>
              </c:pt>
              <c:pt idx="14">
                <c:v>4.0365014695512222E-3</c:v>
              </c:pt>
              <c:pt idx="15">
                <c:v>4.3312458040777246E-3</c:v>
              </c:pt>
              <c:pt idx="16">
                <c:v>4.6451239481437702E-3</c:v>
              </c:pt>
              <c:pt idx="17">
                <c:v>4.9791279851043521E-3</c:v>
              </c:pt>
              <c:pt idx="18">
                <c:v>5.3343834410344883E-3</c:v>
              </c:pt>
              <c:pt idx="19">
                <c:v>5.7120707207410411E-3</c:v>
              </c:pt>
              <c:pt idx="20">
                <c:v>6.1134276050712729E-3</c:v>
              </c:pt>
              <c:pt idx="21">
                <c:v>6.5398835392074571E-3</c:v>
              </c:pt>
              <c:pt idx="22">
                <c:v>6.9926858663954712E-3</c:v>
              </c:pt>
              <c:pt idx="23">
                <c:v>7.4732626119606346E-3</c:v>
              </c:pt>
              <c:pt idx="24">
                <c:v>7.4831676078565192E-3</c:v>
              </c:pt>
            </c:numLit>
          </c:yVal>
          <c:smooth val="1"/>
          <c:extLst>
            <c:ext xmlns:c16="http://schemas.microsoft.com/office/drawing/2014/chart" uri="{C3380CC4-5D6E-409C-BE32-E72D297353CC}">
              <c16:uniqueId val="{00000033-0B28-4903-AA2E-7B40D0C5C481}"/>
            </c:ext>
          </c:extLst>
        </c:ser>
        <c:ser>
          <c:idx val="37"/>
          <c:order val="37"/>
          <c:tx>
            <c:v>RH=80_Label1</c:v>
          </c:tx>
          <c:spPr>
            <a:ln w="3175">
              <a:solidFill>
                <a:srgbClr val="0000FF"/>
              </a:solidFill>
              <a:prstDash val="solid"/>
            </a:ln>
          </c:spPr>
          <c:marker>
            <c:symbol val="none"/>
          </c:marker>
          <c:dLbls>
            <c:dLbl>
              <c:idx val="0"/>
              <c:tx>
                <c:rich>
                  <a:bodyPr rot="-210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80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4-0B28-4903-AA2E-7B40D0C5C4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12.93952077992059</c:v>
              </c:pt>
            </c:numLit>
          </c:xVal>
          <c:yVal>
            <c:numLit>
              <c:formatCode>General</c:formatCode>
              <c:ptCount val="1"/>
              <c:pt idx="0">
                <c:v>7.7040641188605768E-3</c:v>
              </c:pt>
            </c:numLit>
          </c:yVal>
          <c:smooth val="0"/>
          <c:extLst>
            <c:ext xmlns:c16="http://schemas.microsoft.com/office/drawing/2014/chart" uri="{C3380CC4-5D6E-409C-BE32-E72D297353CC}">
              <c16:uniqueId val="{00000035-0B28-4903-AA2E-7B40D0C5C481}"/>
            </c:ext>
          </c:extLst>
        </c:ser>
        <c:ser>
          <c:idx val="38"/>
          <c:order val="38"/>
          <c:tx>
            <c:v>RH=80_2</c:v>
          </c:tx>
          <c:spPr>
            <a:ln w="3175">
              <a:solidFill>
                <a:srgbClr val="0000FF"/>
              </a:solidFill>
              <a:prstDash val="solid"/>
            </a:ln>
          </c:spPr>
          <c:marker>
            <c:symbol val="none"/>
          </c:marker>
          <c:xVal>
            <c:numLit>
              <c:formatCode>General</c:formatCode>
              <c:ptCount val="14"/>
              <c:pt idx="0">
                <c:v>13.3608586632075</c:v>
              </c:pt>
              <c:pt idx="1">
                <c:v>14.340638748180433</c:v>
              </c:pt>
              <c:pt idx="2">
                <c:v>15.320368273945533</c:v>
              </c:pt>
              <c:pt idx="3">
                <c:v>16.300121388752697</c:v>
              </c:pt>
              <c:pt idx="4">
                <c:v>17.279980004684329</c:v>
              </c:pt>
              <c:pt idx="5">
                <c:v>18.260034325056761</c:v>
              </c:pt>
              <c:pt idx="6">
                <c:v>19.240383402872951</c:v>
              </c:pt>
              <c:pt idx="7">
                <c:v>20.221135732568783</c:v>
              </c:pt>
              <c:pt idx="8">
                <c:v>21.202409877522989</c:v>
              </c:pt>
              <c:pt idx="9">
                <c:v>22.184335136054546</c:v>
              </c:pt>
              <c:pt idx="10">
                <c:v>23.167052248913919</c:v>
              </c:pt>
              <c:pt idx="11">
                <c:v>24.150714151590211</c:v>
              </c:pt>
              <c:pt idx="12">
                <c:v>25.135473037228405</c:v>
              </c:pt>
              <c:pt idx="13">
                <c:v>25.874877054992844</c:v>
              </c:pt>
            </c:numLit>
          </c:xVal>
          <c:yVal>
            <c:numLit>
              <c:formatCode>General</c:formatCode>
              <c:ptCount val="14"/>
              <c:pt idx="0">
                <c:v>7.9255468626814787E-3</c:v>
              </c:pt>
              <c:pt idx="1">
                <c:v>8.4627640216843013E-3</c:v>
              </c:pt>
              <c:pt idx="2">
                <c:v>9.0322819658535669E-3</c:v>
              </c:pt>
              <c:pt idx="3">
                <c:v>9.6358161442111449E-3</c:v>
              </c:pt>
              <c:pt idx="4">
                <c:v>1.0275164928481188E-2</c:v>
              </c:pt>
              <c:pt idx="5">
                <c:v>1.0952213771336889E-2</c:v>
              </c:pt>
              <c:pt idx="6">
                <c:v>1.1668939635490804E-2</c:v>
              </c:pt>
              <c:pt idx="7">
                <c:v>1.2427415717094702E-2</c:v>
              </c:pt>
              <c:pt idx="8">
                <c:v>1.3229816489212421E-2</c:v>
              </c:pt>
              <c:pt idx="9">
                <c:v>1.4078423093671105E-2</c:v>
              </c:pt>
              <c:pt idx="10">
                <c:v>1.497562911241101E-2</c:v>
              </c:pt>
              <c:pt idx="11">
                <c:v>1.5923946752573682E-2</c:v>
              </c:pt>
              <c:pt idx="12">
                <c:v>1.6926321665222295E-2</c:v>
              </c:pt>
              <c:pt idx="13">
                <c:v>1.7715092490545425E-2</c:v>
              </c:pt>
            </c:numLit>
          </c:yVal>
          <c:smooth val="1"/>
          <c:extLst>
            <c:ext xmlns:c16="http://schemas.microsoft.com/office/drawing/2014/chart" uri="{C3380CC4-5D6E-409C-BE32-E72D297353CC}">
              <c16:uniqueId val="{00000036-0B28-4903-AA2E-7B40D0C5C481}"/>
            </c:ext>
          </c:extLst>
        </c:ser>
        <c:ser>
          <c:idx val="39"/>
          <c:order val="39"/>
          <c:tx>
            <c:v>RH=80_Label2</c:v>
          </c:tx>
          <c:spPr>
            <a:ln w="3175">
              <a:solidFill>
                <a:srgbClr val="0000FF"/>
              </a:solidFill>
              <a:prstDash val="solid"/>
            </a:ln>
          </c:spPr>
          <c:marker>
            <c:symbol val="none"/>
          </c:marker>
          <c:dLbls>
            <c:dLbl>
              <c:idx val="0"/>
              <c:tx>
                <c:rich>
                  <a:bodyPr rot="-33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80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0B28-4903-AA2E-7B40D0C5C4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26.170859778080111</c:v>
              </c:pt>
            </c:numLit>
          </c:xVal>
          <c:yVal>
            <c:numLit>
              <c:formatCode>General</c:formatCode>
              <c:ptCount val="1"/>
              <c:pt idx="0">
                <c:v>1.8039780825415901E-2</c:v>
              </c:pt>
            </c:numLit>
          </c:yVal>
          <c:smooth val="0"/>
          <c:extLst>
            <c:ext xmlns:c16="http://schemas.microsoft.com/office/drawing/2014/chart" uri="{C3380CC4-5D6E-409C-BE32-E72D297353CC}">
              <c16:uniqueId val="{00000038-0B28-4903-AA2E-7B40D0C5C481}"/>
            </c:ext>
          </c:extLst>
        </c:ser>
        <c:ser>
          <c:idx val="40"/>
          <c:order val="40"/>
          <c:tx>
            <c:v>RH=80_3</c:v>
          </c:tx>
          <c:spPr>
            <a:ln w="3175">
              <a:solidFill>
                <a:srgbClr val="0000FF"/>
              </a:solidFill>
              <a:prstDash val="solid"/>
            </a:ln>
          </c:spPr>
          <c:marker>
            <c:symbol val="none"/>
          </c:marker>
          <c:xVal>
            <c:numLit>
              <c:formatCode>General</c:formatCode>
              <c:ptCount val="17"/>
              <c:pt idx="0">
                <c:v>26.466976910593637</c:v>
              </c:pt>
              <c:pt idx="1">
                <c:v>27.455076949237203</c:v>
              </c:pt>
              <c:pt idx="2">
                <c:v>28.444949400883822</c:v>
              </c:pt>
              <c:pt idx="3">
                <c:v>29.436827565234527</c:v>
              </c:pt>
              <c:pt idx="4">
                <c:v>30.430963058409187</c:v>
              </c:pt>
              <c:pt idx="5">
                <c:v>31.427627039849007</c:v>
              </c:pt>
              <c:pt idx="6">
                <c:v>32.427111530608649</c:v>
              </c:pt>
              <c:pt idx="7">
                <c:v>33.429730831909019</c:v>
              </c:pt>
              <c:pt idx="8">
                <c:v>34.435823053853696</c:v>
              </c:pt>
              <c:pt idx="9">
                <c:v>35.445751765376748</c:v>
              </c:pt>
              <c:pt idx="10">
                <c:v>36.45990777780662</c:v>
              </c:pt>
              <c:pt idx="11">
                <c:v>37.478711075921858</c:v>
              </c:pt>
              <c:pt idx="12">
                <c:v>38.50261291206558</c:v>
              </c:pt>
              <c:pt idx="13">
                <c:v>39.532096283331867</c:v>
              </c:pt>
              <c:pt idx="14">
                <c:v>40.567678543689389</c:v>
              </c:pt>
              <c:pt idx="15">
                <c:v>41.609925340912454</c:v>
              </c:pt>
              <c:pt idx="16">
                <c:v>36.958513469612221</c:v>
              </c:pt>
            </c:numLit>
          </c:xVal>
          <c:yVal>
            <c:numLit>
              <c:formatCode>General</c:formatCode>
              <c:ptCount val="17"/>
              <c:pt idx="0">
                <c:v>1.8369834550872179E-2</c:v>
              </c:pt>
              <c:pt idx="1">
                <c:v>1.9509818475929395E-2</c:v>
              </c:pt>
              <c:pt idx="2">
                <c:v>2.0713450771512626E-2</c:v>
              </c:pt>
              <c:pt idx="3">
                <c:v>2.1984008896382069E-2</c:v>
              </c:pt>
              <c:pt idx="4">
                <c:v>2.3324941056249882E-2</c:v>
              </c:pt>
              <c:pt idx="5">
                <c:v>2.4739876910536536E-2</c:v>
              </c:pt>
              <c:pt idx="6">
                <c:v>2.6232639162871791E-2</c:v>
              </c:pt>
              <c:pt idx="7">
                <c:v>2.780725612342148E-2</c:v>
              </c:pt>
              <c:pt idx="8">
                <c:v>2.9467975341054942E-2</c:v>
              </c:pt>
              <c:pt idx="9">
                <c:v>3.1219278414564438E-2</c:v>
              </c:pt>
              <c:pt idx="10">
                <c:v>3.3065897104802532E-2</c:v>
              </c:pt>
              <c:pt idx="11">
                <c:v>3.5012830883924491E-2</c:v>
              </c:pt>
              <c:pt idx="12">
                <c:v>3.7065366074171026E-2</c:v>
              </c:pt>
              <c:pt idx="13">
                <c:v>3.9229196355992167E-2</c:v>
              </c:pt>
              <c:pt idx="14">
                <c:v>4.1510494000618466E-2</c:v>
              </c:pt>
              <c:pt idx="15">
                <c:v>4.39152468574769E-2</c:v>
              </c:pt>
              <c:pt idx="16">
                <c:v>3.4000000000000002E-2</c:v>
              </c:pt>
            </c:numLit>
          </c:yVal>
          <c:smooth val="1"/>
          <c:extLst>
            <c:ext xmlns:c16="http://schemas.microsoft.com/office/drawing/2014/chart" uri="{C3380CC4-5D6E-409C-BE32-E72D297353CC}">
              <c16:uniqueId val="{00000039-0B28-4903-AA2E-7B40D0C5C481}"/>
            </c:ext>
          </c:extLst>
        </c:ser>
        <c:ser>
          <c:idx val="41"/>
          <c:order val="41"/>
          <c:tx>
            <c:v>RH=90_1</c:v>
          </c:tx>
          <c:spPr>
            <a:ln w="3175">
              <a:solidFill>
                <a:srgbClr val="0000FF"/>
              </a:solidFill>
              <a:prstDash val="solid"/>
            </a:ln>
          </c:spPr>
          <c:marker>
            <c:symbol val="none"/>
          </c:marker>
          <c:xVal>
            <c:numLit>
              <c:formatCode>General</c:formatCode>
              <c:ptCount val="24"/>
              <c:pt idx="0">
                <c:v>-10.160311408243556</c:v>
              </c:pt>
              <c:pt idx="1">
                <c:v>-9.1722515888392806</c:v>
              </c:pt>
              <c:pt idx="2">
                <c:v>-8.1849070163387818</c:v>
              </c:pt>
              <c:pt idx="3">
                <c:v>-7.1983053151223135</c:v>
              </c:pt>
              <c:pt idx="4">
                <c:v>-6.2124737836153079</c:v>
              </c:pt>
              <c:pt idx="5">
                <c:v>-5.2274392181591223</c:v>
              </c:pt>
              <c:pt idx="6">
                <c:v>-4.2432277184566214</c:v>
              </c:pt>
              <c:pt idx="7">
                <c:v>-3.2598644733070836</c:v>
              </c:pt>
              <c:pt idx="8">
                <c:v>-2.2773735252646343</c:v>
              </c:pt>
              <c:pt idx="9">
                <c:v>-1.2957775127664004</c:v>
              </c:pt>
              <c:pt idx="10">
                <c:v>-0.31509738817978866</c:v>
              </c:pt>
              <c:pt idx="11">
                <c:v>0.66787356150364452</c:v>
              </c:pt>
              <c:pt idx="12">
                <c:v>1.6503010926400361</c:v>
              </c:pt>
              <c:pt idx="13">
                <c:v>2.632162838192071</c:v>
              </c:pt>
              <c:pt idx="14">
                <c:v>3.6134702872847182</c:v>
              </c:pt>
              <c:pt idx="15">
                <c:v>4.5942383205023143</c:v>
              </c:pt>
              <c:pt idx="16">
                <c:v>5.5744769520084745</c:v>
              </c:pt>
              <c:pt idx="17">
                <c:v>6.5542164583903677</c:v>
              </c:pt>
              <c:pt idx="18">
                <c:v>7.5334836764058082</c:v>
              </c:pt>
              <c:pt idx="19">
                <c:v>8.5123101039472857</c:v>
              </c:pt>
              <c:pt idx="20">
                <c:v>9.490732264027244</c:v>
              </c:pt>
              <c:pt idx="21">
                <c:v>10.468781381354987</c:v>
              </c:pt>
              <c:pt idx="22">
                <c:v>11.446514998561955</c:v>
              </c:pt>
              <c:pt idx="23">
                <c:v>11.466066812546941</c:v>
              </c:pt>
            </c:numLit>
          </c:xVal>
          <c:yVal>
            <c:numLit>
              <c:formatCode>General</c:formatCode>
              <c:ptCount val="24"/>
              <c:pt idx="0">
                <c:v>1.4451010456363609E-3</c:v>
              </c:pt>
              <c:pt idx="1">
                <c:v>1.5790513793722909E-3</c:v>
              </c:pt>
              <c:pt idx="2">
                <c:v>1.7242904934817753E-3</c:v>
              </c:pt>
              <c:pt idx="3">
                <c:v>1.8816746558483943E-3</c:v>
              </c:pt>
              <c:pt idx="4">
                <c:v>2.0521181482046785E-3</c:v>
              </c:pt>
              <c:pt idx="5">
                <c:v>2.2365968080945969E-3</c:v>
              </c:pt>
              <c:pt idx="6">
                <c:v>2.4361517798423041E-3</c:v>
              </c:pt>
              <c:pt idx="7">
                <c:v>2.651893489013245E-3</c:v>
              </c:pt>
              <c:pt idx="8">
                <c:v>2.8850058562471248E-3</c:v>
              </c:pt>
              <c:pt idx="9">
                <c:v>3.1367507679000511E-3</c:v>
              </c:pt>
              <c:pt idx="10">
                <c:v>3.4084728226759938E-3</c:v>
              </c:pt>
              <c:pt idx="11">
                <c:v>3.6659995295954982E-3</c:v>
              </c:pt>
              <c:pt idx="12">
                <c:v>3.9403797133078381E-3</c:v>
              </c:pt>
              <c:pt idx="13">
                <c:v>4.2329465200043074E-3</c:v>
              </c:pt>
              <c:pt idx="14">
                <c:v>4.5447509466055858E-3</c:v>
              </c:pt>
              <c:pt idx="15">
                <c:v>4.8768966496376548E-3</c:v>
              </c:pt>
              <c:pt idx="16">
                <c:v>5.2306474374324884E-3</c:v>
              </c:pt>
              <c:pt idx="17">
                <c:v>5.6071298181956681E-3</c:v>
              </c:pt>
              <c:pt idx="18">
                <c:v>6.0076218834582296E-3</c:v>
              </c:pt>
              <c:pt idx="19">
                <c:v>6.4334649282589956E-3</c:v>
              </c:pt>
              <c:pt idx="20">
                <c:v>6.8860664299542004E-3</c:v>
              </c:pt>
              <c:pt idx="21">
                <c:v>7.3670517005360123E-3</c:v>
              </c:pt>
              <c:pt idx="22">
                <c:v>7.8778425501793113E-3</c:v>
              </c:pt>
              <c:pt idx="23">
                <c:v>7.8883734305233554E-3</c:v>
              </c:pt>
            </c:numLit>
          </c:yVal>
          <c:smooth val="1"/>
          <c:extLst>
            <c:ext xmlns:c16="http://schemas.microsoft.com/office/drawing/2014/chart" uri="{C3380CC4-5D6E-409C-BE32-E72D297353CC}">
              <c16:uniqueId val="{0000003A-0B28-4903-AA2E-7B40D0C5C481}"/>
            </c:ext>
          </c:extLst>
        </c:ser>
        <c:ser>
          <c:idx val="42"/>
          <c:order val="42"/>
          <c:tx>
            <c:v>RH=90_Label1</c:v>
          </c:tx>
          <c:spPr>
            <a:ln w="3175">
              <a:solidFill>
                <a:srgbClr val="0000FF"/>
              </a:solidFill>
              <a:prstDash val="solid"/>
            </a:ln>
          </c:spPr>
          <c:marker>
            <c:symbol val="none"/>
          </c:marker>
          <c:dLbls>
            <c:dLbl>
              <c:idx val="0"/>
              <c:tx>
                <c:rich>
                  <a:bodyPr rot="-216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90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B-0B28-4903-AA2E-7B40D0C5C4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11.886406335561087</c:v>
              </c:pt>
            </c:numLit>
          </c:xVal>
          <c:yVal>
            <c:numLit>
              <c:formatCode>General</c:formatCode>
              <c:ptCount val="1"/>
              <c:pt idx="0">
                <c:v>8.1178532770005106E-3</c:v>
              </c:pt>
            </c:numLit>
          </c:yVal>
          <c:smooth val="0"/>
          <c:extLst>
            <c:ext xmlns:c16="http://schemas.microsoft.com/office/drawing/2014/chart" uri="{C3380CC4-5D6E-409C-BE32-E72D297353CC}">
              <c16:uniqueId val="{0000003C-0B28-4903-AA2E-7B40D0C5C481}"/>
            </c:ext>
          </c:extLst>
        </c:ser>
        <c:ser>
          <c:idx val="43"/>
          <c:order val="43"/>
          <c:tx>
            <c:v>RH=90_2</c:v>
          </c:tx>
          <c:spPr>
            <a:ln w="3175">
              <a:solidFill>
                <a:srgbClr val="0000FF"/>
              </a:solidFill>
              <a:prstDash val="solid"/>
            </a:ln>
          </c:spPr>
          <c:marker>
            <c:symbol val="none"/>
          </c:marker>
          <c:xVal>
            <c:numLit>
              <c:formatCode>General</c:formatCode>
              <c:ptCount val="14"/>
              <c:pt idx="0">
                <c:v>12.287154552505491</c:v>
              </c:pt>
              <c:pt idx="1">
                <c:v>13.264450008749437</c:v>
              </c:pt>
              <c:pt idx="2">
                <c:v>14.241602544783566</c:v>
              </c:pt>
              <c:pt idx="3">
                <c:v>15.218686623205453</c:v>
              </c:pt>
              <c:pt idx="4">
                <c:v>16.195784869538244</c:v>
              </c:pt>
              <c:pt idx="5">
                <c:v>17.172988640875836</c:v>
              </c:pt>
              <c:pt idx="6">
                <c:v>18.150398628951599</c:v>
              </c:pt>
              <c:pt idx="7">
                <c:v>19.128125500200142</c:v>
              </c:pt>
              <c:pt idx="8">
                <c:v>20.106290575649407</c:v>
              </c:pt>
              <c:pt idx="9">
                <c:v>21.085026553779926</c:v>
              </c:pt>
              <c:pt idx="10">
                <c:v>22.064478279822467</c:v>
              </c:pt>
              <c:pt idx="11">
                <c:v>23.044803565339887</c:v>
              </c:pt>
              <c:pt idx="12">
                <c:v>24.026174062357637</c:v>
              </c:pt>
              <c:pt idx="13">
                <c:v>24.350283760914369</c:v>
              </c:pt>
            </c:numLit>
          </c:xVal>
          <c:yVal>
            <c:numLit>
              <c:formatCode>General</c:formatCode>
              <c:ptCount val="14"/>
              <c:pt idx="0">
                <c:v>8.3422001056663829E-3</c:v>
              </c:pt>
              <c:pt idx="1">
                <c:v>8.9128194892929211E-3</c:v>
              </c:pt>
              <c:pt idx="2">
                <c:v>9.518115555408645E-3</c:v>
              </c:pt>
              <c:pt idx="3">
                <c:v>1.0159955796425158E-2</c:v>
              </c:pt>
              <c:pt idx="4">
                <c:v>1.0840299888458355E-2</c:v>
              </c:pt>
              <c:pt idx="5">
                <c:v>1.1561204462982987E-2</c:v>
              </c:pt>
              <c:pt idx="6">
                <c:v>1.2324828199989819E-2</c:v>
              </c:pt>
              <c:pt idx="7">
                <c:v>1.3133437271204971E-2</c:v>
              </c:pt>
              <c:pt idx="8">
                <c:v>1.3989411164801244E-2</c:v>
              </c:pt>
              <c:pt idx="9">
                <c:v>1.4895248926209768E-2</c:v>
              </c:pt>
              <c:pt idx="10">
                <c:v>1.5853575853174682E-2</c:v>
              </c:pt>
              <c:pt idx="11">
                <c:v>1.68671506871205E-2</c:v>
              </c:pt>
              <c:pt idx="12">
                <c:v>1.7938873347281416E-2</c:v>
              </c:pt>
              <c:pt idx="13">
                <c:v>1.830588898250678E-2</c:v>
              </c:pt>
            </c:numLit>
          </c:yVal>
          <c:smooth val="1"/>
          <c:extLst>
            <c:ext xmlns:c16="http://schemas.microsoft.com/office/drawing/2014/chart" uri="{C3380CC4-5D6E-409C-BE32-E72D297353CC}">
              <c16:uniqueId val="{0000003D-0B28-4903-AA2E-7B40D0C5C481}"/>
            </c:ext>
          </c:extLst>
        </c:ser>
        <c:ser>
          <c:idx val="44"/>
          <c:order val="44"/>
          <c:tx>
            <c:v>RH=90_Label2</c:v>
          </c:tx>
          <c:spPr>
            <a:ln w="3175">
              <a:solidFill>
                <a:srgbClr val="0000FF"/>
              </a:solidFill>
              <a:prstDash val="solid"/>
            </a:ln>
          </c:spPr>
          <c:marker>
            <c:symbol val="none"/>
          </c:marker>
          <c:dLbls>
            <c:dLbl>
              <c:idx val="0"/>
              <c:tx>
                <c:rich>
                  <a:bodyPr rot="-342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90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E-0B28-4903-AA2E-7B40D0C5C4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24.645048916449817</c:v>
              </c:pt>
            </c:numLit>
          </c:xVal>
          <c:yVal>
            <c:numLit>
              <c:formatCode>General</c:formatCode>
              <c:ptCount val="1"/>
              <c:pt idx="0">
                <c:v>1.8645468166416327E-2</c:v>
              </c:pt>
            </c:numLit>
          </c:yVal>
          <c:smooth val="0"/>
          <c:extLst>
            <c:ext xmlns:c16="http://schemas.microsoft.com/office/drawing/2014/chart" uri="{C3380CC4-5D6E-409C-BE32-E72D297353CC}">
              <c16:uniqueId val="{0000003F-0B28-4903-AA2E-7B40D0C5C481}"/>
            </c:ext>
          </c:extLst>
        </c:ser>
        <c:ser>
          <c:idx val="45"/>
          <c:order val="45"/>
          <c:tx>
            <c:v>RH=90_3</c:v>
          </c:tx>
          <c:spPr>
            <a:ln w="3175">
              <a:solidFill>
                <a:srgbClr val="0000FF"/>
              </a:solidFill>
              <a:prstDash val="solid"/>
            </a:ln>
          </c:spPr>
          <c:marker>
            <c:symbol val="none"/>
          </c:marker>
          <c:xVal>
            <c:numLit>
              <c:formatCode>General</c:formatCode>
              <c:ptCount val="16"/>
              <c:pt idx="0">
                <c:v>24.939936032452529</c:v>
              </c:pt>
              <c:pt idx="1">
                <c:v>25.92384661002826</c:v>
              </c:pt>
              <c:pt idx="2">
                <c:v>26.909393516522343</c:v>
              </c:pt>
              <c:pt idx="3">
                <c:v>27.896812587546918</c:v>
              </c:pt>
              <c:pt idx="4">
                <c:v>28.886358806211785</c:v>
              </c:pt>
              <c:pt idx="5">
                <c:v>29.87830762052651</c:v>
              </c:pt>
              <c:pt idx="6">
                <c:v>30.872956361702308</c:v>
              </c:pt>
              <c:pt idx="7">
                <c:v>31.870625773419732</c:v>
              </c:pt>
              <c:pt idx="8">
                <c:v>32.871661663330364</c:v>
              </c:pt>
              <c:pt idx="9">
                <c:v>33.876436689422889</c:v>
              </c:pt>
              <c:pt idx="10">
                <c:v>34.885352295428454</c:v>
              </c:pt>
              <c:pt idx="11">
                <c:v>35.898840811195406</c:v>
              </c:pt>
              <c:pt idx="12">
                <c:v>36.917367735961534</c:v>
              </c:pt>
              <c:pt idx="13">
                <c:v>37.941434224729875</c:v>
              </c:pt>
              <c:pt idx="14">
                <c:v>38.971579800557322</c:v>
              </c:pt>
              <c:pt idx="15">
                <c:v>34.663014089963724</c:v>
              </c:pt>
            </c:numLit>
          </c:xVal>
          <c:yVal>
            <c:numLit>
              <c:formatCode>General</c:formatCode>
              <c:ptCount val="16"/>
              <c:pt idx="0">
                <c:v>1.8990738550069466E-2</c:v>
              </c:pt>
              <c:pt idx="1">
                <c:v>2.0183882325276323E-2</c:v>
              </c:pt>
              <c:pt idx="2">
                <c:v>2.1444620082461376E-2</c:v>
              </c:pt>
              <c:pt idx="3">
                <c:v>2.2776498631904309E-2</c:v>
              </c:pt>
              <c:pt idx="4">
                <c:v>2.4183254349516771E-2</c:v>
              </c:pt>
              <c:pt idx="5">
                <c:v>2.5668825425554889E-2</c:v>
              </c:pt>
              <c:pt idx="6">
                <c:v>2.7237365152299648E-2</c:v>
              </c:pt>
              <c:pt idx="7">
                <c:v>2.8893256356949129E-2</c:v>
              </c:pt>
              <c:pt idx="8">
                <c:v>3.0641127098288597E-2</c:v>
              </c:pt>
              <c:pt idx="9">
                <c:v>3.2485867759629528E-2</c:v>
              </c:pt>
              <c:pt idx="10">
                <c:v>3.4432649686309907E-2</c:v>
              </c:pt>
              <c:pt idx="11">
                <c:v>3.6486945533989089E-2</c:v>
              </c:pt>
              <c:pt idx="12">
                <c:v>3.8654551514389603E-2</c:v>
              </c:pt>
              <c:pt idx="13">
                <c:v>4.0941611748426872E-2</c:v>
              </c:pt>
              <c:pt idx="14">
                <c:v>4.3354644963263043E-2</c:v>
              </c:pt>
              <c:pt idx="15">
                <c:v>3.4000000000000002E-2</c:v>
              </c:pt>
            </c:numLit>
          </c:yVal>
          <c:smooth val="1"/>
          <c:extLst>
            <c:ext xmlns:c16="http://schemas.microsoft.com/office/drawing/2014/chart" uri="{C3380CC4-5D6E-409C-BE32-E72D297353CC}">
              <c16:uniqueId val="{00000040-0B28-4903-AA2E-7B40D0C5C481}"/>
            </c:ext>
          </c:extLst>
        </c:ser>
        <c:ser>
          <c:idx val="46"/>
          <c:order val="46"/>
          <c:tx>
            <c:v>RH=100_1</c:v>
          </c:tx>
          <c:spPr>
            <a:ln w="3175">
              <a:solidFill>
                <a:srgbClr val="0000FF"/>
              </a:solidFill>
              <a:prstDash val="solid"/>
            </a:ln>
          </c:spPr>
          <c:marker>
            <c:symbol val="none"/>
          </c:marker>
          <c:xVal>
            <c:numLit>
              <c:formatCode>General</c:formatCode>
              <c:ptCount val="23"/>
              <c:pt idx="0">
                <c:v>-10.178169782224485</c:v>
              </c:pt>
              <c:pt idx="1">
                <c:v>-9.1914446576012097</c:v>
              </c:pt>
              <c:pt idx="2">
                <c:v>-8.2055155451094635</c:v>
              </c:pt>
              <c:pt idx="3">
                <c:v>-7.22041332968442</c:v>
              </c:pt>
              <c:pt idx="4">
                <c:v>-6.2361685593886982</c:v>
              </c:pt>
              <c:pt idx="5">
                <c:v>-5.2528112525852375</c:v>
              </c:pt>
              <c:pt idx="6">
                <c:v>-4.2703706848883494</c:v>
              </c:pt>
              <c:pt idx="7">
                <c:v>-3.2888751544738279</c:v>
              </c:pt>
              <c:pt idx="8">
                <c:v>-2.3083517242375029</c:v>
              </c:pt>
              <c:pt idx="9">
                <c:v>-1.3288259391909207</c:v>
              </c:pt>
              <c:pt idx="10">
                <c:v>-0.35032151737137113</c:v>
              </c:pt>
              <c:pt idx="11">
                <c:v>0.63072878902048002</c:v>
              </c:pt>
              <c:pt idx="12">
                <c:v>1.6111719572746135</c:v>
              </c:pt>
              <c:pt idx="13">
                <c:v>2.5909827527240186</c:v>
              </c:pt>
              <c:pt idx="14">
                <c:v>3.5701735744985212</c:v>
              </c:pt>
              <c:pt idx="15">
                <c:v>4.5487605635344499</c:v>
              </c:pt>
              <c:pt idx="16">
                <c:v>5.5267544089063207</c:v>
              </c:pt>
              <c:pt idx="17">
                <c:v>6.5041883174927406</c:v>
              </c:pt>
              <c:pt idx="18">
                <c:v>7.481091633037142</c:v>
              </c:pt>
              <c:pt idx="19">
                <c:v>8.4574988517709855</c:v>
              </c:pt>
              <c:pt idx="20">
                <c:v>9.4334500278774112</c:v>
              </c:pt>
              <c:pt idx="21">
                <c:v>10.408979273270996</c:v>
              </c:pt>
              <c:pt idx="22">
                <c:v>10.516264586793987</c:v>
              </c:pt>
            </c:numLit>
          </c:xVal>
          <c:yVal>
            <c:numLit>
              <c:formatCode>General</c:formatCode>
              <c:ptCount val="23"/>
              <c:pt idx="0">
                <c:v>1.6060824455002855E-3</c:v>
              </c:pt>
              <c:pt idx="1">
                <c:v>1.7549965878149991E-3</c:v>
              </c:pt>
              <c:pt idx="2">
                <c:v>1.9164686538757729E-3</c:v>
              </c:pt>
              <c:pt idx="3">
                <c:v>2.0914526472602013E-3</c:v>
              </c:pt>
              <c:pt idx="4">
                <c:v>2.2809674610698065E-3</c:v>
              </c:pt>
              <c:pt idx="5">
                <c:v>2.4861008807502316E-3</c:v>
              </c:pt>
              <c:pt idx="6">
                <c:v>2.7080138291286308E-3</c:v>
              </c:pt>
              <c:pt idx="7">
                <c:v>2.9479448711774276E-3</c:v>
              </c:pt>
              <c:pt idx="8">
                <c:v>3.2072149977556683E-3</c:v>
              </c:pt>
              <c:pt idx="9">
                <c:v>3.4872327095305327E-3</c:v>
              </c:pt>
              <c:pt idx="10">
                <c:v>3.7894994244688104E-3</c:v>
              </c:pt>
              <c:pt idx="11">
                <c:v>4.076002175174424E-3</c:v>
              </c:pt>
              <c:pt idx="12">
                <c:v>4.3812837251538872E-3</c:v>
              </c:pt>
              <c:pt idx="13">
                <c:v>4.7068331132422495E-3</c:v>
              </c:pt>
              <c:pt idx="14">
                <c:v>5.0538263680982628E-3</c:v>
              </c:pt>
              <c:pt idx="15">
                <c:v>5.4234990810554818E-3</c:v>
              </c:pt>
              <c:pt idx="16">
                <c:v>5.8172661857312045E-3</c:v>
              </c:pt>
              <c:pt idx="17">
                <c:v>6.236391005280101E-3</c:v>
              </c:pt>
              <c:pt idx="18">
                <c:v>6.6823069273506883E-3</c:v>
              </c:pt>
              <c:pt idx="19">
                <c:v>7.156519212147776E-3</c:v>
              </c:pt>
              <c:pt idx="20">
                <c:v>7.6606084940231836E-3</c:v>
              </c:pt>
              <c:pt idx="21">
                <c:v>8.196399932304619E-3</c:v>
              </c:pt>
              <c:pt idx="22">
                <c:v>8.2573377030506299E-3</c:v>
              </c:pt>
            </c:numLit>
          </c:yVal>
          <c:smooth val="1"/>
          <c:extLst>
            <c:ext xmlns:c16="http://schemas.microsoft.com/office/drawing/2014/chart" uri="{C3380CC4-5D6E-409C-BE32-E72D297353CC}">
              <c16:uniqueId val="{00000041-0B28-4903-AA2E-7B40D0C5C481}"/>
            </c:ext>
          </c:extLst>
        </c:ser>
        <c:ser>
          <c:idx val="47"/>
          <c:order val="47"/>
          <c:tx>
            <c:v>RH=100_Label1</c:v>
          </c:tx>
          <c:spPr>
            <a:ln w="3175">
              <a:solidFill>
                <a:srgbClr val="0000FF"/>
              </a:solidFill>
              <a:prstDash val="solid"/>
            </a:ln>
          </c:spPr>
          <c:marker>
            <c:symbol val="none"/>
          </c:marker>
          <c:dLbls>
            <c:dLbl>
              <c:idx val="0"/>
              <c:tx>
                <c:rich>
                  <a:bodyPr rot="-22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100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2-0B28-4903-AA2E-7B40D0C5C4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10.916109197854718</c:v>
              </c:pt>
            </c:numLit>
          </c:xVal>
          <c:yVal>
            <c:numLit>
              <c:formatCode>General</c:formatCode>
              <c:ptCount val="1"/>
              <c:pt idx="0">
                <c:v>8.4880589687444351E-3</c:v>
              </c:pt>
            </c:numLit>
          </c:yVal>
          <c:smooth val="0"/>
          <c:extLst>
            <c:ext xmlns:c16="http://schemas.microsoft.com/office/drawing/2014/chart" uri="{C3380CC4-5D6E-409C-BE32-E72D297353CC}">
              <c16:uniqueId val="{00000043-0B28-4903-AA2E-7B40D0C5C481}"/>
            </c:ext>
          </c:extLst>
        </c:ser>
        <c:ser>
          <c:idx val="48"/>
          <c:order val="48"/>
          <c:tx>
            <c:v>RH=100_2</c:v>
          </c:tx>
          <c:spPr>
            <a:ln w="3175">
              <a:solidFill>
                <a:srgbClr val="0000FF"/>
              </a:solidFill>
              <a:prstDash val="solid"/>
            </a:ln>
          </c:spPr>
          <c:marker>
            <c:symbol val="none"/>
          </c:marker>
          <c:xVal>
            <c:numLit>
              <c:formatCode>General</c:formatCode>
              <c:ptCount val="13"/>
              <c:pt idx="0">
                <c:v>11.306148161457124</c:v>
              </c:pt>
              <c:pt idx="1">
                <c:v>12.281041279910601</c:v>
              </c:pt>
              <c:pt idx="2">
                <c:v>13.255696426782698</c:v>
              </c:pt>
              <c:pt idx="3">
                <c:v>14.23018774206972</c:v>
              </c:pt>
              <c:pt idx="4">
                <c:v>15.204597871348779</c:v>
              </c:pt>
              <c:pt idx="5">
                <c:v>16.179018572095902</c:v>
              </c:pt>
              <c:pt idx="6">
                <c:v>17.153551357611043</c:v>
              </c:pt>
              <c:pt idx="7">
                <c:v>18.128308181438197</c:v>
              </c:pt>
              <c:pt idx="8">
                <c:v>19.103412165477447</c:v>
              </c:pt>
              <c:pt idx="9">
                <c:v>20.078998375331533</c:v>
              </c:pt>
              <c:pt idx="10">
                <c:v>21.055214646816154</c:v>
              </c:pt>
              <c:pt idx="11">
                <c:v>22.032222467998068</c:v>
              </c:pt>
              <c:pt idx="12">
                <c:v>22.980842787419583</c:v>
              </c:pt>
            </c:numLit>
          </c:xVal>
          <c:yVal>
            <c:numLit>
              <c:formatCode>General</c:formatCode>
              <c:ptCount val="13"/>
              <c:pt idx="0">
                <c:v>8.7186984612775478E-3</c:v>
              </c:pt>
              <c:pt idx="1">
                <c:v>9.3200472156966009E-3</c:v>
              </c:pt>
              <c:pt idx="2">
                <c:v>9.9582974908895144E-3</c:v>
              </c:pt>
              <c:pt idx="3">
                <c:v>1.0635461977505508E-2</c:v>
              </c:pt>
              <c:pt idx="4">
                <c:v>1.1353654611274092E-2</c:v>
              </c:pt>
              <c:pt idx="5">
                <c:v>1.2115095962728417E-2</c:v>
              </c:pt>
              <c:pt idx="6">
                <c:v>1.2922119000939997E-2</c:v>
              </c:pt>
              <c:pt idx="7">
                <c:v>1.377717526523955E-2</c:v>
              </c:pt>
              <c:pt idx="8">
                <c:v>1.46828414823855E-2</c:v>
              </c:pt>
              <c:pt idx="9">
                <c:v>1.5641826670521098E-2</c:v>
              </c:pt>
              <c:pt idx="10">
                <c:v>1.665697977558259E-2</c:v>
              </c:pt>
              <c:pt idx="11">
                <c:v>1.7731297890637539E-2</c:v>
              </c:pt>
              <c:pt idx="12">
                <c:v>1.8832897951509976E-2</c:v>
              </c:pt>
            </c:numLit>
          </c:yVal>
          <c:smooth val="1"/>
          <c:extLst>
            <c:ext xmlns:c16="http://schemas.microsoft.com/office/drawing/2014/chart" uri="{C3380CC4-5D6E-409C-BE32-E72D297353CC}">
              <c16:uniqueId val="{00000044-0B28-4903-AA2E-7B40D0C5C481}"/>
            </c:ext>
          </c:extLst>
        </c:ser>
        <c:ser>
          <c:idx val="49"/>
          <c:order val="49"/>
          <c:tx>
            <c:v>RH=100_Label2</c:v>
          </c:tx>
          <c:spPr>
            <a:ln w="3175">
              <a:solidFill>
                <a:srgbClr val="0000FF"/>
              </a:solidFill>
              <a:prstDash val="solid"/>
            </a:ln>
          </c:spPr>
          <c:marker>
            <c:symbol val="none"/>
          </c:marker>
          <c:dLbls>
            <c:dLbl>
              <c:idx val="0"/>
              <c:tx>
                <c:rich>
                  <a:bodyPr rot="-3480000" vert="horz" wrap="square" lIns="38100" tIns="19050" rIns="38100" bIns="19050" anchor="ctr">
                    <a:spAutoFit/>
                  </a:bodyPr>
                  <a:lstStyle/>
                  <a:p>
                    <a:pPr algn="ctr">
                      <a:defRPr altLang="ja-JP" sz="700" u="none" strike="noStrike" baseline="0">
                        <a:latin typeface="ＭＳ Ｐ明朝"/>
                        <a:ea typeface="ＭＳ Ｐ明朝"/>
                        <a:cs typeface="ＭＳ Ｐ明朝"/>
                      </a:defRPr>
                    </a:pPr>
                    <a:r>
                      <a:rPr lang="en-US"/>
                      <a:t>100</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5-0B28-4903-AA2E-7B40D0C5C4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23.274441676340576</c:v>
              </c:pt>
            </c:numLit>
          </c:xVal>
          <c:yVal>
            <c:numLit>
              <c:formatCode>General</c:formatCode>
              <c:ptCount val="1"/>
              <c:pt idx="0">
                <c:v>1.9185938466822944E-2</c:v>
              </c:pt>
            </c:numLit>
          </c:yVal>
          <c:smooth val="0"/>
          <c:extLst>
            <c:ext xmlns:c16="http://schemas.microsoft.com/office/drawing/2014/chart" uri="{C3380CC4-5D6E-409C-BE32-E72D297353CC}">
              <c16:uniqueId val="{00000046-0B28-4903-AA2E-7B40D0C5C481}"/>
            </c:ext>
          </c:extLst>
        </c:ser>
        <c:ser>
          <c:idx val="50"/>
          <c:order val="50"/>
          <c:tx>
            <c:v>RH=100_3</c:v>
          </c:tx>
          <c:spPr>
            <a:ln w="3175">
              <a:solidFill>
                <a:srgbClr val="0000FF"/>
              </a:solidFill>
              <a:prstDash val="solid"/>
            </a:ln>
          </c:spPr>
          <c:marker>
            <c:symbol val="none"/>
          </c:marker>
          <c:xVal>
            <c:numLit>
              <c:formatCode>General</c:formatCode>
              <c:ptCount val="15"/>
              <c:pt idx="0">
                <c:v>23.568149699182413</c:v>
              </c:pt>
              <c:pt idx="1">
                <c:v>24.548027900099004</c:v>
              </c:pt>
              <c:pt idx="2">
                <c:v>25.529389944809026</c:v>
              </c:pt>
              <c:pt idx="3">
                <c:v>26.512482514651783</c:v>
              </c:pt>
              <c:pt idx="4">
                <c:v>27.497562490796636</c:v>
              </c:pt>
              <c:pt idx="5">
                <c:v>28.484908011306281</c:v>
              </c:pt>
              <c:pt idx="6">
                <c:v>29.474819980120685</c:v>
              </c:pt>
              <c:pt idx="7">
                <c:v>30.467623697062518</c:v>
              </c:pt>
              <c:pt idx="8">
                <c:v>31.463670621458721</c:v>
              </c:pt>
              <c:pt idx="9">
                <c:v>32.463340283532261</c:v>
              </c:pt>
              <c:pt idx="10">
                <c:v>33.467042359491842</c:v>
              </c:pt>
              <c:pt idx="11">
                <c:v>34.475218928270039</c:v>
              </c:pt>
              <c:pt idx="12">
                <c:v>35.488346930168582</c:v>
              </c:pt>
              <c:pt idx="13">
                <c:v>36.506940850312191</c:v>
              </c:pt>
              <c:pt idx="14">
                <c:v>32.643696673944994</c:v>
              </c:pt>
            </c:numLit>
          </c:xVal>
          <c:yVal>
            <c:numLit>
              <c:formatCode>General</c:formatCode>
              <c:ptCount val="15"/>
              <c:pt idx="0">
                <c:v>1.9544968716094731E-2</c:v>
              </c:pt>
              <c:pt idx="1">
                <c:v>2.078642319572007E-2</c:v>
              </c:pt>
              <c:pt idx="2">
                <c:v>2.2099351809162063E-2</c:v>
              </c:pt>
              <c:pt idx="3">
                <c:v>2.3487353058385261E-2</c:v>
              </c:pt>
              <c:pt idx="4">
                <c:v>2.4954438152261969E-2</c:v>
              </c:pt>
              <c:pt idx="5">
                <c:v>2.6504840036747992E-2</c:v>
              </c:pt>
              <c:pt idx="6">
                <c:v>2.8143028389042056E-2</c:v>
              </c:pt>
              <c:pt idx="7">
                <c:v>2.9873725935853069E-2</c:v>
              </c:pt>
              <c:pt idx="8">
                <c:v>3.1701926236084019E-2</c:v>
              </c:pt>
              <c:pt idx="9">
                <c:v>3.3632913085147265E-2</c:v>
              </c:pt>
              <c:pt idx="10">
                <c:v>3.567228171735233E-2</c:v>
              </c:pt>
              <c:pt idx="11">
                <c:v>3.7825962004710931E-2</c:v>
              </c:pt>
              <c:pt idx="12">
                <c:v>4.0100243875520566E-2</c:v>
              </c:pt>
              <c:pt idx="13">
                <c:v>4.2501805204693884E-2</c:v>
              </c:pt>
              <c:pt idx="14">
                <c:v>3.4000000000000002E-2</c:v>
              </c:pt>
            </c:numLit>
          </c:yVal>
          <c:smooth val="1"/>
          <c:extLst>
            <c:ext xmlns:c16="http://schemas.microsoft.com/office/drawing/2014/chart" uri="{C3380CC4-5D6E-409C-BE32-E72D297353CC}">
              <c16:uniqueId val="{00000047-0B28-4903-AA2E-7B40D0C5C481}"/>
            </c:ext>
          </c:extLst>
        </c:ser>
        <c:ser>
          <c:idx val="51"/>
          <c:order val="51"/>
          <c:tx>
            <c:v>RH=5_1</c:v>
          </c:tx>
          <c:spPr>
            <a:ln w="3175">
              <a:solidFill>
                <a:srgbClr val="0000FF"/>
              </a:solidFill>
              <a:prstDash val="solid"/>
            </a:ln>
          </c:spPr>
          <c:marker>
            <c:symbol val="none"/>
          </c:marker>
          <c:xVal>
            <c:numLit>
              <c:formatCode>General</c:formatCode>
              <c:ptCount val="44"/>
              <c:pt idx="0">
                <c:v>4.9776233903200948</c:v>
              </c:pt>
              <c:pt idx="1">
                <c:v>5.9765461124062504</c:v>
              </c:pt>
              <c:pt idx="2">
                <c:v>6.9754433265574693</c:v>
              </c:pt>
              <c:pt idx="3">
                <c:v>7.9743167161359203</c:v>
              </c:pt>
              <c:pt idx="4">
                <c:v>8.9731682332912257</c:v>
              </c:pt>
              <c:pt idx="5">
                <c:v>9.9720001185570162</c:v>
              </c:pt>
              <c:pt idx="6">
                <c:v>10.970814339524935</c:v>
              </c:pt>
              <c:pt idx="7">
                <c:v>11.969614309804435</c:v>
              </c:pt>
              <c:pt idx="8">
                <c:v>12.96840326099748</c:v>
              </c:pt>
              <c:pt idx="9">
                <c:v>13.967184800874087</c:v>
              </c:pt>
              <c:pt idx="10">
                <c:v>14.965962937671193</c:v>
              </c:pt>
              <c:pt idx="11">
                <c:v>15.96474210539113</c:v>
              </c:pt>
              <c:pt idx="12">
                <c:v>16.963527190121308</c:v>
              </c:pt>
              <c:pt idx="13">
                <c:v>17.962323557396687</c:v>
              </c:pt>
              <c:pt idx="14">
                <c:v>18.96113708062671</c:v>
              </c:pt>
              <c:pt idx="15">
                <c:v>19.959974170608504</c:v>
              </c:pt>
              <c:pt idx="16">
                <c:v>20.958841806148165</c:v>
              </c:pt>
              <c:pt idx="17">
                <c:v>21.957747565812291</c:v>
              </c:pt>
              <c:pt idx="18">
                <c:v>22.956699660831834</c:v>
              </c:pt>
              <c:pt idx="19">
                <c:v>23.955706969180849</c:v>
              </c:pt>
              <c:pt idx="20">
                <c:v>24.954779070852826</c:v>
              </c:pt>
              <c:pt idx="21">
                <c:v>25.953925365223707</c:v>
              </c:pt>
              <c:pt idx="22">
                <c:v>26.953157835456782</c:v>
              </c:pt>
              <c:pt idx="23">
                <c:v>27.952488397435463</c:v>
              </c:pt>
              <c:pt idx="24">
                <c:v>28.951929823629314</c:v>
              </c:pt>
              <c:pt idx="25">
                <c:v>29.951495784802255</c:v>
              </c:pt>
              <c:pt idx="26">
                <c:v>30.951200893068666</c:v>
              </c:pt>
              <c:pt idx="27">
                <c:v>31.951060746323797</c:v>
              </c:pt>
              <c:pt idx="28">
                <c:v>32.951091974075759</c:v>
              </c:pt>
              <c:pt idx="29">
                <c:v>33.9513122847072</c:v>
              </c:pt>
              <c:pt idx="30">
                <c:v>34.951740514195947</c:v>
              </c:pt>
              <c:pt idx="31">
                <c:v>35.952396676324661</c:v>
              </c:pt>
              <c:pt idx="32">
                <c:v>36.9533020144112</c:v>
              </c:pt>
              <c:pt idx="33">
                <c:v>37.954479054592419</c:v>
              </c:pt>
              <c:pt idx="34">
                <c:v>38.955951660695632</c:v>
              </c:pt>
              <c:pt idx="35">
                <c:v>39.957745090733781</c:v>
              </c:pt>
              <c:pt idx="36">
                <c:v>40.959885654307307</c:v>
              </c:pt>
              <c:pt idx="37">
                <c:v>41.962402024883296</c:v>
              </c:pt>
              <c:pt idx="38">
                <c:v>42.965324010989782</c:v>
              </c:pt>
              <c:pt idx="39">
                <c:v>43.968683059608644</c:v>
              </c:pt>
              <c:pt idx="40">
                <c:v>44.972512321482363</c:v>
              </c:pt>
              <c:pt idx="41">
                <c:v>45.976846718306781</c:v>
              </c:pt>
              <c:pt idx="42">
                <c:v>46.981723011861952</c:v>
              </c:pt>
              <c:pt idx="43">
                <c:v>47.182766666949178</c:v>
              </c:pt>
            </c:numLit>
          </c:xVal>
          <c:yVal>
            <c:numLit>
              <c:formatCode>General</c:formatCode>
              <c:ptCount val="44"/>
              <c:pt idx="0">
                <c:v>2.6894706496995591E-4</c:v>
              </c:pt>
              <c:pt idx="1">
                <c:v>2.883016974500513E-4</c:v>
              </c:pt>
              <c:pt idx="2">
                <c:v>3.0887738788679987E-4</c:v>
              </c:pt>
              <c:pt idx="3">
                <c:v>3.3073967700030329E-4</c:v>
              </c:pt>
              <c:pt idx="4">
                <c:v>3.539569539605077E-4</c:v>
              </c:pt>
              <c:pt idx="5">
                <c:v>3.7860054746830814E-4</c:v>
              </c:pt>
              <c:pt idx="6">
                <c:v>4.0475288720587759E-4</c:v>
              </c:pt>
              <c:pt idx="7">
                <c:v>4.324844982560534E-4</c:v>
              </c:pt>
              <c:pt idx="8">
                <c:v>4.6187619059190967E-4</c:v>
              </c:pt>
              <c:pt idx="9">
                <c:v>4.930121015631261E-4</c:v>
              </c:pt>
              <c:pt idx="10">
                <c:v>5.2597979574161853E-4</c:v>
              </c:pt>
              <c:pt idx="11">
                <c:v>5.6087036648519981E-4</c:v>
              </c:pt>
              <c:pt idx="12">
                <c:v>5.9777853923045476E-4</c:v>
              </c:pt>
              <c:pt idx="13">
                <c:v>6.3680277652780669E-4</c:v>
              </c:pt>
              <c:pt idx="14">
                <c:v>6.780453848340256E-4</c:v>
              </c:pt>
              <c:pt idx="15">
                <c:v>7.2161262307971201E-4</c:v>
              </c:pt>
              <c:pt idx="16">
                <c:v>7.6761481303197878E-4</c:v>
              </c:pt>
              <c:pt idx="17">
                <c:v>8.1616645147532241E-4</c:v>
              </c:pt>
              <c:pt idx="18">
                <c:v>8.6738632423690452E-4</c:v>
              </c:pt>
              <c:pt idx="19">
                <c:v>9.2139762208571683E-4</c:v>
              </c:pt>
              <c:pt idx="20">
                <c:v>9.783280585388284E-4</c:v>
              </c:pt>
              <c:pt idx="21">
                <c:v>1.0383307030678828E-3</c:v>
              </c:pt>
              <c:pt idx="22">
                <c:v>1.1015244864534207E-3</c:v>
              </c:pt>
              <c:pt idx="23">
                <c:v>1.1680516173001498E-3</c:v>
              </c:pt>
              <c:pt idx="24">
                <c:v>1.2380593299771872E-3</c:v>
              </c:pt>
              <c:pt idx="25">
                <c:v>1.3117000131433135E-3</c:v>
              </c:pt>
              <c:pt idx="26">
                <c:v>1.3891313404901472E-3</c:v>
              </c:pt>
              <c:pt idx="27">
                <c:v>1.4705164037711607E-3</c:v>
              </c:pt>
              <c:pt idx="28">
                <c:v>1.5560238481906713E-3</c:v>
              </c:pt>
              <c:pt idx="29">
                <c:v>1.6458280102336351E-3</c:v>
              </c:pt>
              <c:pt idx="30">
                <c:v>1.7401090580242489E-3</c:v>
              </c:pt>
              <c:pt idx="31">
                <c:v>1.8390531343085432E-3</c:v>
              </c:pt>
              <c:pt idx="32">
                <c:v>1.9428525021642465E-3</c:v>
              </c:pt>
              <c:pt idx="33">
                <c:v>2.0517056935495715E-3</c:v>
              </c:pt>
              <c:pt idx="34">
                <c:v>2.1658176608111267E-3</c:v>
              </c:pt>
              <c:pt idx="35">
                <c:v>2.2853999312806269E-3</c:v>
              </c:pt>
              <c:pt idx="36">
                <c:v>2.4106948486765866E-3</c:v>
              </c:pt>
              <c:pt idx="37">
                <c:v>2.5419061134005754E-3</c:v>
              </c:pt>
              <c:pt idx="38">
                <c:v>2.6792661247527954E-3</c:v>
              </c:pt>
              <c:pt idx="39">
                <c:v>2.8230145191489361E-3</c:v>
              </c:pt>
              <c:pt idx="40">
                <c:v>2.9733983428754376E-3</c:v>
              </c:pt>
              <c:pt idx="41">
                <c:v>3.1306722289495314E-3</c:v>
              </c:pt>
              <c:pt idx="42">
                <c:v>3.295098578294037E-3</c:v>
              </c:pt>
              <c:pt idx="43">
                <c:v>3.3288657928423463E-3</c:v>
              </c:pt>
            </c:numLit>
          </c:yVal>
          <c:smooth val="1"/>
          <c:extLst>
            <c:ext xmlns:c16="http://schemas.microsoft.com/office/drawing/2014/chart" uri="{C3380CC4-5D6E-409C-BE32-E72D297353CC}">
              <c16:uniqueId val="{00000048-0B28-4903-AA2E-7B40D0C5C481}"/>
            </c:ext>
          </c:extLst>
        </c:ser>
        <c:ser>
          <c:idx val="52"/>
          <c:order val="52"/>
          <c:tx>
            <c:v>RH=5_Label</c:v>
          </c:tx>
          <c:spPr>
            <a:ln w="3175">
              <a:solidFill>
                <a:srgbClr val="0000FF"/>
              </a:solidFill>
              <a:prstDash val="solid"/>
            </a:ln>
          </c:spPr>
          <c:marker>
            <c:symbol val="none"/>
          </c:marker>
          <c:dLbls>
            <c:dLbl>
              <c:idx val="0"/>
              <c:tx>
                <c:rich>
                  <a:bodyPr rot="-78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9-0B28-4903-AA2E-7B40D0C5C4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47.484376378579221</c:v>
              </c:pt>
            </c:numLit>
          </c:xVal>
          <c:yVal>
            <c:numLit>
              <c:formatCode>General</c:formatCode>
              <c:ptCount val="1"/>
              <c:pt idx="0">
                <c:v>3.3800780966238612E-3</c:v>
              </c:pt>
            </c:numLit>
          </c:yVal>
          <c:smooth val="0"/>
          <c:extLst>
            <c:ext xmlns:c16="http://schemas.microsoft.com/office/drawing/2014/chart" uri="{C3380CC4-5D6E-409C-BE32-E72D297353CC}">
              <c16:uniqueId val="{0000004A-0B28-4903-AA2E-7B40D0C5C481}"/>
            </c:ext>
          </c:extLst>
        </c:ser>
        <c:ser>
          <c:idx val="53"/>
          <c:order val="53"/>
          <c:tx>
            <c:v>RH=5_2</c:v>
          </c:tx>
          <c:spPr>
            <a:ln w="3175">
              <a:solidFill>
                <a:srgbClr val="0000FF"/>
              </a:solidFill>
              <a:prstDash val="solid"/>
            </a:ln>
          </c:spPr>
          <c:marker>
            <c:symbol val="none"/>
          </c:marker>
          <c:xVal>
            <c:numLit>
              <c:formatCode>General</c:formatCode>
              <c:ptCount val="4"/>
              <c:pt idx="0">
                <c:v>47.78604013452582</c:v>
              </c:pt>
              <c:pt idx="1">
                <c:v>48.791990629120036</c:v>
              </c:pt>
              <c:pt idx="2">
                <c:v>49.798596355979541</c:v>
              </c:pt>
              <c:pt idx="3">
                <c:v>50.000000000000007</c:v>
              </c:pt>
            </c:numLit>
          </c:xVal>
          <c:yVal>
            <c:numLit>
              <c:formatCode>General</c:formatCode>
              <c:ptCount val="4"/>
              <c:pt idx="0">
                <c:v>3.4319708374959527E-3</c:v>
              </c:pt>
              <c:pt idx="1">
                <c:v>3.6099583804882654E-3</c:v>
              </c:pt>
              <c:pt idx="2">
                <c:v>3.7958760338435635E-3</c:v>
              </c:pt>
              <c:pt idx="3">
                <c:v>3.8340368674482672E-3</c:v>
              </c:pt>
            </c:numLit>
          </c:yVal>
          <c:smooth val="1"/>
          <c:extLst>
            <c:ext xmlns:c16="http://schemas.microsoft.com/office/drawing/2014/chart" uri="{C3380CC4-5D6E-409C-BE32-E72D297353CC}">
              <c16:uniqueId val="{0000004B-0B28-4903-AA2E-7B40D0C5C481}"/>
            </c:ext>
          </c:extLst>
        </c:ser>
        <c:ser>
          <c:idx val="54"/>
          <c:order val="54"/>
          <c:tx>
            <c:v>RH=15_1</c:v>
          </c:tx>
          <c:spPr>
            <a:ln w="3175">
              <a:solidFill>
                <a:srgbClr val="0000FF"/>
              </a:solidFill>
              <a:prstDash val="solid"/>
            </a:ln>
          </c:spPr>
          <c:marker>
            <c:symbol val="none"/>
          </c:marker>
          <c:xVal>
            <c:numLit>
              <c:formatCode>General</c:formatCode>
              <c:ptCount val="43"/>
              <c:pt idx="0">
                <c:v>4.9328120662058037</c:v>
              </c:pt>
              <c:pt idx="1">
                <c:v>5.9295730482714228</c:v>
              </c:pt>
              <c:pt idx="2">
                <c:v>6.9262567373612773</c:v>
              </c:pt>
              <c:pt idx="3">
                <c:v>7.9228681182020555</c:v>
              </c:pt>
              <c:pt idx="4">
                <c:v>8.9194129788004801</c:v>
              </c:pt>
              <c:pt idx="5">
                <c:v>9.9158979695017493</c:v>
              </c:pt>
              <c:pt idx="6">
                <c:v>10.912328914825977</c:v>
              </c:pt>
              <c:pt idx="7">
                <c:v>11.908715983459764</c:v>
              </c:pt>
              <c:pt idx="8">
                <c:v>12.905068793043446</c:v>
              </c:pt>
              <c:pt idx="9">
                <c:v>13.901398089122475</c:v>
              </c:pt>
              <c:pt idx="10">
                <c:v>14.897715818985999</c:v>
              </c:pt>
              <c:pt idx="11">
                <c:v>15.894035208705857</c:v>
              </c:pt>
              <c:pt idx="12">
                <c:v>16.890370843469007</c:v>
              </c:pt>
              <c:pt idx="13">
                <c:v>17.886738751299848</c:v>
              </c:pt>
              <c:pt idx="14">
                <c:v>18.883156490272302</c:v>
              </c:pt>
              <c:pt idx="15">
                <c:v>19.879643239315833</c:v>
              </c:pt>
              <c:pt idx="16">
                <c:v>20.876219892723721</c:v>
              </c:pt>
              <c:pt idx="17">
                <c:v>21.872909158476965</c:v>
              </c:pt>
              <c:pt idx="18">
                <c:v>22.86973566050245</c:v>
              </c:pt>
              <c:pt idx="19">
                <c:v>23.866726044989953</c:v>
              </c:pt>
              <c:pt idx="20">
                <c:v>24.863909090898993</c:v>
              </c:pt>
              <c:pt idx="21">
                <c:v>25.861313048886803</c:v>
              </c:pt>
              <c:pt idx="22">
                <c:v>26.858973993203644</c:v>
              </c:pt>
              <c:pt idx="23">
                <c:v>27.856927825559083</c:v>
              </c:pt>
              <c:pt idx="24">
                <c:v>28.855213070331221</c:v>
              </c:pt>
              <c:pt idx="25">
                <c:v>29.853871008543511</c:v>
              </c:pt>
              <c:pt idx="26">
                <c:v>30.852945817009974</c:v>
              </c:pt>
              <c:pt idx="27">
                <c:v>31.852484712846547</c:v>
              </c:pt>
              <c:pt idx="28">
                <c:v>32.852538103559269</c:v>
              </c:pt>
              <c:pt idx="29">
                <c:v>33.853159742934409</c:v>
              </c:pt>
              <c:pt idx="30">
                <c:v>34.854406892971049</c:v>
              </c:pt>
              <c:pt idx="31">
                <c:v>35.856340492113461</c:v>
              </c:pt>
              <c:pt idx="32">
                <c:v>36.859025330058785</c:v>
              </c:pt>
              <c:pt idx="33">
                <c:v>37.86253022943545</c:v>
              </c:pt>
              <c:pt idx="34">
                <c:v>38.866928234668933</c:v>
              </c:pt>
              <c:pt idx="35">
                <c:v>39.872296808374962</c:v>
              </c:pt>
              <c:pt idx="36">
                <c:v>40.878716814523401</c:v>
              </c:pt>
              <c:pt idx="37">
                <c:v>41.886276545260401</c:v>
              </c:pt>
              <c:pt idx="38">
                <c:v>42.895068014466354</c:v>
              </c:pt>
              <c:pt idx="39">
                <c:v>43.90518852682635</c:v>
              </c:pt>
              <c:pt idx="40">
                <c:v>44.916740918221194</c:v>
              </c:pt>
              <c:pt idx="41">
                <c:v>45.929833806311073</c:v>
              </c:pt>
              <c:pt idx="42">
                <c:v>46.447141040472602</c:v>
              </c:pt>
            </c:numLit>
          </c:xVal>
          <c:yVal>
            <c:numLit>
              <c:formatCode>General</c:formatCode>
              <c:ptCount val="43"/>
              <c:pt idx="0">
                <c:v>8.0753956268771263E-4</c:v>
              </c:pt>
              <c:pt idx="1">
                <c:v>8.6570764221589327E-4</c:v>
              </c:pt>
              <c:pt idx="2">
                <c:v>9.2755341603594442E-4</c:v>
              </c:pt>
              <c:pt idx="3">
                <c:v>9.9327538516040146E-4</c:v>
              </c:pt>
              <c:pt idx="4">
                <c:v>1.0630808199149999E-3</c:v>
              </c:pt>
              <c:pt idx="5">
                <c:v>1.137186057543544E-3</c:v>
              </c:pt>
              <c:pt idx="6">
                <c:v>1.2158410764414958E-3</c:v>
              </c:pt>
              <c:pt idx="7">
                <c:v>1.2992603372874558E-3</c:v>
              </c:pt>
              <c:pt idx="8">
                <c:v>1.3876895408063471E-3</c:v>
              </c:pt>
              <c:pt idx="9">
                <c:v>1.4813847422758377E-3</c:v>
              </c:pt>
              <c:pt idx="10">
                <c:v>1.5806126897094368E-3</c:v>
              </c:pt>
              <c:pt idx="11">
                <c:v>1.6856511708081745E-3</c:v>
              </c:pt>
              <c:pt idx="12">
                <c:v>1.7967893690155705E-3</c:v>
              </c:pt>
              <c:pt idx="13">
                <c:v>1.9143282290381843E-3</c:v>
              </c:pt>
              <c:pt idx="14">
                <c:v>2.0385808322245149E-3</c:v>
              </c:pt>
              <c:pt idx="15">
                <c:v>2.1698727822271171E-3</c:v>
              </c:pt>
              <c:pt idx="16">
                <c:v>2.3085426014077663E-3</c:v>
              </c:pt>
              <c:pt idx="17">
                <c:v>2.4549421384825049E-3</c:v>
              </c:pt>
              <c:pt idx="18">
                <c:v>2.6094369879436801E-3</c:v>
              </c:pt>
              <c:pt idx="19">
                <c:v>2.7724069218384747E-3</c:v>
              </c:pt>
              <c:pt idx="20">
                <c:v>2.9442463345293766E-3</c:v>
              </c:pt>
              <c:pt idx="21">
                <c:v>3.1254272585097861E-3</c:v>
              </c:pt>
              <c:pt idx="22">
                <c:v>3.3163198419152674E-3</c:v>
              </c:pt>
              <c:pt idx="23">
                <c:v>3.517365774378339E-3</c:v>
              </c:pt>
              <c:pt idx="24">
                <c:v>3.729023329410901E-3</c:v>
              </c:pt>
              <c:pt idx="25">
                <c:v>3.9517678872373575E-3</c:v>
              </c:pt>
              <c:pt idx="26">
                <c:v>4.1860924756074117E-3</c:v>
              </c:pt>
              <c:pt idx="27">
                <c:v>4.4325083296407235E-3</c:v>
              </c:pt>
              <c:pt idx="28">
                <c:v>4.6915454718334821E-3</c:v>
              </c:pt>
              <c:pt idx="29">
                <c:v>4.9637533134403835E-3</c:v>
              </c:pt>
              <c:pt idx="30">
                <c:v>5.2497012785349493E-3</c:v>
              </c:pt>
              <c:pt idx="31">
                <c:v>5.5499794521452683E-3</c:v>
              </c:pt>
              <c:pt idx="32">
                <c:v>5.8651992539645445E-3</c:v>
              </c:pt>
              <c:pt idx="33">
                <c:v>6.1959941392444491E-3</c:v>
              </c:pt>
              <c:pt idx="34">
                <c:v>6.5430203285947253E-3</c:v>
              </c:pt>
              <c:pt idx="35">
                <c:v>6.906957568537187E-3</c:v>
              </c:pt>
              <c:pt idx="36">
                <c:v>7.2885833088089363E-3</c:v>
              </c:pt>
              <c:pt idx="37">
                <c:v>7.6885615233894828E-3</c:v>
              </c:pt>
              <c:pt idx="38">
                <c:v>8.1076480373922614E-3</c:v>
              </c:pt>
              <c:pt idx="39">
                <c:v>8.5466256283771892E-3</c:v>
              </c:pt>
              <c:pt idx="40">
                <c:v>9.0063049752121399E-3</c:v>
              </c:pt>
              <c:pt idx="41">
                <c:v>9.487525652025099E-3</c:v>
              </c:pt>
              <c:pt idx="42">
                <c:v>9.7415215954277639E-3</c:v>
              </c:pt>
            </c:numLit>
          </c:yVal>
          <c:smooth val="1"/>
          <c:extLst>
            <c:ext xmlns:c16="http://schemas.microsoft.com/office/drawing/2014/chart" uri="{C3380CC4-5D6E-409C-BE32-E72D297353CC}">
              <c16:uniqueId val="{0000004C-0B28-4903-AA2E-7B40D0C5C481}"/>
            </c:ext>
          </c:extLst>
        </c:ser>
        <c:ser>
          <c:idx val="55"/>
          <c:order val="55"/>
          <c:tx>
            <c:v>RH=15_Label</c:v>
          </c:tx>
          <c:spPr>
            <a:ln w="3175">
              <a:solidFill>
                <a:srgbClr val="0000FF"/>
              </a:solidFill>
              <a:prstDash val="solid"/>
            </a:ln>
          </c:spPr>
          <c:marker>
            <c:symbol val="none"/>
          </c:marker>
          <c:dLbls>
            <c:dLbl>
              <c:idx val="0"/>
              <c:tx>
                <c:rich>
                  <a:bodyPr rot="-204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15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D-0B28-4903-AA2E-7B40D0C5C4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46.751646831740644</c:v>
              </c:pt>
            </c:numLit>
          </c:xVal>
          <c:yVal>
            <c:numLit>
              <c:formatCode>General</c:formatCode>
              <c:ptCount val="1"/>
              <c:pt idx="0">
                <c:v>9.8937012958702358E-3</c:v>
              </c:pt>
            </c:numLit>
          </c:yVal>
          <c:smooth val="0"/>
          <c:extLst>
            <c:ext xmlns:c16="http://schemas.microsoft.com/office/drawing/2014/chart" uri="{C3380CC4-5D6E-409C-BE32-E72D297353CC}">
              <c16:uniqueId val="{0000004E-0B28-4903-AA2E-7B40D0C5C481}"/>
            </c:ext>
          </c:extLst>
        </c:ser>
        <c:ser>
          <c:idx val="56"/>
          <c:order val="56"/>
          <c:tx>
            <c:v>RH=15_2</c:v>
          </c:tx>
          <c:spPr>
            <a:ln w="3175">
              <a:solidFill>
                <a:srgbClr val="0000FF"/>
              </a:solidFill>
              <a:prstDash val="solid"/>
            </a:ln>
          </c:spPr>
          <c:marker>
            <c:symbol val="none"/>
          </c:marker>
          <c:xVal>
            <c:numLit>
              <c:formatCode>General</c:formatCode>
              <c:ptCount val="4"/>
              <c:pt idx="0">
                <c:v>47.056310316800555</c:v>
              </c:pt>
              <c:pt idx="1">
                <c:v>48.073037537462</c:v>
              </c:pt>
              <c:pt idx="2">
                <c:v>49.091682918519822</c:v>
              </c:pt>
              <c:pt idx="3">
                <c:v>50</c:v>
              </c:pt>
            </c:numLit>
          </c:xVal>
          <c:yVal>
            <c:numLit>
              <c:formatCode>General</c:formatCode>
              <c:ptCount val="4"/>
              <c:pt idx="0">
                <c:v>1.0047963183881549E-2</c:v>
              </c:pt>
              <c:pt idx="1">
                <c:v>1.0577526686358711E-2</c:v>
              </c:pt>
              <c:pt idx="2">
                <c:v>1.1131438908453318E-2</c:v>
              </c:pt>
              <c:pt idx="3">
                <c:v>1.1645684295829718E-2</c:v>
              </c:pt>
            </c:numLit>
          </c:yVal>
          <c:smooth val="1"/>
          <c:extLst>
            <c:ext xmlns:c16="http://schemas.microsoft.com/office/drawing/2014/chart" uri="{C3380CC4-5D6E-409C-BE32-E72D297353CC}">
              <c16:uniqueId val="{0000004F-0B28-4903-AA2E-7B40D0C5C481}"/>
            </c:ext>
          </c:extLst>
        </c:ser>
        <c:ser>
          <c:idx val="57"/>
          <c:order val="57"/>
          <c:tx>
            <c:v>RH=25_1</c:v>
          </c:tx>
          <c:spPr>
            <a:ln w="3175">
              <a:solidFill>
                <a:srgbClr val="0000FF"/>
              </a:solidFill>
              <a:prstDash val="solid"/>
            </a:ln>
          </c:spPr>
          <c:marker>
            <c:symbol val="none"/>
          </c:marker>
          <c:xVal>
            <c:numLit>
              <c:formatCode>General</c:formatCode>
              <c:ptCount val="37"/>
              <c:pt idx="0">
                <c:v>4.8879231012968791</c:v>
              </c:pt>
              <c:pt idx="1">
                <c:v>5.8825127300794398</c:v>
              </c:pt>
              <c:pt idx="2">
                <c:v>6.8769722487850746</c:v>
              </c:pt>
              <c:pt idx="3">
                <c:v>7.8713098552420631</c:v>
              </c:pt>
              <c:pt idx="4">
                <c:v>8.8655350807734692</c:v>
              </c:pt>
              <c:pt idx="5">
                <c:v>9.8596588890554671</c:v>
              </c:pt>
              <c:pt idx="6">
                <c:v>10.853690855483984</c:v>
              </c:pt>
              <c:pt idx="7">
                <c:v>11.847647805735933</c:v>
              </c:pt>
              <c:pt idx="8">
                <c:v>12.841545638426375</c:v>
              </c:pt>
              <c:pt idx="9">
                <c:v>13.835402130731799</c:v>
              </c:pt>
              <c:pt idx="10">
                <c:v>14.829237063000017</c:v>
              </c:pt>
              <c:pt idx="11">
                <c:v>15.823072349030694</c:v>
              </c:pt>
              <c:pt idx="12">
                <c:v>16.816932172229965</c:v>
              </c:pt>
              <c:pt idx="13">
                <c:v>17.810843127853662</c:v>
              </c:pt>
              <c:pt idx="14">
                <c:v>18.804834371565729</c:v>
              </c:pt>
              <c:pt idx="15">
                <c:v>19.798937774551831</c:v>
              </c:pt>
              <c:pt idx="16">
                <c:v>20.793188085442747</c:v>
              </c:pt>
              <c:pt idx="17">
                <c:v>21.787623099318349</c:v>
              </c:pt>
              <c:pt idx="18">
                <c:v>22.782283834080481</c:v>
              </c:pt>
              <c:pt idx="19">
                <c:v>23.777214714502644</c:v>
              </c:pt>
              <c:pt idx="20">
                <c:v>24.772463764285462</c:v>
              </c:pt>
              <c:pt idx="21">
                <c:v>25.768078148805394</c:v>
              </c:pt>
              <c:pt idx="22">
                <c:v>26.764118193744252</c:v>
              </c:pt>
              <c:pt idx="23">
                <c:v>27.760643986089452</c:v>
              </c:pt>
              <c:pt idx="24">
                <c:v>28.757720072682208</c:v>
              </c:pt>
              <c:pt idx="25">
                <c:v>29.755415698625718</c:v>
              </c:pt>
              <c:pt idx="26">
                <c:v>30.753805056280719</c:v>
              </c:pt>
              <c:pt idx="27">
                <c:v>31.752967545395908</c:v>
              </c:pt>
              <c:pt idx="28">
                <c:v>32.752988044964312</c:v>
              </c:pt>
              <c:pt idx="29">
                <c:v>33.753957197444102</c:v>
              </c:pt>
              <c:pt idx="30">
                <c:v>34.755971706033954</c:v>
              </c:pt>
              <c:pt idx="31">
                <c:v>35.75913464574959</c:v>
              </c:pt>
              <c:pt idx="32">
                <c:v>36.763555789109603</c:v>
              </c:pt>
              <c:pt idx="33">
                <c:v>37.76935194730585</c:v>
              </c:pt>
              <c:pt idx="34">
                <c:v>38.776647327806749</c:v>
              </c:pt>
              <c:pt idx="35">
                <c:v>39.785573909421991</c:v>
              </c:pt>
              <c:pt idx="36">
                <c:v>40.502977025632909</c:v>
              </c:pt>
            </c:numLit>
          </c:xVal>
          <c:yVal>
            <c:numLit>
              <c:formatCode>General</c:formatCode>
              <c:ptCount val="37"/>
              <c:pt idx="0">
                <c:v>1.3470652341139875E-3</c:v>
              </c:pt>
              <c:pt idx="1">
                <c:v>1.444186138075305E-3</c:v>
              </c:pt>
              <c:pt idx="2">
                <c:v>1.5474608367368606E-3</c:v>
              </c:pt>
              <c:pt idx="3">
                <c:v>1.6572233183113699E-3</c:v>
              </c:pt>
              <c:pt idx="4">
                <c:v>1.7738225641475147E-3</c:v>
              </c:pt>
              <c:pt idx="5">
                <c:v>1.8976230861585969E-3</c:v>
              </c:pt>
              <c:pt idx="6">
                <c:v>2.0290460350580602E-3</c:v>
              </c:pt>
              <c:pt idx="7">
                <c:v>2.1684536987783059E-3</c:v>
              </c:pt>
              <c:pt idx="8">
                <c:v>2.3162610831599165E-3</c:v>
              </c:pt>
              <c:pt idx="9">
                <c:v>2.4729010824941617E-3</c:v>
              </c:pt>
              <c:pt idx="10">
                <c:v>2.6388251094006578E-3</c:v>
              </c:pt>
              <c:pt idx="11">
                <c:v>2.8145037456534252E-3</c:v>
              </c:pt>
              <c:pt idx="12">
                <c:v>3.0004274150644203E-3</c:v>
              </c:pt>
              <c:pt idx="13">
                <c:v>3.1971070796238963E-3</c:v>
              </c:pt>
              <c:pt idx="14">
                <c:v>3.4050749601955599E-3</c:v>
              </c:pt>
              <c:pt idx="15">
                <c:v>3.6248852831695564E-3</c:v>
              </c:pt>
              <c:pt idx="16">
                <c:v>3.8571150545902433E-3</c:v>
              </c:pt>
              <c:pt idx="17">
                <c:v>4.1023648633974888E-3</c:v>
              </c:pt>
              <c:pt idx="18">
                <c:v>4.361259715552286E-3</c:v>
              </c:pt>
              <c:pt idx="19">
                <c:v>4.6344499009583016E-3</c:v>
              </c:pt>
              <c:pt idx="20">
                <c:v>4.9226118952435081E-3</c:v>
              </c:pt>
              <c:pt idx="21">
                <c:v>5.2265542630326326E-3</c:v>
              </c:pt>
              <c:pt idx="22">
                <c:v>5.5469167155980728E-3</c:v>
              </c:pt>
              <c:pt idx="23">
                <c:v>5.8844611435486405E-3</c:v>
              </c:pt>
              <c:pt idx="24">
                <c:v>6.2399796948719773E-3</c:v>
              </c:pt>
              <c:pt idx="25">
                <c:v>6.6142958920034235E-3</c:v>
              </c:pt>
              <c:pt idx="26">
                <c:v>7.0082658002715171E-3</c:v>
              </c:pt>
              <c:pt idx="27">
                <c:v>7.4227792512461021E-3</c:v>
              </c:pt>
              <c:pt idx="28">
                <c:v>7.8587611247914815E-3</c:v>
              </c:pt>
              <c:pt idx="29">
                <c:v>8.3171726939259092E-3</c:v>
              </c:pt>
              <c:pt idx="30">
                <c:v>8.7990130369118413E-3</c:v>
              </c:pt>
              <c:pt idx="31">
                <c:v>9.3053205213483765E-3</c:v>
              </c:pt>
              <c:pt idx="32">
                <c:v>9.8371743654150946E-3</c:v>
              </c:pt>
              <c:pt idx="33">
                <c:v>1.0395696281824395E-2</c:v>
              </c:pt>
              <c:pt idx="34">
                <c:v>1.0982052210479678E-2</c:v>
              </c:pt>
              <c:pt idx="35">
                <c:v>1.1597454146316129E-2</c:v>
              </c:pt>
              <c:pt idx="36">
                <c:v>1.2052797678929153E-2</c:v>
              </c:pt>
            </c:numLit>
          </c:yVal>
          <c:smooth val="1"/>
          <c:extLst>
            <c:ext xmlns:c16="http://schemas.microsoft.com/office/drawing/2014/chart" uri="{C3380CC4-5D6E-409C-BE32-E72D297353CC}">
              <c16:uniqueId val="{00000050-0B28-4903-AA2E-7B40D0C5C481}"/>
            </c:ext>
          </c:extLst>
        </c:ser>
        <c:ser>
          <c:idx val="58"/>
          <c:order val="58"/>
          <c:tx>
            <c:v>RH=25_Label</c:v>
          </c:tx>
          <c:spPr>
            <a:ln w="3175">
              <a:solidFill>
                <a:srgbClr val="0000FF"/>
              </a:solidFill>
              <a:prstDash val="solid"/>
            </a:ln>
          </c:spPr>
          <c:marker>
            <c:symbol val="none"/>
          </c:marker>
          <c:dLbls>
            <c:dLbl>
              <c:idx val="0"/>
              <c:tx>
                <c:rich>
                  <a:bodyPr rot="-246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25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1-0B28-4903-AA2E-7B40D0C5C4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40.806386169423767</c:v>
              </c:pt>
            </c:numLit>
          </c:xVal>
          <c:yVal>
            <c:numLit>
              <c:formatCode>General</c:formatCode>
              <c:ptCount val="1"/>
              <c:pt idx="0">
                <c:v>1.2249902134970242E-2</c:v>
              </c:pt>
            </c:numLit>
          </c:yVal>
          <c:smooth val="0"/>
          <c:extLst>
            <c:ext xmlns:c16="http://schemas.microsoft.com/office/drawing/2014/chart" uri="{C3380CC4-5D6E-409C-BE32-E72D297353CC}">
              <c16:uniqueId val="{00000052-0B28-4903-AA2E-7B40D0C5C481}"/>
            </c:ext>
          </c:extLst>
        </c:ser>
        <c:ser>
          <c:idx val="59"/>
          <c:order val="59"/>
          <c:tx>
            <c:v>RH=25_2</c:v>
          </c:tx>
          <c:spPr>
            <a:ln w="3175">
              <a:solidFill>
                <a:srgbClr val="0000FF"/>
              </a:solidFill>
              <a:prstDash val="solid"/>
            </a:ln>
          </c:spPr>
          <c:marker>
            <c:symbol val="none"/>
          </c:marker>
          <c:xVal>
            <c:numLit>
              <c:formatCode>General</c:formatCode>
              <c:ptCount val="10"/>
              <c:pt idx="0">
                <c:v>41.109968218308687</c:v>
              </c:pt>
              <c:pt idx="1">
                <c:v>42.123211303357891</c:v>
              </c:pt>
              <c:pt idx="2">
                <c:v>43.138583326693805</c:v>
              </c:pt>
              <c:pt idx="3">
                <c:v>44.156254599087745</c:v>
              </c:pt>
              <c:pt idx="4">
                <c:v>45.176405544700636</c:v>
              </c:pt>
              <c:pt idx="5">
                <c:v>46.199227216995773</c:v>
              </c:pt>
              <c:pt idx="6">
                <c:v>47.224921842907413</c:v>
              </c:pt>
              <c:pt idx="7">
                <c:v>48.25370339732104</c:v>
              </c:pt>
              <c:pt idx="8">
                <c:v>49.28579821010468</c:v>
              </c:pt>
              <c:pt idx="9">
                <c:v>50.000000000000007</c:v>
              </c:pt>
            </c:numLit>
          </c:xVal>
          <c:yVal>
            <c:numLit>
              <c:formatCode>General</c:formatCode>
              <c:ptCount val="10"/>
              <c:pt idx="0">
                <c:v>1.2449854138452305E-2</c:v>
              </c:pt>
              <c:pt idx="1">
                <c:v>1.3137395921386881E-2</c:v>
              </c:pt>
              <c:pt idx="2">
                <c:v>1.3858364542330524E-2</c:v>
              </c:pt>
              <c:pt idx="3">
                <c:v>1.4614195184697873E-2</c:v>
              </c:pt>
              <c:pt idx="4">
                <c:v>1.5406380772538593E-2</c:v>
              </c:pt>
              <c:pt idx="5">
                <c:v>1.6236474590181415E-2</c:v>
              </c:pt>
              <c:pt idx="6">
                <c:v>1.710609306374512E-2</c:v>
              </c:pt>
              <c:pt idx="7">
                <c:v>1.801691871700566E-2</c:v>
              </c:pt>
              <c:pt idx="8">
                <c:v>1.8970703315174638E-2</c:v>
              </c:pt>
              <c:pt idx="9">
                <c:v>1.9654812629101279E-2</c:v>
              </c:pt>
            </c:numLit>
          </c:yVal>
          <c:smooth val="1"/>
          <c:extLst>
            <c:ext xmlns:c16="http://schemas.microsoft.com/office/drawing/2014/chart" uri="{C3380CC4-5D6E-409C-BE32-E72D297353CC}">
              <c16:uniqueId val="{00000053-0B28-4903-AA2E-7B40D0C5C481}"/>
            </c:ext>
          </c:extLst>
        </c:ser>
        <c:ser>
          <c:idx val="60"/>
          <c:order val="60"/>
          <c:tx>
            <c:v>RH=35_1</c:v>
          </c:tx>
          <c:spPr>
            <a:ln w="3175">
              <a:solidFill>
                <a:srgbClr val="0000FF"/>
              </a:solidFill>
              <a:prstDash val="solid"/>
            </a:ln>
          </c:spPr>
          <c:marker>
            <c:symbol val="none"/>
          </c:marker>
          <c:xVal>
            <c:numLit>
              <c:formatCode>General</c:formatCode>
              <c:ptCount val="33"/>
              <c:pt idx="0">
                <c:v>4.8429562936358943</c:v>
              </c:pt>
              <c:pt idx="1">
                <c:v>5.8353649144882471</c:v>
              </c:pt>
              <c:pt idx="2">
                <c:v>6.8275895682541066</c:v>
              </c:pt>
              <c:pt idx="3">
                <c:v>7.8196415762478599</c:v>
              </c:pt>
              <c:pt idx="4">
                <c:v>8.8115341190108474</c:v>
              </c:pt>
              <c:pt idx="5">
                <c:v>9.8032823752824214</c:v>
              </c:pt>
              <c:pt idx="6">
                <c:v>10.794899563201826</c:v>
              </c:pt>
              <c:pt idx="7">
                <c:v>11.786409065042472</c:v>
              </c:pt>
              <c:pt idx="8">
                <c:v>12.77783295268264</c:v>
              </c:pt>
              <c:pt idx="9">
                <c:v>13.769195925791198</c:v>
              </c:pt>
              <c:pt idx="10">
                <c:v>14.760525488409519</c:v>
              </c:pt>
              <c:pt idx="11">
                <c:v>15.751852133944434</c:v>
              </c:pt>
              <c:pt idx="12">
                <c:v>16.74320953892617</c:v>
              </c:pt>
              <c:pt idx="13">
                <c:v>17.734634765908794</c:v>
              </c:pt>
              <c:pt idx="14">
                <c:v>18.726168475916662</c:v>
              </c:pt>
              <c:pt idx="15">
                <c:v>19.717855150869013</c:v>
              </c:pt>
              <c:pt idx="16">
                <c:v>20.709743326446262</c:v>
              </c:pt>
              <c:pt idx="17">
                <c:v>21.701885835896331</c:v>
              </c:pt>
              <c:pt idx="18">
                <c:v>22.694340065317235</c:v>
              </c:pt>
              <c:pt idx="19">
                <c:v>23.687168220994245</c:v>
              </c:pt>
              <c:pt idx="20">
                <c:v>24.680437609415605</c:v>
              </c:pt>
              <c:pt idx="21">
                <c:v>25.674214365853523</c:v>
              </c:pt>
              <c:pt idx="22">
                <c:v>26.668583220188367</c:v>
              </c:pt>
              <c:pt idx="23">
                <c:v>27.6636286365605</c:v>
              </c:pt>
              <c:pt idx="24">
                <c:v>28.659441447875434</c:v>
              </c:pt>
              <c:pt idx="25">
                <c:v>29.656119211242075</c:v>
              </c:pt>
              <c:pt idx="26">
                <c:v>30.653766581138218</c:v>
              </c:pt>
              <c:pt idx="27">
                <c:v>31.652495701406082</c:v>
              </c:pt>
              <c:pt idx="28">
                <c:v>32.652426617277726</c:v>
              </c:pt>
              <c:pt idx="29">
                <c:v>33.6536877087363</c:v>
              </c:pt>
              <c:pt idx="30">
                <c:v>34.656416146635898</c:v>
              </c:pt>
              <c:pt idx="31">
                <c:v>35.660758373130619</c:v>
              </c:pt>
              <c:pt idx="32">
                <c:v>36.384971337507565</c:v>
              </c:pt>
            </c:numLit>
          </c:xVal>
          <c:yVal>
            <c:numLit>
              <c:formatCode>General</c:formatCode>
              <c:ptCount val="33"/>
              <c:pt idx="0">
                <c:v>1.8875265065984568E-3</c:v>
              </c:pt>
              <c:pt idx="1">
                <c:v>2.0237401762564001E-3</c:v>
              </c:pt>
              <c:pt idx="2">
                <c:v>2.1686033300371225E-3</c:v>
              </c:pt>
              <c:pt idx="3">
                <c:v>2.3225879966033455E-3</c:v>
              </c:pt>
              <c:pt idx="4">
                <c:v>2.4861877298070602E-3</c:v>
              </c:pt>
              <c:pt idx="5">
                <c:v>2.6599184202403814E-3</c:v>
              </c:pt>
              <c:pt idx="6">
                <c:v>2.8443760603662129E-3</c:v>
              </c:pt>
              <c:pt idx="7">
                <c:v>3.0400747109121822E-3</c:v>
              </c:pt>
              <c:pt idx="8">
                <c:v>3.2476031618899315E-3</c:v>
              </c:pt>
              <c:pt idx="9">
                <c:v>3.467576144773824E-3</c:v>
              </c:pt>
              <c:pt idx="10">
                <c:v>3.7006353096777946E-3</c:v>
              </c:pt>
              <c:pt idx="11">
                <c:v>3.9474502411748786E-3</c:v>
              </c:pt>
              <c:pt idx="12">
                <c:v>4.2087195151559722E-3</c:v>
              </c:pt>
              <c:pt idx="13">
                <c:v>4.4851717993238342E-3</c:v>
              </c:pt>
              <c:pt idx="14">
                <c:v>4.7775670001359146E-3</c:v>
              </c:pt>
              <c:pt idx="15">
                <c:v>5.0866974592432227E-3</c:v>
              </c:pt>
              <c:pt idx="16">
                <c:v>5.4133892027263455E-3</c:v>
              </c:pt>
              <c:pt idx="17">
                <c:v>5.7585032467030641E-3</c:v>
              </c:pt>
              <c:pt idx="18">
                <c:v>6.1229369631792784E-3</c:v>
              </c:pt>
              <c:pt idx="19">
                <c:v>6.5076255103347367E-3</c:v>
              </c:pt>
              <c:pt idx="20">
                <c:v>6.9135433317828654E-3</c:v>
              </c:pt>
              <c:pt idx="21">
                <c:v>7.3418536727454121E-3</c:v>
              </c:pt>
              <c:pt idx="22">
                <c:v>7.7934848174498117E-3</c:v>
              </c:pt>
              <c:pt idx="23">
                <c:v>8.2695403621734203E-3</c:v>
              </c:pt>
              <c:pt idx="24">
                <c:v>8.771170082880541E-3</c:v>
              </c:pt>
              <c:pt idx="25">
                <c:v>9.299571868023453E-3</c:v>
              </c:pt>
              <c:pt idx="26">
                <c:v>9.8559937570728701E-3</c:v>
              </c:pt>
              <c:pt idx="27">
                <c:v>1.0441736092756343E-2</c:v>
              </c:pt>
              <c:pt idx="28">
                <c:v>1.1058153795654896E-2</c:v>
              </c:pt>
              <c:pt idx="29">
                <c:v>1.1706658770540258E-2</c:v>
              </c:pt>
              <c:pt idx="30">
                <c:v>1.2388722454634234E-2</c:v>
              </c:pt>
              <c:pt idx="31">
                <c:v>1.310587851884021E-2</c:v>
              </c:pt>
              <c:pt idx="32">
                <c:v>1.3644855003375554E-2</c:v>
              </c:pt>
            </c:numLit>
          </c:yVal>
          <c:smooth val="1"/>
          <c:extLst>
            <c:ext xmlns:c16="http://schemas.microsoft.com/office/drawing/2014/chart" uri="{C3380CC4-5D6E-409C-BE32-E72D297353CC}">
              <c16:uniqueId val="{00000054-0B28-4903-AA2E-7B40D0C5C481}"/>
            </c:ext>
          </c:extLst>
        </c:ser>
        <c:ser>
          <c:idx val="61"/>
          <c:order val="61"/>
          <c:tx>
            <c:v>RH=35_Label</c:v>
          </c:tx>
          <c:spPr>
            <a:ln w="3175">
              <a:solidFill>
                <a:srgbClr val="0000FF"/>
              </a:solidFill>
              <a:prstDash val="solid"/>
            </a:ln>
          </c:spPr>
          <c:marker>
            <c:symbol val="none"/>
          </c:marker>
          <c:dLbls>
            <c:dLbl>
              <c:idx val="0"/>
              <c:tx>
                <c:rich>
                  <a:bodyPr rot="-276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35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5-0B28-4903-AA2E-7B40D0C5C4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36.687012032716936</c:v>
              </c:pt>
            </c:numLit>
          </c:xVal>
          <c:yVal>
            <c:numLit>
              <c:formatCode>General</c:formatCode>
              <c:ptCount val="1"/>
              <c:pt idx="0">
                <c:v>1.3875188258477089E-2</c:v>
              </c:pt>
            </c:numLit>
          </c:yVal>
          <c:smooth val="0"/>
          <c:extLst>
            <c:ext xmlns:c16="http://schemas.microsoft.com/office/drawing/2014/chart" uri="{C3380CC4-5D6E-409C-BE32-E72D297353CC}">
              <c16:uniqueId val="{00000056-0B28-4903-AA2E-7B40D0C5C481}"/>
            </c:ext>
          </c:extLst>
        </c:ser>
        <c:ser>
          <c:idx val="62"/>
          <c:order val="62"/>
          <c:tx>
            <c:v>RH=35_2</c:v>
          </c:tx>
          <c:spPr>
            <a:ln w="3175">
              <a:solidFill>
                <a:srgbClr val="0000FF"/>
              </a:solidFill>
              <a:prstDash val="solid"/>
            </a:ln>
          </c:spPr>
          <c:marker>
            <c:symbol val="none"/>
          </c:marker>
          <c:xVal>
            <c:numLit>
              <c:formatCode>General</c:formatCode>
              <c:ptCount val="14"/>
              <c:pt idx="0">
                <c:v>36.989227251847005</c:v>
              </c:pt>
              <c:pt idx="1">
                <c:v>37.997932651779394</c:v>
              </c:pt>
              <c:pt idx="2">
                <c:v>39.00881116417105</c:v>
              </c:pt>
              <c:pt idx="3">
                <c:v>40.02205449777933</c:v>
              </c:pt>
              <c:pt idx="4">
                <c:v>41.037866760035634</c:v>
              </c:pt>
              <c:pt idx="5">
                <c:v>42.056468183587832</c:v>
              </c:pt>
              <c:pt idx="6">
                <c:v>43.078090565743416</c:v>
              </c:pt>
              <c:pt idx="7">
                <c:v>44.102980194192732</c:v>
              </c:pt>
              <c:pt idx="8">
                <c:v>45.131398661199782</c:v>
              </c:pt>
              <c:pt idx="9">
                <c:v>46.163623729572627</c:v>
              </c:pt>
              <c:pt idx="10">
                <c:v>47.199950254715397</c:v>
              </c:pt>
              <c:pt idx="11">
                <c:v>48.240691167489317</c:v>
              </c:pt>
              <c:pt idx="12">
                <c:v>49.286178523080601</c:v>
              </c:pt>
              <c:pt idx="13">
                <c:v>50</c:v>
              </c:pt>
            </c:numLit>
          </c:xVal>
          <c:yVal>
            <c:numLit>
              <c:formatCode>General</c:formatCode>
              <c:ptCount val="14"/>
              <c:pt idx="0">
                <c:v>1.4108976317031181E-2</c:v>
              </c:pt>
              <c:pt idx="1">
                <c:v>1.491381979626661E-2</c:v>
              </c:pt>
              <c:pt idx="2">
                <c:v>1.5759331523293861E-2</c:v>
              </c:pt>
              <c:pt idx="3">
                <c:v>1.6647403760885849E-2</c:v>
              </c:pt>
              <c:pt idx="4">
                <c:v>1.7580028207482008E-2</c:v>
              </c:pt>
              <c:pt idx="5">
                <c:v>1.8559098294035549E-2</c:v>
              </c:pt>
              <c:pt idx="6">
                <c:v>1.9586704885560857E-2</c:v>
              </c:pt>
              <c:pt idx="7">
                <c:v>2.0665031485887941E-2</c:v>
              </c:pt>
              <c:pt idx="8">
                <c:v>2.1796359116006504E-2</c:v>
              </c:pt>
              <c:pt idx="9">
                <c:v>2.298307153604754E-2</c:v>
              </c:pt>
              <c:pt idx="10">
                <c:v>2.4227660840216245E-2</c:v>
              </c:pt>
              <c:pt idx="11">
                <c:v>2.5532733456782093E-2</c:v>
              </c:pt>
              <c:pt idx="12">
                <c:v>2.6901016588325579E-2</c:v>
              </c:pt>
              <c:pt idx="13">
                <c:v>2.7869006304865641E-2</c:v>
              </c:pt>
            </c:numLit>
          </c:yVal>
          <c:smooth val="1"/>
          <c:extLst>
            <c:ext xmlns:c16="http://schemas.microsoft.com/office/drawing/2014/chart" uri="{C3380CC4-5D6E-409C-BE32-E72D297353CC}">
              <c16:uniqueId val="{00000057-0B28-4903-AA2E-7B40D0C5C481}"/>
            </c:ext>
          </c:extLst>
        </c:ser>
        <c:ser>
          <c:idx val="63"/>
          <c:order val="63"/>
          <c:tx>
            <c:v>RH=45_1</c:v>
          </c:tx>
          <c:spPr>
            <a:ln w="3175">
              <a:solidFill>
                <a:srgbClr val="0000FF"/>
              </a:solidFill>
              <a:prstDash val="solid"/>
            </a:ln>
          </c:spPr>
          <c:marker>
            <c:symbol val="none"/>
          </c:marker>
          <c:xVal>
            <c:numLit>
              <c:formatCode>General</c:formatCode>
              <c:ptCount val="30"/>
              <c:pt idx="0">
                <c:v>4.7979114405643841</c:v>
              </c:pt>
              <c:pt idx="1">
                <c:v>5.7881293572500709</c:v>
              </c:pt>
              <c:pt idx="2">
                <c:v>6.7781084020266285</c:v>
              </c:pt>
              <c:pt idx="3">
                <c:v>7.7678629287117902</c:v>
              </c:pt>
              <c:pt idx="4">
                <c:v>8.7574096713914997</c:v>
              </c:pt>
              <c:pt idx="5">
                <c:v>9.7467679237906673</c:v>
              </c:pt>
              <c:pt idx="6">
                <c:v>10.735954436551337</c:v>
              </c:pt>
              <c:pt idx="7">
                <c:v>11.724999045808413</c:v>
              </c:pt>
              <c:pt idx="8">
                <c:v>12.7139298863019</c:v>
              </c:pt>
              <c:pt idx="9">
                <c:v>13.702778468008708</c:v>
              </c:pt>
              <c:pt idx="10">
                <c:v>14.691579905864549</c:v>
              </c:pt>
              <c:pt idx="11">
                <c:v>15.680373160907957</c:v>
              </c:pt>
              <c:pt idx="12">
                <c:v>16.669201293391961</c:v>
              </c:pt>
              <c:pt idx="13">
                <c:v>17.658111728450482</c:v>
              </c:pt>
              <c:pt idx="14">
                <c:v>18.647156534952014</c:v>
              </c:pt>
              <c:pt idx="15">
                <c:v>19.636392718223561</c:v>
              </c:pt>
              <c:pt idx="16">
                <c:v>20.625882527383471</c:v>
              </c:pt>
              <c:pt idx="17">
                <c:v>21.615693778082875</c:v>
              </c:pt>
              <c:pt idx="18">
                <c:v>22.60590019152318</c:v>
              </c:pt>
              <c:pt idx="19">
                <c:v>23.596581750691325</c:v>
              </c:pt>
              <c:pt idx="20">
                <c:v>24.587825074836598</c:v>
              </c:pt>
              <c:pt idx="21">
                <c:v>25.579715315640659</c:v>
              </c:pt>
              <c:pt idx="22">
                <c:v>26.572361751927581</c:v>
              </c:pt>
              <c:pt idx="23">
                <c:v>27.565873408785404</c:v>
              </c:pt>
              <c:pt idx="24">
                <c:v>28.560367661273503</c:v>
              </c:pt>
              <c:pt idx="25">
                <c:v>29.555970719929455</c:v>
              </c:pt>
              <c:pt idx="26">
                <c:v>30.552818142991558</c:v>
              </c:pt>
              <c:pt idx="27">
                <c:v>31.551055377229062</c:v>
              </c:pt>
              <c:pt idx="28">
                <c:v>32.550838329451459</c:v>
              </c:pt>
              <c:pt idx="29">
                <c:v>33.241676623013277</c:v>
              </c:pt>
            </c:numLit>
          </c:xVal>
          <c:yVal>
            <c:numLit>
              <c:formatCode>General</c:formatCode>
              <c:ptCount val="30"/>
              <c:pt idx="0">
                <c:v>2.4289258159167224E-3</c:v>
              </c:pt>
              <c:pt idx="1">
                <c:v>2.6043727591205873E-3</c:v>
              </c:pt>
              <c:pt idx="2">
                <c:v>2.7909845906628123E-3</c:v>
              </c:pt>
              <c:pt idx="3">
                <c:v>2.9893739594974377E-3</c:v>
              </c:pt>
              <c:pt idx="4">
                <c:v>3.2001818853940622E-3</c:v>
              </c:pt>
              <c:pt idx="5">
                <c:v>3.4240788799272735E-3</c:v>
              </c:pt>
              <c:pt idx="6">
                <c:v>3.6618394930983864E-3</c:v>
              </c:pt>
              <c:pt idx="7">
                <c:v>3.9141335585276644E-3</c:v>
              </c:pt>
              <c:pt idx="8">
                <c:v>4.181728195005634E-3</c:v>
              </c:pt>
              <c:pt idx="9">
                <c:v>4.4654250475394362E-3</c:v>
              </c:pt>
              <c:pt idx="10">
                <c:v>4.7660616697429072E-3</c:v>
              </c:pt>
              <c:pt idx="11">
                <c:v>5.0845129684787566E-3</c:v>
              </c:pt>
              <c:pt idx="12">
                <c:v>5.4216927150161328E-3</c:v>
              </c:pt>
              <c:pt idx="13">
                <c:v>5.7785551273322622E-3</c:v>
              </c:pt>
              <c:pt idx="14">
                <c:v>6.1560965285861443E-3</c:v>
              </c:pt>
              <c:pt idx="15">
                <c:v>6.5553570872239637E-3</c:v>
              </c:pt>
              <c:pt idx="16">
                <c:v>6.9774226446464435E-3</c:v>
              </c:pt>
              <c:pt idx="17">
                <c:v>7.4234266368784479E-3</c:v>
              </c:pt>
              <c:pt idx="18">
                <c:v>7.8945521172378037E-3</c:v>
              </c:pt>
              <c:pt idx="19">
                <c:v>8.3920338876039037E-3</c:v>
              </c:pt>
              <c:pt idx="20">
                <c:v>8.9171607465458672E-3</c:v>
              </c:pt>
              <c:pt idx="21">
                <c:v>9.4714693652664696E-3</c:v>
              </c:pt>
              <c:pt idx="22">
                <c:v>1.0056196296420142E-2</c:v>
              </c:pt>
              <c:pt idx="23">
                <c:v>1.0672809158403808E-2</c:v>
              </c:pt>
              <c:pt idx="24">
                <c:v>1.1322840060390603E-2</c:v>
              </c:pt>
              <c:pt idx="25">
                <c:v>1.2007888595456073E-2</c:v>
              </c:pt>
              <c:pt idx="26">
                <c:v>1.272962501840671E-2</c:v>
              </c:pt>
              <c:pt idx="27">
                <c:v>1.3489793623284507E-2</c:v>
              </c:pt>
              <c:pt idx="28">
                <c:v>1.4290216336870146E-2</c:v>
              </c:pt>
              <c:pt idx="29">
                <c:v>1.4866969840016564E-2</c:v>
              </c:pt>
            </c:numLit>
          </c:yVal>
          <c:smooth val="1"/>
          <c:extLst>
            <c:ext xmlns:c16="http://schemas.microsoft.com/office/drawing/2014/chart" uri="{C3380CC4-5D6E-409C-BE32-E72D297353CC}">
              <c16:uniqueId val="{00000058-0B28-4903-AA2E-7B40D0C5C481}"/>
            </c:ext>
          </c:extLst>
        </c:ser>
        <c:ser>
          <c:idx val="64"/>
          <c:order val="64"/>
          <c:tx>
            <c:v>RH=45_Label</c:v>
          </c:tx>
          <c:spPr>
            <a:ln w="3175">
              <a:solidFill>
                <a:srgbClr val="0000FF"/>
              </a:solidFill>
              <a:prstDash val="solid"/>
            </a:ln>
          </c:spPr>
          <c:marker>
            <c:symbol val="none"/>
          </c:marker>
          <c:dLbls>
            <c:dLbl>
              <c:idx val="0"/>
              <c:tx>
                <c:rich>
                  <a:bodyPr rot="-294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45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9-0B28-4903-AA2E-7B40D0C5C4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33.542309960090257</c:v>
              </c:pt>
            </c:numLit>
          </c:xVal>
          <c:yVal>
            <c:numLit>
              <c:formatCode>General</c:formatCode>
              <c:ptCount val="1"/>
              <c:pt idx="0">
                <c:v>1.5124155606683983E-2</c:v>
              </c:pt>
            </c:numLit>
          </c:yVal>
          <c:smooth val="0"/>
          <c:extLst>
            <c:ext xmlns:c16="http://schemas.microsoft.com/office/drawing/2014/chart" uri="{C3380CC4-5D6E-409C-BE32-E72D297353CC}">
              <c16:uniqueId val="{0000005A-0B28-4903-AA2E-7B40D0C5C481}"/>
            </c:ext>
          </c:extLst>
        </c:ser>
        <c:ser>
          <c:idx val="65"/>
          <c:order val="65"/>
          <c:tx>
            <c:v>RH=45_2</c:v>
          </c:tx>
          <c:spPr>
            <a:ln w="3175">
              <a:solidFill>
                <a:srgbClr val="0000FF"/>
              </a:solidFill>
              <a:prstDash val="solid"/>
            </a:ln>
          </c:spPr>
          <c:marker>
            <c:symbol val="none"/>
          </c:marker>
          <c:xVal>
            <c:numLit>
              <c:formatCode>General</c:formatCode>
              <c:ptCount val="17"/>
              <c:pt idx="0">
                <c:v>33.843113269370306</c:v>
              </c:pt>
              <c:pt idx="1">
                <c:v>34.847083943135722</c:v>
              </c:pt>
              <c:pt idx="2">
                <c:v>35.853194864619347</c:v>
              </c:pt>
              <c:pt idx="3">
                <c:v>36.861654133883768</c:v>
              </c:pt>
              <c:pt idx="4">
                <c:v>37.872683946588978</c:v>
              </c:pt>
              <c:pt idx="5">
                <c:v>38.886521420379061</c:v>
              </c:pt>
              <c:pt idx="6">
                <c:v>39.903418320194405</c:v>
              </c:pt>
              <c:pt idx="7">
                <c:v>40.923642892256069</c:v>
              </c:pt>
              <c:pt idx="8">
                <c:v>41.947485589808181</c:v>
              </c:pt>
              <c:pt idx="9">
                <c:v>42.975252742791277</c:v>
              </c:pt>
              <c:pt idx="10">
                <c:v>44.007270646239782</c:v>
              </c:pt>
              <c:pt idx="11">
                <c:v>45.043886785233312</c:v>
              </c:pt>
              <c:pt idx="12">
                <c:v>46.085471148292477</c:v>
              </c:pt>
              <c:pt idx="13">
                <c:v>47.132417637407976</c:v>
              </c:pt>
              <c:pt idx="14">
                <c:v>48.185145583777889</c:v>
              </c:pt>
              <c:pt idx="15">
                <c:v>49.244101379321037</c:v>
              </c:pt>
              <c:pt idx="16">
                <c:v>50.000000000000007</c:v>
              </c:pt>
            </c:numLit>
          </c:xVal>
          <c:yVal>
            <c:numLit>
              <c:formatCode>General</c:formatCode>
              <c:ptCount val="17"/>
              <c:pt idx="0">
                <c:v>1.5385312109042031E-2</c:v>
              </c:pt>
              <c:pt idx="1">
                <c:v>1.6285225952846927E-2</c:v>
              </c:pt>
              <c:pt idx="2">
                <c:v>1.7231985372616151E-2</c:v>
              </c:pt>
              <c:pt idx="3">
                <c:v>1.8227792074351917E-2</c:v>
              </c:pt>
              <c:pt idx="4">
                <c:v>1.9274948795326451E-2</c:v>
              </c:pt>
              <c:pt idx="5">
                <c:v>2.0375864737942648E-2</c:v>
              </c:pt>
              <c:pt idx="6">
                <c:v>2.1533125692636469E-2</c:v>
              </c:pt>
              <c:pt idx="7">
                <c:v>2.274948152478275E-2</c:v>
              </c:pt>
              <c:pt idx="8">
                <c:v>2.4027550915091813E-2</c:v>
              </c:pt>
              <c:pt idx="9">
                <c:v>2.5370233863113451E-2</c:v>
              </c:pt>
              <c:pt idx="10">
                <c:v>2.6780570766508603E-2</c:v>
              </c:pt>
              <c:pt idx="11">
                <c:v>2.8261750799635506E-2</c:v>
              </c:pt>
              <c:pt idx="12">
                <c:v>2.9817120948578829E-2</c:v>
              </c:pt>
              <c:pt idx="13">
                <c:v>3.1450195763913363E-2</c:v>
              </c:pt>
              <c:pt idx="14">
                <c:v>3.3164667898963343E-2</c:v>
              </c:pt>
              <c:pt idx="15">
                <c:v>3.4964419508579071E-2</c:v>
              </c:pt>
              <c:pt idx="16">
                <c:v>3.6296243180437608E-2</c:v>
              </c:pt>
            </c:numLit>
          </c:yVal>
          <c:smooth val="1"/>
          <c:extLst>
            <c:ext xmlns:c16="http://schemas.microsoft.com/office/drawing/2014/chart" uri="{C3380CC4-5D6E-409C-BE32-E72D297353CC}">
              <c16:uniqueId val="{0000005B-0B28-4903-AA2E-7B40D0C5C481}"/>
            </c:ext>
          </c:extLst>
        </c:ser>
        <c:ser>
          <c:idx val="66"/>
          <c:order val="66"/>
          <c:tx>
            <c:v>RH=55_1</c:v>
          </c:tx>
          <c:spPr>
            <a:ln w="3175">
              <a:solidFill>
                <a:srgbClr val="0000FF"/>
              </a:solidFill>
              <a:prstDash val="solid"/>
            </a:ln>
          </c:spPr>
          <c:marker>
            <c:symbol val="none"/>
          </c:marker>
          <c:xVal>
            <c:numLit>
              <c:formatCode>General</c:formatCode>
              <c:ptCount val="28"/>
              <c:pt idx="0">
                <c:v>4.7527883387197933</c:v>
              </c:pt>
              <c:pt idx="1">
                <c:v>5.7408058132072091</c:v>
              </c:pt>
              <c:pt idx="2">
                <c:v>6.7285284551880915</c:v>
              </c:pt>
              <c:pt idx="3">
                <c:v>7.7159735586186047</c:v>
              </c:pt>
              <c:pt idx="4">
                <c:v>8.7031613138615409</c:v>
              </c:pt>
              <c:pt idx="5">
                <c:v>9.690115027717022</c:v>
              </c:pt>
              <c:pt idx="6">
                <c:v>10.676854870952818</c:v>
              </c:pt>
              <c:pt idx="7">
                <c:v>11.663417028454429</c:v>
              </c:pt>
              <c:pt idx="8">
                <c:v>12.649835584689367</c:v>
              </c:pt>
              <c:pt idx="9">
                <c:v>13.636148744660289</c:v>
              </c:pt>
              <c:pt idx="10">
                <c:v>14.622399117900304</c:v>
              </c:pt>
              <c:pt idx="11">
                <c:v>15.608634017172154</c:v>
              </c:pt>
              <c:pt idx="12">
                <c:v>16.59490577265089</c:v>
              </c:pt>
              <c:pt idx="13">
                <c:v>17.581272062434444</c:v>
              </c:pt>
              <c:pt idx="14">
                <c:v>18.567796260297889</c:v>
              </c:pt>
              <c:pt idx="15">
                <c:v>19.554547801686571</c:v>
              </c:pt>
              <c:pt idx="16">
                <c:v>20.541602569030708</c:v>
              </c:pt>
              <c:pt idx="17">
                <c:v>21.529043297560914</c:v>
              </c:pt>
              <c:pt idx="18">
                <c:v>22.516960002911134</c:v>
              </c:pt>
              <c:pt idx="19">
                <c:v>23.50545043191384</c:v>
              </c:pt>
              <c:pt idx="20">
                <c:v>24.494620538123129</c:v>
              </c:pt>
              <c:pt idx="21">
                <c:v>25.484574527064105</c:v>
              </c:pt>
              <c:pt idx="22">
                <c:v>26.475446362765325</c:v>
              </c:pt>
              <c:pt idx="23">
                <c:v>27.467369806450417</c:v>
              </c:pt>
              <c:pt idx="24">
                <c:v>28.460489023324861</c:v>
              </c:pt>
              <c:pt idx="25">
                <c:v>29.454959211633383</c:v>
              </c:pt>
              <c:pt idx="26">
                <c:v>30.450947269402214</c:v>
              </c:pt>
              <c:pt idx="27">
                <c:v>30.690229911761239</c:v>
              </c:pt>
            </c:numLit>
          </c:xVal>
          <c:yVal>
            <c:numLit>
              <c:formatCode>General</c:formatCode>
              <c:ptCount val="28"/>
              <c:pt idx="0">
                <c:v>2.9712656063069056E-3</c:v>
              </c:pt>
              <c:pt idx="1">
                <c:v>3.1860869002144176E-3</c:v>
              </c:pt>
              <c:pt idx="2">
                <c:v>3.414608328091779E-3</c:v>
              </c:pt>
              <c:pt idx="3">
                <c:v>3.6575857658689651E-3</c:v>
              </c:pt>
              <c:pt idx="4">
                <c:v>3.9158106249054629E-3</c:v>
              </c:pt>
              <c:pt idx="5">
                <c:v>4.19011131877251E-3</c:v>
              </c:pt>
              <c:pt idx="6">
                <c:v>4.4814447176932176E-3</c:v>
              </c:pt>
              <c:pt idx="7">
                <c:v>4.7906404835150358E-3</c:v>
              </c:pt>
              <c:pt idx="8">
                <c:v>5.1186486748401082E-3</c:v>
              </c:pt>
              <c:pt idx="9">
                <c:v>5.4664630058504768E-3</c:v>
              </c:pt>
              <c:pt idx="10">
                <c:v>5.8351226941980557E-3</c:v>
              </c:pt>
              <c:pt idx="11">
                <c:v>6.2257144010881621E-3</c:v>
              </c:pt>
              <c:pt idx="12">
                <c:v>6.6393742703356956E-3</c:v>
              </c:pt>
              <c:pt idx="13">
                <c:v>7.0772900737726746E-3</c:v>
              </c:pt>
              <c:pt idx="14">
                <c:v>7.5407034710427414E-3</c:v>
              </c:pt>
              <c:pt idx="15">
                <c:v>8.0309123925323949E-3</c:v>
              </c:pt>
              <c:pt idx="16">
                <c:v>8.5492735549704338E-3</c:v>
              </c:pt>
              <c:pt idx="17">
                <c:v>9.0972051200791226E-3</c:v>
              </c:pt>
              <c:pt idx="18">
                <c:v>9.6761895075946035E-3</c:v>
              </c:pt>
              <c:pt idx="19">
                <c:v>1.0287776374993248E-2</c:v>
              </c:pt>
              <c:pt idx="20">
                <c:v>1.0933585777379171E-2</c:v>
              </c:pt>
              <c:pt idx="21">
                <c:v>1.1615547172345699E-2</c:v>
              </c:pt>
              <c:pt idx="22">
                <c:v>1.2335225784433806E-2</c:v>
              </c:pt>
              <c:pt idx="23">
                <c:v>1.3094476410334279E-2</c:v>
              </c:pt>
              <c:pt idx="24">
                <c:v>1.3895239184208591E-2</c:v>
              </c:pt>
              <c:pt idx="25">
                <c:v>1.4739543900452028E-2</c:v>
              </c:pt>
              <c:pt idx="26">
                <c:v>1.5629514628788175E-2</c:v>
              </c:pt>
              <c:pt idx="27">
                <c:v>1.5850147556233648E-2</c:v>
              </c:pt>
            </c:numLit>
          </c:yVal>
          <c:smooth val="1"/>
          <c:extLst>
            <c:ext xmlns:c16="http://schemas.microsoft.com/office/drawing/2014/chart" uri="{C3380CC4-5D6E-409C-BE32-E72D297353CC}">
              <c16:uniqueId val="{0000005C-0B28-4903-AA2E-7B40D0C5C481}"/>
            </c:ext>
          </c:extLst>
        </c:ser>
        <c:ser>
          <c:idx val="67"/>
          <c:order val="67"/>
          <c:tx>
            <c:v>RH=55_Label</c:v>
          </c:tx>
          <c:spPr>
            <a:ln w="3175">
              <a:solidFill>
                <a:srgbClr val="0000FF"/>
              </a:solidFill>
              <a:prstDash val="solid"/>
            </a:ln>
          </c:spPr>
          <c:marker>
            <c:symbol val="none"/>
          </c:marker>
          <c:dLbls>
            <c:dLbl>
              <c:idx val="0"/>
              <c:tx>
                <c:rich>
                  <a:bodyPr rot="-312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55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D-0B28-4903-AA2E-7B40D0C5C4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30.989474550516114</c:v>
              </c:pt>
            </c:numLit>
          </c:xVal>
          <c:yVal>
            <c:numLit>
              <c:formatCode>General</c:formatCode>
              <c:ptCount val="1"/>
              <c:pt idx="0">
                <c:v>1.6129865276295948E-2</c:v>
              </c:pt>
            </c:numLit>
          </c:yVal>
          <c:smooth val="0"/>
          <c:extLst>
            <c:ext xmlns:c16="http://schemas.microsoft.com/office/drawing/2014/chart" uri="{C3380CC4-5D6E-409C-BE32-E72D297353CC}">
              <c16:uniqueId val="{0000005E-0B28-4903-AA2E-7B40D0C5C481}"/>
            </c:ext>
          </c:extLst>
        </c:ser>
        <c:ser>
          <c:idx val="68"/>
          <c:order val="68"/>
          <c:tx>
            <c:v>RH=55_2</c:v>
          </c:tx>
          <c:spPr>
            <a:ln w="3175">
              <a:solidFill>
                <a:srgbClr val="0000FF"/>
              </a:solidFill>
              <a:prstDash val="solid"/>
            </a:ln>
          </c:spPr>
          <c:marker>
            <c:symbol val="none"/>
          </c:marker>
          <c:xVal>
            <c:numLit>
              <c:formatCode>General</c:formatCode>
              <c:ptCount val="18"/>
              <c:pt idx="0">
                <c:v>31.288881044490907</c:v>
              </c:pt>
              <c:pt idx="1">
                <c:v>32.28814007408657</c:v>
              </c:pt>
              <c:pt idx="2">
                <c:v>33.289461162964656</c:v>
              </c:pt>
              <c:pt idx="3">
                <c:v>34.293063110456032</c:v>
              </c:pt>
              <c:pt idx="4">
                <c:v>35.299180279992967</c:v>
              </c:pt>
              <c:pt idx="5">
                <c:v>36.308063555400999</c:v>
              </c:pt>
              <c:pt idx="6">
                <c:v>37.319981362124537</c:v>
              </c:pt>
              <c:pt idx="7">
                <c:v>38.335220759151703</c:v>
              </c:pt>
              <c:pt idx="8">
                <c:v>39.354088608020184</c:v>
              </c:pt>
              <c:pt idx="9">
                <c:v>40.376908784565998</c:v>
              </c:pt>
              <c:pt idx="10">
                <c:v>41.404035377551232</c:v>
              </c:pt>
              <c:pt idx="11">
                <c:v>42.435843506013669</c:v>
              </c:pt>
              <c:pt idx="12">
                <c:v>43.472732904478228</c:v>
              </c:pt>
              <c:pt idx="13">
                <c:v>44.515130408086179</c:v>
              </c:pt>
              <c:pt idx="14">
                <c:v>45.563491765100324</c:v>
              </c:pt>
              <c:pt idx="15">
                <c:v>46.618303596101995</c:v>
              </c:pt>
              <c:pt idx="16">
                <c:v>47.680085514829216</c:v>
              </c:pt>
              <c:pt idx="17">
                <c:v>44.483774059522453</c:v>
              </c:pt>
            </c:numLit>
          </c:xVal>
          <c:yVal>
            <c:numLit>
              <c:formatCode>General</c:formatCode>
              <c:ptCount val="18"/>
              <c:pt idx="0">
                <c:v>1.6414004228901657E-2</c:v>
              </c:pt>
              <c:pt idx="1">
                <c:v>1.7393885676520521E-2</c:v>
              </c:pt>
              <c:pt idx="2">
                <c:v>1.8426024368464747E-2</c:v>
              </c:pt>
              <c:pt idx="3">
                <c:v>1.9512955389155106E-2</c:v>
              </c:pt>
              <c:pt idx="4">
                <c:v>2.0657335456802466E-2</c:v>
              </c:pt>
              <c:pt idx="5">
                <c:v>2.18619498344035E-2</c:v>
              </c:pt>
              <c:pt idx="6">
                <c:v>2.3129719762606075E-2</c:v>
              </c:pt>
              <c:pt idx="7">
                <c:v>2.4463710462355535E-2</c:v>
              </c:pt>
              <c:pt idx="8">
                <c:v>2.586713976016505E-2</c:v>
              </c:pt>
              <c:pt idx="9">
                <c:v>2.7343626022832548E-2</c:v>
              </c:pt>
              <c:pt idx="10">
                <c:v>2.8896558756553385E-2</c:v>
              </c:pt>
              <c:pt idx="11">
                <c:v>3.0529632437545379E-2</c:v>
              </c:pt>
              <c:pt idx="12">
                <c:v>3.2246779263973561E-2</c:v>
              </c:pt>
              <c:pt idx="13">
                <c:v>3.4052139020724105E-2</c:v>
              </c:pt>
              <c:pt idx="14">
                <c:v>3.5950072930764715E-2</c:v>
              </c:pt>
              <c:pt idx="15">
                <c:v>3.7945178699027013E-2</c:v>
              </c:pt>
              <c:pt idx="16">
                <c:v>4.0042306870224254E-2</c:v>
              </c:pt>
              <c:pt idx="17">
                <c:v>3.4000000000000002E-2</c:v>
              </c:pt>
            </c:numLit>
          </c:yVal>
          <c:smooth val="1"/>
          <c:extLst>
            <c:ext xmlns:c16="http://schemas.microsoft.com/office/drawing/2014/chart" uri="{C3380CC4-5D6E-409C-BE32-E72D297353CC}">
              <c16:uniqueId val="{0000005F-0B28-4903-AA2E-7B40D0C5C481}"/>
            </c:ext>
          </c:extLst>
        </c:ser>
        <c:ser>
          <c:idx val="69"/>
          <c:order val="69"/>
          <c:tx>
            <c:v>RH=65_1</c:v>
          </c:tx>
          <c:spPr>
            <a:ln w="3175">
              <a:solidFill>
                <a:srgbClr val="0000FF"/>
              </a:solidFill>
              <a:prstDash val="solid"/>
            </a:ln>
          </c:spPr>
          <c:marker>
            <c:symbol val="none"/>
          </c:marker>
          <c:xVal>
            <c:numLit>
              <c:formatCode>General</c:formatCode>
              <c:ptCount val="26"/>
              <c:pt idx="0">
                <c:v>4.7075867840324177</c:v>
              </c:pt>
              <c:pt idx="1">
                <c:v>5.693394036287784</c:v>
              </c:pt>
              <c:pt idx="2">
                <c:v>6.6788494316452747</c:v>
              </c:pt>
              <c:pt idx="3">
                <c:v>7.6639731104373956</c:v>
              </c:pt>
              <c:pt idx="4">
                <c:v>8.6487886204232431</c:v>
              </c:pt>
              <c:pt idx="5">
                <c:v>9.633323177711917</c:v>
              </c:pt>
              <c:pt idx="6">
                <c:v>10.61760025865436</c:v>
              </c:pt>
              <c:pt idx="7">
                <c:v>11.601662289364722</c:v>
              </c:pt>
              <c:pt idx="8">
                <c:v>12.585549188127688</c:v>
              </c:pt>
              <c:pt idx="9">
                <c:v>13.569305736538357</c:v>
              </c:pt>
              <c:pt idx="10">
                <c:v>14.5529819188678</c:v>
              </c:pt>
              <c:pt idx="11">
                <c:v>15.536633279684853</c:v>
              </c:pt>
              <c:pt idx="12">
                <c:v>16.520321300791181</c:v>
              </c:pt>
              <c:pt idx="13">
                <c:v>17.504113798620708</c:v>
              </c:pt>
              <c:pt idx="14">
                <c:v>18.488085343358691</c:v>
              </c:pt>
              <c:pt idx="15">
                <c:v>19.472317701151294</c:v>
              </c:pt>
              <c:pt idx="16">
                <c:v>20.456900300904735</c:v>
              </c:pt>
              <c:pt idx="17">
                <c:v>21.441930727315192</c:v>
              </c:pt>
              <c:pt idx="18">
                <c:v>22.427515241928276</c:v>
              </c:pt>
              <c:pt idx="19">
                <c:v>23.413769334201806</c:v>
              </c:pt>
              <c:pt idx="20">
                <c:v>24.400818304739552</c:v>
              </c:pt>
              <c:pt idx="21">
                <c:v>25.388785440831832</c:v>
              </c:pt>
              <c:pt idx="22">
                <c:v>26.37782951900634</c:v>
              </c:pt>
              <c:pt idx="23">
                <c:v>27.36810920265324</c:v>
              </c:pt>
              <c:pt idx="24">
                <c:v>28.35979568640477</c:v>
              </c:pt>
              <c:pt idx="25">
                <c:v>28.558317792615352</c:v>
              </c:pt>
            </c:numLit>
          </c:xVal>
          <c:yVal>
            <c:numLit>
              <c:formatCode>General</c:formatCode>
              <c:ptCount val="26"/>
              <c:pt idx="0">
                <c:v>3.5145483305064288E-3</c:v>
              </c:pt>
              <c:pt idx="1">
                <c:v>3.7688856243217176E-3</c:v>
              </c:pt>
              <c:pt idx="2">
                <c:v>4.0394782666273339E-3</c:v>
              </c:pt>
              <c:pt idx="3">
                <c:v>4.3272279941113561E-3</c:v>
              </c:pt>
              <c:pt idx="4">
                <c:v>4.6330795679808117E-3</c:v>
              </c:pt>
              <c:pt idx="5">
                <c:v>4.9580226239490759E-3</c:v>
              </c:pt>
              <c:pt idx="6">
                <c:v>5.3032001625822091E-3</c:v>
              </c:pt>
              <c:pt idx="7">
                <c:v>5.669605785216322E-3</c:v>
              </c:pt>
              <c:pt idx="8">
                <c:v>6.0583771686071762E-3</c:v>
              </c:pt>
              <c:pt idx="9">
                <c:v>6.4707053321746109E-3</c:v>
              </c:pt>
              <c:pt idx="10">
                <c:v>6.907837014116615E-3</c:v>
              </c:pt>
              <c:pt idx="11">
                <c:v>7.3710771764237074E-3</c:v>
              </c:pt>
              <c:pt idx="12">
                <c:v>7.861791648811841E-3</c:v>
              </c:pt>
              <c:pt idx="13">
                <c:v>8.3814099225061629E-3</c:v>
              </c:pt>
              <c:pt idx="14">
                <c:v>8.9314281058126502E-3</c:v>
              </c:pt>
              <c:pt idx="15">
                <c:v>9.513412054512508E-3</c:v>
              </c:pt>
              <c:pt idx="16">
                <c:v>1.0129000691320653E-2</c:v>
              </c:pt>
              <c:pt idx="17">
                <c:v>1.0779909529971536E-2</c:v>
              </c:pt>
              <c:pt idx="18">
                <c:v>1.1467934420950916E-2</c:v>
              </c:pt>
              <c:pt idx="19">
                <c:v>1.2194955537489258E-2</c:v>
              </c:pt>
              <c:pt idx="20">
                <c:v>1.2962941622193738E-2</c:v>
              </c:pt>
              <c:pt idx="21">
                <c:v>1.3774234913153584E-2</c:v>
              </c:pt>
              <c:pt idx="22">
                <c:v>1.4630750441318861E-2</c:v>
              </c:pt>
              <c:pt idx="23">
                <c:v>1.5534754206521045E-2</c:v>
              </c:pt>
              <c:pt idx="24">
                <c:v>1.6488621082355326E-2</c:v>
              </c:pt>
              <c:pt idx="25">
                <c:v>1.6685595032799646E-2</c:v>
              </c:pt>
            </c:numLit>
          </c:yVal>
          <c:smooth val="1"/>
          <c:extLst>
            <c:ext xmlns:c16="http://schemas.microsoft.com/office/drawing/2014/chart" uri="{C3380CC4-5D6E-409C-BE32-E72D297353CC}">
              <c16:uniqueId val="{00000060-0B28-4903-AA2E-7B40D0C5C481}"/>
            </c:ext>
          </c:extLst>
        </c:ser>
        <c:ser>
          <c:idx val="70"/>
          <c:order val="70"/>
          <c:tx>
            <c:v>RH=65_Label</c:v>
          </c:tx>
          <c:spPr>
            <a:ln w="3175">
              <a:solidFill>
                <a:srgbClr val="0000FF"/>
              </a:solidFill>
              <a:prstDash val="solid"/>
            </a:ln>
          </c:spPr>
          <c:marker>
            <c:symbol val="none"/>
          </c:marker>
          <c:dLbls>
            <c:dLbl>
              <c:idx val="0"/>
              <c:tx>
                <c:rich>
                  <a:bodyPr rot="-324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65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1-0B28-4903-AA2E-7B40D0C5C4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28.826426268543489</c:v>
              </c:pt>
            </c:numLit>
          </c:xVal>
          <c:yVal>
            <c:numLit>
              <c:formatCode>General</c:formatCode>
              <c:ptCount val="1"/>
              <c:pt idx="0">
                <c:v>1.69548673550181E-2</c:v>
              </c:pt>
            </c:numLit>
          </c:yVal>
          <c:smooth val="0"/>
          <c:extLst>
            <c:ext xmlns:c16="http://schemas.microsoft.com/office/drawing/2014/chart" uri="{C3380CC4-5D6E-409C-BE32-E72D297353CC}">
              <c16:uniqueId val="{00000062-0B28-4903-AA2E-7B40D0C5C481}"/>
            </c:ext>
          </c:extLst>
        </c:ser>
        <c:ser>
          <c:idx val="71"/>
          <c:order val="71"/>
          <c:tx>
            <c:v>RH=65_2</c:v>
          </c:tx>
          <c:spPr>
            <a:ln w="3175">
              <a:solidFill>
                <a:srgbClr val="0000FF"/>
              </a:solidFill>
              <a:prstDash val="solid"/>
            </a:ln>
          </c:spPr>
          <c:marker>
            <c:symbol val="none"/>
          </c:marker>
          <c:xVal>
            <c:numLit>
              <c:formatCode>General</c:formatCode>
              <c:ptCount val="17"/>
              <c:pt idx="0">
                <c:v>29.154281293235872</c:v>
              </c:pt>
              <c:pt idx="1">
                <c:v>30.148974471149877</c:v>
              </c:pt>
              <c:pt idx="2">
                <c:v>31.14562735244127</c:v>
              </c:pt>
              <c:pt idx="3">
                <c:v>32.144466372583011</c:v>
              </c:pt>
              <c:pt idx="4">
                <c:v>33.145734775067154</c:v>
              </c:pt>
              <c:pt idx="5">
                <c:v>34.149693684929971</c:v>
              </c:pt>
              <c:pt idx="6">
                <c:v>35.156623258311356</c:v>
              </c:pt>
              <c:pt idx="7">
                <c:v>36.166823915077146</c:v>
              </c:pt>
              <c:pt idx="8">
                <c:v>37.180617662312947</c:v>
              </c:pt>
              <c:pt idx="9">
                <c:v>38.198349517373778</c:v>
              </c:pt>
              <c:pt idx="10">
                <c:v>39.220389040157556</c:v>
              </c:pt>
              <c:pt idx="11">
                <c:v>40.247127353684583</c:v>
              </c:pt>
              <c:pt idx="12">
                <c:v>41.278992238745232</c:v>
              </c:pt>
              <c:pt idx="13">
                <c:v>42.316438727336042</c:v>
              </c:pt>
              <c:pt idx="14">
                <c:v>43.359952662944558</c:v>
              </c:pt>
              <c:pt idx="15">
                <c:v>44.410054181301376</c:v>
              </c:pt>
              <c:pt idx="16">
                <c:v>41.082522687554388</c:v>
              </c:pt>
            </c:numLit>
          </c:xVal>
          <c:yVal>
            <c:numLit>
              <c:formatCode>General</c:formatCode>
              <c:ptCount val="17"/>
              <c:pt idx="0">
                <c:v>1.7289285079439821E-2</c:v>
              </c:pt>
              <c:pt idx="1">
                <c:v>1.8339260809342089E-2</c:v>
              </c:pt>
              <c:pt idx="2">
                <c:v>1.9446380817797437E-2</c:v>
              </c:pt>
              <c:pt idx="3">
                <c:v>2.0613491784867648E-2</c:v>
              </c:pt>
              <c:pt idx="4">
                <c:v>2.1843582114776178E-2</c:v>
              </c:pt>
              <c:pt idx="5">
                <c:v>2.3139790356552118E-2</c:v>
              </c:pt>
              <c:pt idx="6">
                <c:v>2.450541428664121E-2</c:v>
              </c:pt>
              <c:pt idx="7">
                <c:v>2.5943920716535944E-2</c:v>
              </c:pt>
              <c:pt idx="8">
                <c:v>2.7458956095239195E-2</c:v>
              </c:pt>
              <c:pt idx="9">
                <c:v>2.9054357983965853E-2</c:v>
              </c:pt>
              <c:pt idx="10">
                <c:v>3.0734167489009444E-2</c:v>
              </c:pt>
              <c:pt idx="11">
                <c:v>3.2502915041684302E-2</c:v>
              </c:pt>
              <c:pt idx="12">
                <c:v>3.4364923145966897E-2</c:v>
              </c:pt>
              <c:pt idx="13">
                <c:v>3.6324868600653211E-2</c:v>
              </c:pt>
              <c:pt idx="14">
                <c:v>3.838775763768433E-2</c:v>
              </c:pt>
              <c:pt idx="15">
                <c:v>4.05588806462788E-2</c:v>
              </c:pt>
              <c:pt idx="16">
                <c:v>3.4000000000000002E-2</c:v>
              </c:pt>
            </c:numLit>
          </c:yVal>
          <c:smooth val="1"/>
          <c:extLst>
            <c:ext xmlns:c16="http://schemas.microsoft.com/office/drawing/2014/chart" uri="{C3380CC4-5D6E-409C-BE32-E72D297353CC}">
              <c16:uniqueId val="{00000063-0B28-4903-AA2E-7B40D0C5C481}"/>
            </c:ext>
          </c:extLst>
        </c:ser>
        <c:ser>
          <c:idx val="72"/>
          <c:order val="72"/>
          <c:tx>
            <c:v>RH=75_1</c:v>
          </c:tx>
          <c:spPr>
            <a:ln w="3175">
              <a:solidFill>
                <a:srgbClr val="0000FF"/>
              </a:solidFill>
              <a:prstDash val="solid"/>
            </a:ln>
          </c:spPr>
          <c:marker>
            <c:symbol val="none"/>
          </c:marker>
          <c:xVal>
            <c:numLit>
              <c:formatCode>General</c:formatCode>
              <c:ptCount val="24"/>
              <c:pt idx="0">
                <c:v>4.6623065717223273</c:v>
              </c:pt>
              <c:pt idx="1">
                <c:v>5.6458937795014803</c:v>
              </c:pt>
              <c:pt idx="2">
                <c:v>6.629071034120396</c:v>
              </c:pt>
              <c:pt idx="3">
                <c:v>7.6118612271134749</c:v>
              </c:pt>
              <c:pt idx="4">
                <c:v>8.5942911631238914</c:v>
              </c:pt>
              <c:pt idx="5">
                <c:v>9.5763918619241188</c:v>
              </c:pt>
              <c:pt idx="6">
                <c:v>10.558189988711014</c:v>
              </c:pt>
              <c:pt idx="7">
                <c:v>11.539734100858675</c:v>
              </c:pt>
              <c:pt idx="8">
                <c:v>12.521069831738515</c:v>
              </c:pt>
              <c:pt idx="9">
                <c:v>13.5022484178998</c:v>
              </c:pt>
              <c:pt idx="10">
                <c:v>14.48332709486384</c:v>
              </c:pt>
              <c:pt idx="11">
                <c:v>15.464369514996749</c:v>
              </c:pt>
              <c:pt idx="12">
                <c:v>16.4454461888397</c:v>
              </c:pt>
              <c:pt idx="13">
                <c:v>17.426634951405386</c:v>
              </c:pt>
              <c:pt idx="14">
                <c:v>18.40802145509323</c:v>
              </c:pt>
              <c:pt idx="15">
                <c:v>19.389699691036181</c:v>
              </c:pt>
              <c:pt idx="16">
                <c:v>20.371772540870129</c:v>
              </c:pt>
              <c:pt idx="17">
                <c:v>21.354352361114962</c:v>
              </c:pt>
              <c:pt idx="18">
                <c:v>22.33756160257677</c:v>
              </c:pt>
              <c:pt idx="19">
                <c:v>23.321533467426086</c:v>
              </c:pt>
              <c:pt idx="20">
                <c:v>24.306412606880112</c:v>
              </c:pt>
              <c:pt idx="21">
                <c:v>25.29234140795505</c:v>
              </c:pt>
              <c:pt idx="22">
                <c:v>26.279503577504428</c:v>
              </c:pt>
              <c:pt idx="23">
                <c:v>26.714292480798427</c:v>
              </c:pt>
            </c:numLit>
          </c:xVal>
          <c:yVal>
            <c:numLit>
              <c:formatCode>General</c:formatCode>
              <c:ptCount val="24"/>
              <c:pt idx="0">
                <c:v>4.0587764497889908E-3</c:v>
              </c:pt>
              <c:pt idx="1">
                <c:v>4.3527719675160188E-3</c:v>
              </c:pt>
              <c:pt idx="2">
                <c:v>4.6655981454723928E-3</c:v>
              </c:pt>
              <c:pt idx="3">
                <c:v>4.998305242240709E-3</c:v>
              </c:pt>
              <c:pt idx="4">
                <c:v>5.3519943600493667E-3</c:v>
              </c:pt>
              <c:pt idx="5">
                <c:v>5.727819716456117E-3</c:v>
              </c:pt>
              <c:pt idx="6">
                <c:v>6.1271143004786397E-3</c:v>
              </c:pt>
              <c:pt idx="7">
                <c:v>6.5510398208286965E-3</c:v>
              </c:pt>
              <c:pt idx="8">
                <c:v>7.0009263189632839E-3</c:v>
              </c:pt>
              <c:pt idx="9">
                <c:v>7.4781674371684767E-3</c:v>
              </c:pt>
              <c:pt idx="10">
                <c:v>7.9842233881256032E-3</c:v>
              </c:pt>
              <c:pt idx="11">
                <c:v>8.5206240973003389E-3</c:v>
              </c:pt>
              <c:pt idx="12">
                <c:v>9.0889725322134893E-3</c:v>
              </c:pt>
              <c:pt idx="13">
                <c:v>9.6909482339747766E-3</c:v>
              </c:pt>
              <c:pt idx="14">
                <c:v>1.032831106791901E-2</c:v>
              </c:pt>
              <c:pt idx="15">
                <c:v>1.1002905211784977E-2</c:v>
              </c:pt>
              <c:pt idx="16">
                <c:v>1.1716663401643478E-2</c:v>
              </c:pt>
              <c:pt idx="17">
                <c:v>1.2471611457725566E-2</c:v>
              </c:pt>
              <c:pt idx="18">
                <c:v>1.3269873114451802E-2</c:v>
              </c:pt>
              <c:pt idx="19">
                <c:v>1.411367518133497E-2</c:v>
              </c:pt>
              <c:pt idx="20">
                <c:v>1.5005353064056037E-2</c:v>
              </c:pt>
              <c:pt idx="21">
                <c:v>1.5947682428253101E-2</c:v>
              </c:pt>
              <c:pt idx="22">
                <c:v>1.6942950000713969E-2</c:v>
              </c:pt>
              <c:pt idx="23">
                <c:v>1.7398330004498919E-2</c:v>
              </c:pt>
            </c:numLit>
          </c:yVal>
          <c:smooth val="1"/>
          <c:extLst>
            <c:ext xmlns:c16="http://schemas.microsoft.com/office/drawing/2014/chart" uri="{C3380CC4-5D6E-409C-BE32-E72D297353CC}">
              <c16:uniqueId val="{00000064-0B28-4903-AA2E-7B40D0C5C481}"/>
            </c:ext>
          </c:extLst>
        </c:ser>
        <c:ser>
          <c:idx val="73"/>
          <c:order val="73"/>
          <c:tx>
            <c:v>RH=75_Label</c:v>
          </c:tx>
          <c:spPr>
            <a:ln w="3175">
              <a:solidFill>
                <a:srgbClr val="0000FF"/>
              </a:solidFill>
              <a:prstDash val="solid"/>
            </a:ln>
          </c:spPr>
          <c:marker>
            <c:symbol val="none"/>
          </c:marker>
          <c:dLbls>
            <c:dLbl>
              <c:idx val="0"/>
              <c:tx>
                <c:rich>
                  <a:bodyPr rot="-330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75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5-0B28-4903-AA2E-7B40D0C5C4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26.971348751559898</c:v>
              </c:pt>
            </c:numLit>
          </c:xVal>
          <c:yVal>
            <c:numLit>
              <c:formatCode>General</c:formatCode>
              <c:ptCount val="1"/>
              <c:pt idx="0">
                <c:v>1.7672577171771574E-2</c:v>
              </c:pt>
            </c:numLit>
          </c:yVal>
          <c:smooth val="0"/>
          <c:extLst>
            <c:ext xmlns:c16="http://schemas.microsoft.com/office/drawing/2014/chart" uri="{C3380CC4-5D6E-409C-BE32-E72D297353CC}">
              <c16:uniqueId val="{00000066-0B28-4903-AA2E-7B40D0C5C481}"/>
            </c:ext>
          </c:extLst>
        </c:ser>
        <c:ser>
          <c:idx val="74"/>
          <c:order val="74"/>
          <c:tx>
            <c:v>RH=75_2</c:v>
          </c:tx>
          <c:spPr>
            <a:ln w="3175">
              <a:solidFill>
                <a:srgbClr val="0000FF"/>
              </a:solidFill>
              <a:prstDash val="solid"/>
            </a:ln>
          </c:spPr>
          <c:marker>
            <c:symbol val="none"/>
          </c:marker>
          <c:xVal>
            <c:numLit>
              <c:formatCode>General</c:formatCode>
              <c:ptCount val="16"/>
              <c:pt idx="0">
                <c:v>27.307658238247463</c:v>
              </c:pt>
              <c:pt idx="1">
                <c:v>28.297922010597887</c:v>
              </c:pt>
              <c:pt idx="2">
                <c:v>29.290024378160101</c:v>
              </c:pt>
              <c:pt idx="3">
                <c:v>30.284196891370367</c:v>
              </c:pt>
              <c:pt idx="4">
                <c:v>31.280688957760731</c:v>
              </c:pt>
              <c:pt idx="5">
                <c:v>32.279769020620691</c:v>
              </c:pt>
              <c:pt idx="6">
                <c:v>33.281725824114545</c:v>
              </c:pt>
              <c:pt idx="7">
                <c:v>34.286869773121346</c:v>
              </c:pt>
              <c:pt idx="8">
                <c:v>35.295534397012268</c:v>
              </c:pt>
              <c:pt idx="9">
                <c:v>36.3080779276481</c:v>
              </c:pt>
              <c:pt idx="10">
                <c:v>37.324885003084674</c:v>
              </c:pt>
              <c:pt idx="11">
                <c:v>38.346368509836374</c:v>
              </c:pt>
              <c:pt idx="12">
                <c:v>39.372971297089094</c:v>
              </c:pt>
              <c:pt idx="13">
                <c:v>40.40516277076739</c:v>
              </c:pt>
              <c:pt idx="14">
                <c:v>41.443460412028806</c:v>
              </c:pt>
              <c:pt idx="15">
                <c:v>38.22352920257061</c:v>
              </c:pt>
            </c:numLit>
          </c:xVal>
          <c:yVal>
            <c:numLit>
              <c:formatCode>General</c:formatCode>
              <c:ptCount val="16"/>
              <c:pt idx="0">
                <c:v>1.8037091200106173E-2</c:v>
              </c:pt>
              <c:pt idx="1">
                <c:v>1.9148876952991056E-2</c:v>
              </c:pt>
              <c:pt idx="2">
                <c:v>2.0322243292255012E-2</c:v>
              </c:pt>
              <c:pt idx="3">
                <c:v>2.1560328685217813E-2</c:v>
              </c:pt>
              <c:pt idx="4">
                <c:v>2.2866432828409361E-2</c:v>
              </c:pt>
              <c:pt idx="5">
                <c:v>2.4244026591841397E-2</c:v>
              </c:pt>
              <c:pt idx="6">
                <c:v>2.5696762771875013E-2</c:v>
              </c:pt>
              <c:pt idx="7">
                <c:v>2.7228487732157729E-2</c:v>
              </c:pt>
              <c:pt idx="8">
                <c:v>2.8843254020922502E-2</c:v>
              </c:pt>
              <c:pt idx="9">
                <c:v>3.0545334062874491E-2</c:v>
              </c:pt>
              <c:pt idx="10">
                <c:v>3.2339235035100056E-2</c:v>
              </c:pt>
              <c:pt idx="11">
                <c:v>3.4229715049084494E-2</c:v>
              </c:pt>
              <c:pt idx="12">
                <c:v>3.6221816034480936E-2</c:v>
              </c:pt>
              <c:pt idx="13">
                <c:v>3.8321227715054529E-2</c:v>
              </c:pt>
              <c:pt idx="14">
                <c:v>4.0533232391732191E-2</c:v>
              </c:pt>
              <c:pt idx="15">
                <c:v>3.4000000000000002E-2</c:v>
              </c:pt>
            </c:numLit>
          </c:yVal>
          <c:smooth val="1"/>
          <c:extLst>
            <c:ext xmlns:c16="http://schemas.microsoft.com/office/drawing/2014/chart" uri="{C3380CC4-5D6E-409C-BE32-E72D297353CC}">
              <c16:uniqueId val="{00000067-0B28-4903-AA2E-7B40D0C5C481}"/>
            </c:ext>
          </c:extLst>
        </c:ser>
        <c:ser>
          <c:idx val="75"/>
          <c:order val="75"/>
          <c:tx>
            <c:v>RH=85_1</c:v>
          </c:tx>
          <c:spPr>
            <a:ln w="3175">
              <a:solidFill>
                <a:srgbClr val="0000FF"/>
              </a:solidFill>
              <a:prstDash val="solid"/>
            </a:ln>
          </c:spPr>
          <c:marker>
            <c:symbol val="none"/>
          </c:marker>
          <c:xVal>
            <c:numLit>
              <c:formatCode>General</c:formatCode>
              <c:ptCount val="22"/>
              <c:pt idx="0">
                <c:v>4.6169474962962767</c:v>
              </c:pt>
              <c:pt idx="1">
                <c:v>5.5983047949352542</c:v>
              </c:pt>
              <c:pt idx="2">
                <c:v>6.5791929641451805</c:v>
              </c:pt>
              <c:pt idx="3">
                <c:v>7.5596375500601978</c:v>
              </c:pt>
              <c:pt idx="4">
                <c:v>8.5396685120445444</c:v>
              </c:pt>
              <c:pt idx="5">
                <c:v>9.5193205659853692</c:v>
              </c:pt>
              <c:pt idx="6">
                <c:v>10.498623446963785</c:v>
              </c:pt>
              <c:pt idx="7">
                <c:v>11.477631731162283</c:v>
              </c:pt>
              <c:pt idx="8">
                <c:v>12.456396645443721</c:v>
              </c:pt>
              <c:pt idx="9">
                <c:v>13.434975756413518</c:v>
              </c:pt>
              <c:pt idx="10">
                <c:v>14.413433423660246</c:v>
              </c:pt>
              <c:pt idx="11">
                <c:v>15.391841279166217</c:v>
              </c:pt>
              <c:pt idx="12">
                <c:v>16.37027873463445</c:v>
              </c:pt>
              <c:pt idx="13">
                <c:v>17.348833518650352</c:v>
              </c:pt>
              <c:pt idx="14">
                <c:v>18.327602245787897</c:v>
              </c:pt>
              <c:pt idx="15">
                <c:v>19.306691019983756</c:v>
              </c:pt>
              <c:pt idx="16">
                <c:v>20.286216074740807</c:v>
              </c:pt>
              <c:pt idx="17">
                <c:v>21.266304452988376</c:v>
              </c:pt>
              <c:pt idx="18">
                <c:v>22.247094729722747</c:v>
              </c:pt>
              <c:pt idx="19">
                <c:v>23.228737780882987</c:v>
              </c:pt>
              <c:pt idx="20">
                <c:v>24.211397602286706</c:v>
              </c:pt>
              <c:pt idx="21">
                <c:v>25.096792770011287</c:v>
              </c:pt>
            </c:numLit>
          </c:xVal>
          <c:yVal>
            <c:numLit>
              <c:formatCode>General</c:formatCode>
              <c:ptCount val="22"/>
              <c:pt idx="0">
                <c:v>4.6039524340017379E-3</c:v>
              </c:pt>
              <c:pt idx="1">
                <c:v>4.9377489772132778E-3</c:v>
              </c:pt>
              <c:pt idx="2">
                <c:v>5.2929717188040567E-3</c:v>
              </c:pt>
              <c:pt idx="3">
                <c:v>5.6708221280010393E-3</c:v>
              </c:pt>
              <c:pt idx="4">
                <c:v>6.0725606724782053E-3</c:v>
              </c:pt>
              <c:pt idx="5">
                <c:v>6.4995095513268536E-3</c:v>
              </c:pt>
              <c:pt idx="6">
                <c:v>6.9531956486687616E-3</c:v>
              </c:pt>
              <c:pt idx="7">
                <c:v>7.4349530058112978E-3</c:v>
              </c:pt>
              <c:pt idx="8">
                <c:v>7.9463088445744789E-3</c:v>
              </c:pt>
              <c:pt idx="9">
                <c:v>8.4888648304659586E-3</c:v>
              </c:pt>
              <c:pt idx="10">
                <c:v>9.06430070349914E-3</c:v>
              </c:pt>
              <c:pt idx="11">
                <c:v>9.6743781334406344E-3</c:v>
              </c:pt>
              <c:pt idx="12">
                <c:v>1.0320944818470866E-2</c:v>
              </c:pt>
              <c:pt idx="13">
                <c:v>1.1005938848080411E-2</c:v>
              </c:pt>
              <c:pt idx="14">
                <c:v>1.1731393353058893E-2</c:v>
              </c:pt>
              <c:pt idx="15">
                <c:v>1.2499441467676403E-2</c:v>
              </c:pt>
              <c:pt idx="16">
                <c:v>1.3312321631641564E-2</c:v>
              </c:pt>
              <c:pt idx="17">
                <c:v>1.4172383262167699E-2</c:v>
              </c:pt>
              <c:pt idx="18">
                <c:v>1.5082092829528373E-2</c:v>
              </c:pt>
              <c:pt idx="19">
                <c:v>1.6044040372864291E-2</c:v>
              </c:pt>
              <c:pt idx="20">
                <c:v>1.7060946496765018E-2</c:v>
              </c:pt>
              <c:pt idx="21">
                <c:v>1.8025843781926617E-2</c:v>
              </c:pt>
            </c:numLit>
          </c:yVal>
          <c:smooth val="1"/>
          <c:extLst>
            <c:ext xmlns:c16="http://schemas.microsoft.com/office/drawing/2014/chart" uri="{C3380CC4-5D6E-409C-BE32-E72D297353CC}">
              <c16:uniqueId val="{00000068-0B28-4903-AA2E-7B40D0C5C481}"/>
            </c:ext>
          </c:extLst>
        </c:ser>
        <c:ser>
          <c:idx val="76"/>
          <c:order val="76"/>
          <c:tx>
            <c:v>RH=85_Label</c:v>
          </c:tx>
          <c:spPr>
            <a:ln w="3175">
              <a:solidFill>
                <a:srgbClr val="0000FF"/>
              </a:solidFill>
              <a:prstDash val="solid"/>
            </a:ln>
          </c:spPr>
          <c:marker>
            <c:symbol val="none"/>
          </c:marker>
          <c:dLbls>
            <c:dLbl>
              <c:idx val="0"/>
              <c:tx>
                <c:rich>
                  <a:bodyPr rot="-342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85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9-0B28-4903-AA2E-7B40D0C5C4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25.352773263547515</c:v>
              </c:pt>
            </c:numLit>
          </c:xVal>
          <c:yVal>
            <c:numLit>
              <c:formatCode>General</c:formatCode>
              <c:ptCount val="1"/>
              <c:pt idx="0">
                <c:v>1.8313625263206273E-2</c:v>
              </c:pt>
            </c:numLit>
          </c:yVal>
          <c:smooth val="0"/>
          <c:extLst>
            <c:ext xmlns:c16="http://schemas.microsoft.com/office/drawing/2014/chart" uri="{C3380CC4-5D6E-409C-BE32-E72D297353CC}">
              <c16:uniqueId val="{0000006A-0B28-4903-AA2E-7B40D0C5C481}"/>
            </c:ext>
          </c:extLst>
        </c:ser>
        <c:ser>
          <c:idx val="77"/>
          <c:order val="77"/>
          <c:tx>
            <c:v>RH=85_2</c:v>
          </c:tx>
          <c:spPr>
            <a:ln w="3175">
              <a:solidFill>
                <a:srgbClr val="0000FF"/>
              </a:solidFill>
              <a:prstDash val="solid"/>
            </a:ln>
          </c:spPr>
          <c:marker>
            <c:symbol val="none"/>
          </c:marker>
          <c:xVal>
            <c:numLit>
              <c:formatCode>General</c:formatCode>
              <c:ptCount val="15"/>
              <c:pt idx="0">
                <c:v>25.6876621875757</c:v>
              </c:pt>
              <c:pt idx="1">
                <c:v>26.673658098131735</c:v>
              </c:pt>
              <c:pt idx="2">
                <c:v>27.661360715570094</c:v>
              </c:pt>
              <c:pt idx="3">
                <c:v>28.651004900924384</c:v>
              </c:pt>
              <c:pt idx="4">
                <c:v>29.642844270739275</c:v>
              </c:pt>
              <c:pt idx="5">
                <c:v>30.637152470911296</c:v>
              </c:pt>
              <c:pt idx="6">
                <c:v>31.634224546804546</c:v>
              </c:pt>
              <c:pt idx="7">
                <c:v>32.634378419120495</c:v>
              </c:pt>
              <c:pt idx="8">
                <c:v>33.637956476119065</c:v>
              </c:pt>
              <c:pt idx="9">
                <c:v>34.645327294052166</c:v>
              </c:pt>
              <c:pt idx="10">
                <c:v>35.656887499102659</c:v>
              </c:pt>
              <c:pt idx="11">
                <c:v>36.673063785745285</c:v>
              </c:pt>
              <c:pt idx="12">
                <c:v>37.694315108291399</c:v>
              </c:pt>
              <c:pt idx="13">
                <c:v>38.721135064479967</c:v>
              </c:pt>
              <c:pt idx="14">
                <c:v>35.768432905416319</c:v>
              </c:pt>
            </c:numLit>
          </c:xVal>
          <c:yVal>
            <c:numLit>
              <c:formatCode>General</c:formatCode>
              <c:ptCount val="15"/>
              <c:pt idx="0">
                <c:v>1.8696221443579193E-2</c:v>
              </c:pt>
              <c:pt idx="1">
                <c:v>1.9863798166773625E-2</c:v>
              </c:pt>
              <c:pt idx="2">
                <c:v>2.1097052266478809E-2</c:v>
              </c:pt>
              <c:pt idx="3">
                <c:v>2.239939862759165E-2</c:v>
              </c:pt>
              <c:pt idx="4">
                <c:v>2.377443241346253E-2</c:v>
              </c:pt>
              <c:pt idx="5">
                <c:v>2.5225940548190579E-2</c:v>
              </c:pt>
              <c:pt idx="6">
                <c:v>2.6757914160203695E-2</c:v>
              </c:pt>
              <c:pt idx="7">
                <c:v>2.8374562084222253E-2</c:v>
              </c:pt>
              <c:pt idx="8">
                <c:v>3.008032552980296E-2</c:v>
              </c:pt>
              <c:pt idx="9">
                <c:v>3.1879894037208895E-2</c:v>
              </c:pt>
              <c:pt idx="10">
                <c:v>3.3778222855544576E-2</c:v>
              </c:pt>
              <c:pt idx="11">
                <c:v>3.5780551894204121E-2</c:v>
              </c:pt>
              <c:pt idx="12">
                <c:v>3.7892426416963755E-2</c:v>
              </c:pt>
              <c:pt idx="13">
                <c:v>4.0119719668876355E-2</c:v>
              </c:pt>
              <c:pt idx="14">
                <c:v>3.4000000000000002E-2</c:v>
              </c:pt>
            </c:numLit>
          </c:yVal>
          <c:smooth val="1"/>
          <c:extLst>
            <c:ext xmlns:c16="http://schemas.microsoft.com/office/drawing/2014/chart" uri="{C3380CC4-5D6E-409C-BE32-E72D297353CC}">
              <c16:uniqueId val="{0000006B-0B28-4903-AA2E-7B40D0C5C481}"/>
            </c:ext>
          </c:extLst>
        </c:ser>
        <c:ser>
          <c:idx val="78"/>
          <c:order val="78"/>
          <c:tx>
            <c:v>RH=95_1</c:v>
          </c:tx>
          <c:spPr>
            <a:ln w="3175">
              <a:solidFill>
                <a:srgbClr val="0000FF"/>
              </a:solidFill>
              <a:prstDash val="solid"/>
            </a:ln>
          </c:spPr>
          <c:marker>
            <c:symbol val="none"/>
          </c:marker>
          <c:xVal>
            <c:numLit>
              <c:formatCode>General</c:formatCode>
              <c:ptCount val="21"/>
              <c:pt idx="0">
                <c:v>4.5715093515445933</c:v>
              </c:pt>
              <c:pt idx="1">
                <c:v>5.5506268337490203</c:v>
              </c:pt>
              <c:pt idx="2">
                <c:v>6.5292149220548952</c:v>
              </c:pt>
              <c:pt idx="3">
                <c:v>7.5073017191507443</c:v>
              </c:pt>
              <c:pt idx="4">
                <c:v>8.4849202352887367</c:v>
              </c:pt>
              <c:pt idx="5">
                <c:v>9.4621087729948794</c:v>
              </c:pt>
              <c:pt idx="6">
                <c:v>10.438900016018483</c:v>
              </c:pt>
              <c:pt idx="7">
                <c:v>11.415354444379318</c:v>
              </c:pt>
              <c:pt idx="8">
                <c:v>12.391528753926261</c:v>
              </c:pt>
              <c:pt idx="9">
                <c:v>13.36748671310745</c:v>
              </c:pt>
              <c:pt idx="10">
                <c:v>14.343299674632375</c:v>
              </c:pt>
              <c:pt idx="11">
                <c:v>15.319047117663203</c:v>
              </c:pt>
              <c:pt idx="12">
                <c:v>16.294817222695624</c:v>
              </c:pt>
              <c:pt idx="13">
                <c:v>17.270707481510758</c:v>
              </c:pt>
              <c:pt idx="14">
                <c:v>18.246825344826785</c:v>
              </c:pt>
              <c:pt idx="15">
                <c:v>19.223288910555173</c:v>
              </c:pt>
              <c:pt idx="16">
                <c:v>20.20022765587548</c:v>
              </c:pt>
              <c:pt idx="17">
                <c:v>21.177783216688368</c:v>
              </c:pt>
              <c:pt idx="18">
                <c:v>22.156110218393444</c:v>
              </c:pt>
              <c:pt idx="19">
                <c:v>23.135377162372347</c:v>
              </c:pt>
              <c:pt idx="20">
                <c:v>23.65483180251206</c:v>
              </c:pt>
            </c:numLit>
          </c:xVal>
          <c:yVal>
            <c:numLit>
              <c:formatCode>General</c:formatCode>
              <c:ptCount val="21"/>
              <c:pt idx="0">
                <c:v>5.1500787616026219E-3</c:v>
              </c:pt>
              <c:pt idx="1">
                <c:v>5.5238197122248938E-3</c:v>
              </c:pt>
              <c:pt idx="2">
                <c:v>5.9216027558486456E-3</c:v>
              </c:pt>
              <c:pt idx="3">
                <c:v>6.3447832889701929E-3</c:v>
              </c:pt>
              <c:pt idx="4">
                <c:v>6.7947842027213596E-3</c:v>
              </c:pt>
              <c:pt idx="5">
                <c:v>7.2730991178380543E-3</c:v>
              </c:pt>
              <c:pt idx="6">
                <c:v>7.781452769305296E-3</c:v>
              </c:pt>
              <c:pt idx="7">
                <c:v>8.3213558142954808E-3</c:v>
              </c:pt>
              <c:pt idx="8">
                <c:v>8.8945375406884828E-3</c:v>
              </c:pt>
              <c:pt idx="9">
                <c:v>9.5028131214741039E-3</c:v>
              </c:pt>
              <c:pt idx="10">
                <c:v>1.0148087977263168E-2</c:v>
              </c:pt>
              <c:pt idx="11">
                <c:v>1.0832362423004708E-2</c:v>
              </c:pt>
              <c:pt idx="12">
                <c:v>1.1557736623789566E-2</c:v>
              </c:pt>
              <c:pt idx="13">
                <c:v>1.2326415887099727E-2</c:v>
              </c:pt>
              <c:pt idx="14">
                <c:v>1.3140716321613845E-2</c:v>
              </c:pt>
              <c:pt idx="15">
                <c:v>1.4003070895725766E-2</c:v>
              </c:pt>
              <c:pt idx="16">
                <c:v>1.4916035932318635E-2</c:v>
              </c:pt>
              <c:pt idx="17">
                <c:v>1.5882298080097952E-2</c:v>
              </c:pt>
              <c:pt idx="18">
                <c:v>1.6904681805977675E-2</c:v>
              </c:pt>
              <c:pt idx="19">
                <c:v>1.7986157457680306E-2</c:v>
              </c:pt>
              <c:pt idx="20">
                <c:v>1.8584360404457909E-2</c:v>
              </c:pt>
            </c:numLit>
          </c:yVal>
          <c:smooth val="1"/>
          <c:extLst>
            <c:ext xmlns:c16="http://schemas.microsoft.com/office/drawing/2014/chart" uri="{C3380CC4-5D6E-409C-BE32-E72D297353CC}">
              <c16:uniqueId val="{0000006C-0B28-4903-AA2E-7B40D0C5C481}"/>
            </c:ext>
          </c:extLst>
        </c:ser>
        <c:ser>
          <c:idx val="79"/>
          <c:order val="79"/>
          <c:tx>
            <c:v>RH=95_Label</c:v>
          </c:tx>
          <c:spPr>
            <a:ln w="3175">
              <a:solidFill>
                <a:srgbClr val="0000FF"/>
              </a:solidFill>
              <a:prstDash val="solid"/>
            </a:ln>
          </c:spPr>
          <c:marker>
            <c:symbol val="none"/>
          </c:marker>
          <c:dLbls>
            <c:dLbl>
              <c:idx val="0"/>
              <c:tx>
                <c:rich>
                  <a:bodyPr rot="-3480000" vert="horz" wrap="square" lIns="38100" tIns="19050" rIns="38100" bIns="19050" anchor="ctr">
                    <a:spAutoFit/>
                  </a:bodyPr>
                  <a:lstStyle/>
                  <a:p>
                    <a:pPr algn="ctr">
                      <a:defRPr altLang="ja-JP" sz="700" b="0" i="0" u="none" strike="noStrike" baseline="0">
                        <a:latin typeface="ＭＳ Ｐ明朝"/>
                        <a:ea typeface="ＭＳ Ｐ明朝"/>
                        <a:cs typeface="ＭＳ Ｐ明朝"/>
                      </a:defRPr>
                    </a:pPr>
                    <a:r>
                      <a:rPr lang="en-US"/>
                      <a:t>95</a:t>
                    </a:r>
                    <a:endParaRPr lang="en-US" altLang="ja-JP"/>
                  </a:p>
                </c:rich>
              </c:tx>
              <c:spPr>
                <a:noFill/>
                <a:ln>
                  <a:noFill/>
                </a:ln>
                <a:effectLst/>
              </c:spPr>
              <c:dLblPos val="ct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D-0B28-4903-AA2E-7B40D0C5C48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23.899975266563242</c:v>
              </c:pt>
            </c:numLit>
          </c:xVal>
          <c:yVal>
            <c:numLit>
              <c:formatCode>General</c:formatCode>
              <c:ptCount val="1"/>
              <c:pt idx="0">
                <c:v>1.887273459870089E-2</c:v>
              </c:pt>
            </c:numLit>
          </c:yVal>
          <c:smooth val="0"/>
          <c:extLst>
            <c:ext xmlns:c16="http://schemas.microsoft.com/office/drawing/2014/chart" uri="{C3380CC4-5D6E-409C-BE32-E72D297353CC}">
              <c16:uniqueId val="{0000006E-0B28-4903-AA2E-7B40D0C5C481}"/>
            </c:ext>
          </c:extLst>
        </c:ser>
        <c:ser>
          <c:idx val="80"/>
          <c:order val="80"/>
          <c:tx>
            <c:v>RH=95_2</c:v>
          </c:tx>
          <c:spPr>
            <a:ln w="3175">
              <a:solidFill>
                <a:srgbClr val="0000FF"/>
              </a:solidFill>
              <a:prstDash val="solid"/>
            </a:ln>
          </c:spPr>
          <c:marker>
            <c:symbol val="none"/>
          </c:marker>
          <c:xVal>
            <c:numLit>
              <c:formatCode>General</c:formatCode>
              <c:ptCount val="15"/>
              <c:pt idx="0">
                <c:v>24.243308436413216</c:v>
              </c:pt>
              <c:pt idx="1">
                <c:v>25.225189821207071</c:v>
              </c:pt>
              <c:pt idx="2">
                <c:v>26.208638356334774</c:v>
              </c:pt>
              <c:pt idx="3">
                <c:v>27.193890751050116</c:v>
              </c:pt>
              <c:pt idx="4">
                <c:v>28.181203240062626</c:v>
              </c:pt>
              <c:pt idx="5">
                <c:v>29.170852943546347</c:v>
              </c:pt>
              <c:pt idx="6">
                <c:v>30.163139332641901</c:v>
              </c:pt>
              <c:pt idx="7">
                <c:v>31.158385811108786</c:v>
              </c:pt>
              <c:pt idx="8">
                <c:v>32.156941425074045</c:v>
              </c:pt>
              <c:pt idx="9">
                <c:v>33.159182714285301</c:v>
              </c:pt>
              <c:pt idx="10">
                <c:v>34.165515719936757</c:v>
              </c:pt>
              <c:pt idx="11">
                <c:v>35.176378166027028</c:v>
              </c:pt>
              <c:pt idx="12">
                <c:v>36.192241833362694</c:v>
              </c:pt>
              <c:pt idx="13">
                <c:v>37.213615147782654</c:v>
              </c:pt>
              <c:pt idx="14">
                <c:v>33.621562011400414</c:v>
              </c:pt>
            </c:numLit>
          </c:xVal>
          <c:yVal>
            <c:numLit>
              <c:formatCode>General</c:formatCode>
              <c:ptCount val="15"/>
              <c:pt idx="0">
                <c:v>1.9283320859184057E-2</c:v>
              </c:pt>
              <c:pt idx="1">
                <c:v>2.0501710426676936E-2</c:v>
              </c:pt>
              <c:pt idx="2">
                <c:v>2.1789587089421334E-2</c:v>
              </c:pt>
              <c:pt idx="3">
                <c:v>2.3150628701456469E-2</c:v>
              </c:pt>
              <c:pt idx="4">
                <c:v>2.4588712008722775E-2</c:v>
              </c:pt>
              <c:pt idx="5">
                <c:v>2.6107925677992385E-2</c:v>
              </c:pt>
              <c:pt idx="6">
                <c:v>2.7712584444850481E-2</c:v>
              </c:pt>
              <c:pt idx="7">
                <c:v>2.9407244496529976E-2</c:v>
              </c:pt>
              <c:pt idx="8">
                <c:v>3.1196720218989966E-2</c:v>
              </c:pt>
              <c:pt idx="9">
                <c:v>3.3086102453028524E-2</c:v>
              </c:pt>
              <c:pt idx="10">
                <c:v>3.5080778421720527E-2</c:v>
              </c:pt>
              <c:pt idx="11">
                <c:v>3.7186453511361871E-2</c:v>
              </c:pt>
              <c:pt idx="12">
                <c:v>3.9409175110790888E-2</c:v>
              </c:pt>
              <c:pt idx="13">
                <c:v>4.1755358739872586E-2</c:v>
              </c:pt>
              <c:pt idx="14">
                <c:v>3.4000000000000002E-2</c:v>
              </c:pt>
            </c:numLit>
          </c:yVal>
          <c:smooth val="1"/>
          <c:extLst>
            <c:ext xmlns:c16="http://schemas.microsoft.com/office/drawing/2014/chart" uri="{C3380CC4-5D6E-409C-BE32-E72D297353CC}">
              <c16:uniqueId val="{0000006F-0B28-4903-AA2E-7B40D0C5C481}"/>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6C84-40E1-9E71-66AA7B3A55CA}"/>
            </c:ext>
          </c:extLst>
        </c:ser>
        <c:ser>
          <c:idx val="1"/>
          <c:order val="1"/>
          <c:tx>
            <c:v>t=-10</c:v>
          </c:tx>
          <c:spPr>
            <a:ln w="3175">
              <a:solidFill>
                <a:srgbClr val="3366FF"/>
              </a:solidFill>
              <a:prstDash val="solid"/>
            </a:ln>
          </c:spPr>
          <c:marker>
            <c:symbol val="none"/>
          </c:marker>
          <c:dLbls>
            <c:dLbl>
              <c:idx val="0"/>
              <c:layout>
                <c:manualLayout>
                  <c:x val="-1.8663194444444444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c:v>
              </c:pt>
              <c:pt idx="1">
                <c:v>-10.178169782224485</c:v>
              </c:pt>
            </c:numLit>
          </c:xVal>
          <c:yVal>
            <c:numLit>
              <c:formatCode>General</c:formatCode>
              <c:ptCount val="2"/>
              <c:pt idx="0">
                <c:v>0</c:v>
              </c:pt>
              <c:pt idx="1">
                <c:v>1.6060824455002901E-3</c:v>
              </c:pt>
            </c:numLit>
          </c:yVal>
          <c:smooth val="0"/>
          <c:extLst>
            <c:ext xmlns:c16="http://schemas.microsoft.com/office/drawing/2014/chart" uri="{C3380CC4-5D6E-409C-BE32-E72D297353CC}">
              <c16:uniqueId val="{00000002-6C84-40E1-9E71-66AA7B3A55CA}"/>
            </c:ext>
          </c:extLst>
        </c:ser>
        <c:ser>
          <c:idx val="2"/>
          <c:order val="2"/>
          <c:tx>
            <c:v>t=-9</c:v>
          </c:tx>
          <c:spPr>
            <a:ln w="3175">
              <a:solidFill>
                <a:srgbClr val="3366FF"/>
              </a:solidFill>
              <a:prstDash val="solid"/>
            </a:ln>
          </c:spPr>
          <c:marker>
            <c:symbol val="none"/>
          </c:marker>
          <c:xVal>
            <c:numLit>
              <c:formatCode>General</c:formatCode>
              <c:ptCount val="2"/>
              <c:pt idx="0">
                <c:v>-9</c:v>
              </c:pt>
              <c:pt idx="1">
                <c:v>-9.1914446576012097</c:v>
              </c:pt>
            </c:numLit>
          </c:xVal>
          <c:yVal>
            <c:numLit>
              <c:formatCode>General</c:formatCode>
              <c:ptCount val="2"/>
              <c:pt idx="0">
                <c:v>0</c:v>
              </c:pt>
              <c:pt idx="1">
                <c:v>1.754996587815E-3</c:v>
              </c:pt>
            </c:numLit>
          </c:yVal>
          <c:smooth val="0"/>
          <c:extLst>
            <c:ext xmlns:c16="http://schemas.microsoft.com/office/drawing/2014/chart" uri="{C3380CC4-5D6E-409C-BE32-E72D297353CC}">
              <c16:uniqueId val="{00000003-6C84-40E1-9E71-66AA7B3A55CA}"/>
            </c:ext>
          </c:extLst>
        </c:ser>
        <c:ser>
          <c:idx val="3"/>
          <c:order val="3"/>
          <c:tx>
            <c:v>t=-8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4-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c:v>
              </c:pt>
              <c:pt idx="1">
                <c:v>-8.2055155451094635</c:v>
              </c:pt>
            </c:numLit>
          </c:xVal>
          <c:yVal>
            <c:numLit>
              <c:formatCode>General</c:formatCode>
              <c:ptCount val="2"/>
              <c:pt idx="0">
                <c:v>0</c:v>
              </c:pt>
              <c:pt idx="1">
                <c:v>1.9164686538757701E-3</c:v>
              </c:pt>
            </c:numLit>
          </c:yVal>
          <c:smooth val="0"/>
          <c:extLst>
            <c:ext xmlns:c16="http://schemas.microsoft.com/office/drawing/2014/chart" uri="{C3380CC4-5D6E-409C-BE32-E72D297353CC}">
              <c16:uniqueId val="{00000005-6C84-40E1-9E71-66AA7B3A55CA}"/>
            </c:ext>
          </c:extLst>
        </c:ser>
        <c:ser>
          <c:idx val="4"/>
          <c:order val="4"/>
          <c:tx>
            <c:v>t=-7</c:v>
          </c:tx>
          <c:spPr>
            <a:ln w="3175">
              <a:solidFill>
                <a:srgbClr val="3366FF"/>
              </a:solidFill>
              <a:prstDash val="solid"/>
            </a:ln>
          </c:spPr>
          <c:marker>
            <c:symbol val="none"/>
          </c:marker>
          <c:xVal>
            <c:numLit>
              <c:formatCode>General</c:formatCode>
              <c:ptCount val="2"/>
              <c:pt idx="0">
                <c:v>-7</c:v>
              </c:pt>
              <c:pt idx="1">
                <c:v>-7.22041332968442</c:v>
              </c:pt>
            </c:numLit>
          </c:xVal>
          <c:yVal>
            <c:numLit>
              <c:formatCode>General</c:formatCode>
              <c:ptCount val="2"/>
              <c:pt idx="0">
                <c:v>0</c:v>
              </c:pt>
              <c:pt idx="1">
                <c:v>2.0914526472602E-3</c:v>
              </c:pt>
            </c:numLit>
          </c:yVal>
          <c:smooth val="0"/>
          <c:extLst>
            <c:ext xmlns:c16="http://schemas.microsoft.com/office/drawing/2014/chart" uri="{C3380CC4-5D6E-409C-BE32-E72D297353CC}">
              <c16:uniqueId val="{00000006-6C84-40E1-9E71-66AA7B3A55CA}"/>
            </c:ext>
          </c:extLst>
        </c:ser>
        <c:ser>
          <c:idx val="5"/>
          <c:order val="5"/>
          <c:tx>
            <c:v>t=-6</c:v>
          </c:tx>
          <c:spPr>
            <a:ln w="3175">
              <a:solidFill>
                <a:srgbClr val="3366FF"/>
              </a:solidFill>
              <a:prstDash val="solid"/>
            </a:ln>
          </c:spPr>
          <c:marker>
            <c:symbol val="none"/>
          </c:marker>
          <c:dLbls>
            <c:dLbl>
              <c:idx val="0"/>
              <c:layout>
                <c:manualLayout>
                  <c:x val="-1.5625000000000017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7-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c:v>
              </c:pt>
              <c:pt idx="1">
                <c:v>-6.2361685593886991</c:v>
              </c:pt>
            </c:numLit>
          </c:xVal>
          <c:yVal>
            <c:numLit>
              <c:formatCode>General</c:formatCode>
              <c:ptCount val="2"/>
              <c:pt idx="0">
                <c:v>0</c:v>
              </c:pt>
              <c:pt idx="1">
                <c:v>2.28096746106981E-3</c:v>
              </c:pt>
            </c:numLit>
          </c:yVal>
          <c:smooth val="0"/>
          <c:extLst>
            <c:ext xmlns:c16="http://schemas.microsoft.com/office/drawing/2014/chart" uri="{C3380CC4-5D6E-409C-BE32-E72D297353CC}">
              <c16:uniqueId val="{00000008-6C84-40E1-9E71-66AA7B3A55CA}"/>
            </c:ext>
          </c:extLst>
        </c:ser>
        <c:ser>
          <c:idx val="6"/>
          <c:order val="6"/>
          <c:tx>
            <c:v>t=-5</c:v>
          </c:tx>
          <c:spPr>
            <a:ln w="3175">
              <a:solidFill>
                <a:srgbClr val="3366FF"/>
              </a:solidFill>
              <a:prstDash val="solid"/>
            </a:ln>
          </c:spPr>
          <c:marker>
            <c:symbol val="none"/>
          </c:marker>
          <c:xVal>
            <c:numLit>
              <c:formatCode>General</c:formatCode>
              <c:ptCount val="2"/>
              <c:pt idx="0">
                <c:v>-5</c:v>
              </c:pt>
              <c:pt idx="1">
                <c:v>-5.2528112525852375</c:v>
              </c:pt>
            </c:numLit>
          </c:xVal>
          <c:yVal>
            <c:numLit>
              <c:formatCode>General</c:formatCode>
              <c:ptCount val="2"/>
              <c:pt idx="0">
                <c:v>0</c:v>
              </c:pt>
              <c:pt idx="1">
                <c:v>2.4861008807502299E-3</c:v>
              </c:pt>
            </c:numLit>
          </c:yVal>
          <c:smooth val="0"/>
          <c:extLst>
            <c:ext xmlns:c16="http://schemas.microsoft.com/office/drawing/2014/chart" uri="{C3380CC4-5D6E-409C-BE32-E72D297353CC}">
              <c16:uniqueId val="{00000009-6C84-40E1-9E71-66AA7B3A55CA}"/>
            </c:ext>
          </c:extLst>
        </c:ser>
        <c:ser>
          <c:idx val="7"/>
          <c:order val="7"/>
          <c:tx>
            <c:v>t=-4</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A-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c:v>
              </c:pt>
              <c:pt idx="1">
                <c:v>-4.2703706848883494</c:v>
              </c:pt>
            </c:numLit>
          </c:xVal>
          <c:yVal>
            <c:numLit>
              <c:formatCode>General</c:formatCode>
              <c:ptCount val="2"/>
              <c:pt idx="0">
                <c:v>0</c:v>
              </c:pt>
              <c:pt idx="1">
                <c:v>2.7080138291286299E-3</c:v>
              </c:pt>
            </c:numLit>
          </c:yVal>
          <c:smooth val="0"/>
          <c:extLst>
            <c:ext xmlns:c16="http://schemas.microsoft.com/office/drawing/2014/chart" uri="{C3380CC4-5D6E-409C-BE32-E72D297353CC}">
              <c16:uniqueId val="{0000000B-6C84-40E1-9E71-66AA7B3A55CA}"/>
            </c:ext>
          </c:extLst>
        </c:ser>
        <c:ser>
          <c:idx val="8"/>
          <c:order val="8"/>
          <c:tx>
            <c:v>t=-3</c:v>
          </c:tx>
          <c:spPr>
            <a:ln w="3175">
              <a:solidFill>
                <a:srgbClr val="3366FF"/>
              </a:solidFill>
              <a:prstDash val="solid"/>
            </a:ln>
          </c:spPr>
          <c:marker>
            <c:symbol val="none"/>
          </c:marker>
          <c:xVal>
            <c:numLit>
              <c:formatCode>General</c:formatCode>
              <c:ptCount val="2"/>
              <c:pt idx="0">
                <c:v>-3</c:v>
              </c:pt>
              <c:pt idx="1">
                <c:v>-3.2888751544738284</c:v>
              </c:pt>
            </c:numLit>
          </c:xVal>
          <c:yVal>
            <c:numLit>
              <c:formatCode>General</c:formatCode>
              <c:ptCount val="2"/>
              <c:pt idx="0">
                <c:v>0</c:v>
              </c:pt>
              <c:pt idx="1">
                <c:v>2.9479448711774302E-3</c:v>
              </c:pt>
            </c:numLit>
          </c:yVal>
          <c:smooth val="0"/>
          <c:extLst>
            <c:ext xmlns:c16="http://schemas.microsoft.com/office/drawing/2014/chart" uri="{C3380CC4-5D6E-409C-BE32-E72D297353CC}">
              <c16:uniqueId val="{0000000C-6C84-40E1-9E71-66AA7B3A55CA}"/>
            </c:ext>
          </c:extLst>
        </c:ser>
        <c:ser>
          <c:idx val="9"/>
          <c:order val="9"/>
          <c:tx>
            <c:v>t=-2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D-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c:v>
              </c:pt>
              <c:pt idx="1">
                <c:v>-2.3083517242375033</c:v>
              </c:pt>
            </c:numLit>
          </c:xVal>
          <c:yVal>
            <c:numLit>
              <c:formatCode>General</c:formatCode>
              <c:ptCount val="2"/>
              <c:pt idx="0">
                <c:v>0</c:v>
              </c:pt>
              <c:pt idx="1">
                <c:v>3.2072149977556701E-3</c:v>
              </c:pt>
            </c:numLit>
          </c:yVal>
          <c:smooth val="0"/>
          <c:extLst>
            <c:ext xmlns:c16="http://schemas.microsoft.com/office/drawing/2014/chart" uri="{C3380CC4-5D6E-409C-BE32-E72D297353CC}">
              <c16:uniqueId val="{0000000E-6C84-40E1-9E71-66AA7B3A55CA}"/>
            </c:ext>
          </c:extLst>
        </c:ser>
        <c:ser>
          <c:idx val="10"/>
          <c:order val="10"/>
          <c:tx>
            <c:v>t=-1</c:v>
          </c:tx>
          <c:spPr>
            <a:ln w="3175">
              <a:solidFill>
                <a:srgbClr val="3366FF"/>
              </a:solidFill>
              <a:prstDash val="solid"/>
            </a:ln>
          </c:spPr>
          <c:marker>
            <c:symbol val="none"/>
          </c:marker>
          <c:xVal>
            <c:numLit>
              <c:formatCode>General</c:formatCode>
              <c:ptCount val="2"/>
              <c:pt idx="0">
                <c:v>-1</c:v>
              </c:pt>
              <c:pt idx="1">
                <c:v>-1.3288259391909205</c:v>
              </c:pt>
            </c:numLit>
          </c:xVal>
          <c:yVal>
            <c:numLit>
              <c:formatCode>General</c:formatCode>
              <c:ptCount val="2"/>
              <c:pt idx="0">
                <c:v>0</c:v>
              </c:pt>
              <c:pt idx="1">
                <c:v>3.4872327095305301E-3</c:v>
              </c:pt>
            </c:numLit>
          </c:yVal>
          <c:smooth val="0"/>
          <c:extLst>
            <c:ext xmlns:c16="http://schemas.microsoft.com/office/drawing/2014/chart" uri="{C3380CC4-5D6E-409C-BE32-E72D297353CC}">
              <c16:uniqueId val="{0000000F-6C84-40E1-9E71-66AA7B3A55CA}"/>
            </c:ext>
          </c:extLst>
        </c:ser>
        <c:ser>
          <c:idx val="11"/>
          <c:order val="11"/>
          <c:tx>
            <c:v>t=0</c:v>
          </c:tx>
          <c:spPr>
            <a:ln w="3175">
              <a:solidFill>
                <a:srgbClr val="3366FF"/>
              </a:solidFill>
              <a:prstDash val="solid"/>
            </a:ln>
          </c:spPr>
          <c:marker>
            <c:symbol val="none"/>
          </c:marker>
          <c:dLbls>
            <c:dLbl>
              <c:idx val="0"/>
              <c:layout>
                <c:manualLayout>
                  <c:x val="-1.2586805555555556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0-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c:v>
              </c:pt>
              <c:pt idx="1">
                <c:v>-0.35032151737137107</c:v>
              </c:pt>
            </c:numLit>
          </c:xVal>
          <c:yVal>
            <c:numLit>
              <c:formatCode>General</c:formatCode>
              <c:ptCount val="2"/>
              <c:pt idx="0">
                <c:v>0</c:v>
              </c:pt>
              <c:pt idx="1">
                <c:v>3.7894994244688099E-3</c:v>
              </c:pt>
            </c:numLit>
          </c:yVal>
          <c:smooth val="0"/>
          <c:extLst>
            <c:ext xmlns:c16="http://schemas.microsoft.com/office/drawing/2014/chart" uri="{C3380CC4-5D6E-409C-BE32-E72D297353CC}">
              <c16:uniqueId val="{00000011-6C84-40E1-9E71-66AA7B3A55CA}"/>
            </c:ext>
          </c:extLst>
        </c:ser>
        <c:ser>
          <c:idx val="12"/>
          <c:order val="12"/>
          <c:tx>
            <c:v>t=1</c:v>
          </c:tx>
          <c:spPr>
            <a:ln w="3175">
              <a:solidFill>
                <a:srgbClr val="3366FF"/>
              </a:solidFill>
              <a:prstDash val="solid"/>
            </a:ln>
          </c:spPr>
          <c:marker>
            <c:symbol val="none"/>
          </c:marker>
          <c:xVal>
            <c:numLit>
              <c:formatCode>General</c:formatCode>
              <c:ptCount val="2"/>
              <c:pt idx="0">
                <c:v>1</c:v>
              </c:pt>
              <c:pt idx="1">
                <c:v>0.63072878902048046</c:v>
              </c:pt>
            </c:numLit>
          </c:xVal>
          <c:yVal>
            <c:numLit>
              <c:formatCode>General</c:formatCode>
              <c:ptCount val="2"/>
              <c:pt idx="0">
                <c:v>0</c:v>
              </c:pt>
              <c:pt idx="1">
                <c:v>4.0760021751744197E-3</c:v>
              </c:pt>
            </c:numLit>
          </c:yVal>
          <c:smooth val="0"/>
          <c:extLst>
            <c:ext xmlns:c16="http://schemas.microsoft.com/office/drawing/2014/chart" uri="{C3380CC4-5D6E-409C-BE32-E72D297353CC}">
              <c16:uniqueId val="{00000012-6C84-40E1-9E71-66AA7B3A55CA}"/>
            </c:ext>
          </c:extLst>
        </c:ser>
        <c:ser>
          <c:idx val="13"/>
          <c:order val="13"/>
          <c:tx>
            <c:v>t=2</c:v>
          </c:tx>
          <c:spPr>
            <a:ln w="3175">
              <a:solidFill>
                <a:srgbClr val="3366FF"/>
              </a:solidFill>
              <a:prstDash val="solid"/>
            </a:ln>
          </c:spPr>
          <c:marker>
            <c:symbol val="none"/>
          </c:marker>
          <c:dLbls>
            <c:dLbl>
              <c:idx val="0"/>
              <c:layout>
                <c:manualLayout>
                  <c:x val="-1.2586805555555556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3-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c:v>
              </c:pt>
              <c:pt idx="1">
                <c:v>1.6111719572746133</c:v>
              </c:pt>
            </c:numLit>
          </c:xVal>
          <c:yVal>
            <c:numLit>
              <c:formatCode>General</c:formatCode>
              <c:ptCount val="2"/>
              <c:pt idx="0">
                <c:v>0</c:v>
              </c:pt>
              <c:pt idx="1">
                <c:v>4.3812837251538898E-3</c:v>
              </c:pt>
            </c:numLit>
          </c:yVal>
          <c:smooth val="0"/>
          <c:extLst>
            <c:ext xmlns:c16="http://schemas.microsoft.com/office/drawing/2014/chart" uri="{C3380CC4-5D6E-409C-BE32-E72D297353CC}">
              <c16:uniqueId val="{00000014-6C84-40E1-9E71-66AA7B3A55CA}"/>
            </c:ext>
          </c:extLst>
        </c:ser>
        <c:ser>
          <c:idx val="14"/>
          <c:order val="14"/>
          <c:tx>
            <c:v>t=3</c:v>
          </c:tx>
          <c:spPr>
            <a:ln w="3175">
              <a:solidFill>
                <a:srgbClr val="3366FF"/>
              </a:solidFill>
              <a:prstDash val="solid"/>
            </a:ln>
          </c:spPr>
          <c:marker>
            <c:symbol val="none"/>
          </c:marker>
          <c:xVal>
            <c:numLit>
              <c:formatCode>General</c:formatCode>
              <c:ptCount val="2"/>
              <c:pt idx="0">
                <c:v>3</c:v>
              </c:pt>
              <c:pt idx="1">
                <c:v>2.5909827527240186</c:v>
              </c:pt>
            </c:numLit>
          </c:xVal>
          <c:yVal>
            <c:numLit>
              <c:formatCode>General</c:formatCode>
              <c:ptCount val="2"/>
              <c:pt idx="0">
                <c:v>0</c:v>
              </c:pt>
              <c:pt idx="1">
                <c:v>4.7068331132422503E-3</c:v>
              </c:pt>
            </c:numLit>
          </c:yVal>
          <c:smooth val="0"/>
          <c:extLst>
            <c:ext xmlns:c16="http://schemas.microsoft.com/office/drawing/2014/chart" uri="{C3380CC4-5D6E-409C-BE32-E72D297353CC}">
              <c16:uniqueId val="{00000015-6C84-40E1-9E71-66AA7B3A55CA}"/>
            </c:ext>
          </c:extLst>
        </c:ser>
        <c:ser>
          <c:idx val="15"/>
          <c:order val="15"/>
          <c:tx>
            <c:v>t=4</c:v>
          </c:tx>
          <c:spPr>
            <a:ln w="3175">
              <a:solidFill>
                <a:srgbClr val="3366FF"/>
              </a:solidFill>
              <a:prstDash val="solid"/>
            </a:ln>
          </c:spPr>
          <c:marker>
            <c:symbol val="none"/>
          </c:marker>
          <c:dLbls>
            <c:dLbl>
              <c:idx val="0"/>
              <c:layout>
                <c:manualLayout>
                  <c:x val="-1.2586805555555556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6-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c:v>
              </c:pt>
              <c:pt idx="1">
                <c:v>3.5701735744985212</c:v>
              </c:pt>
            </c:numLit>
          </c:xVal>
          <c:yVal>
            <c:numLit>
              <c:formatCode>General</c:formatCode>
              <c:ptCount val="2"/>
              <c:pt idx="0">
                <c:v>0</c:v>
              </c:pt>
              <c:pt idx="1">
                <c:v>5.0538263680982602E-3</c:v>
              </c:pt>
            </c:numLit>
          </c:yVal>
          <c:smooth val="0"/>
          <c:extLst>
            <c:ext xmlns:c16="http://schemas.microsoft.com/office/drawing/2014/chart" uri="{C3380CC4-5D6E-409C-BE32-E72D297353CC}">
              <c16:uniqueId val="{00000017-6C84-40E1-9E71-66AA7B3A55CA}"/>
            </c:ext>
          </c:extLst>
        </c:ser>
        <c:ser>
          <c:idx val="16"/>
          <c:order val="16"/>
          <c:tx>
            <c:v>t=5</c:v>
          </c:tx>
          <c:spPr>
            <a:ln w="3175">
              <a:solidFill>
                <a:srgbClr val="3366FF"/>
              </a:solidFill>
              <a:prstDash val="solid"/>
            </a:ln>
          </c:spPr>
          <c:marker>
            <c:symbol val="none"/>
          </c:marker>
          <c:xVal>
            <c:numLit>
              <c:formatCode>General</c:formatCode>
              <c:ptCount val="2"/>
              <c:pt idx="0">
                <c:v>5</c:v>
              </c:pt>
              <c:pt idx="1">
                <c:v>4.5487605635344499</c:v>
              </c:pt>
            </c:numLit>
          </c:xVal>
          <c:yVal>
            <c:numLit>
              <c:formatCode>General</c:formatCode>
              <c:ptCount val="2"/>
              <c:pt idx="0">
                <c:v>0</c:v>
              </c:pt>
              <c:pt idx="1">
                <c:v>5.4234990810554801E-3</c:v>
              </c:pt>
            </c:numLit>
          </c:yVal>
          <c:smooth val="0"/>
          <c:extLst>
            <c:ext xmlns:c16="http://schemas.microsoft.com/office/drawing/2014/chart" uri="{C3380CC4-5D6E-409C-BE32-E72D297353CC}">
              <c16:uniqueId val="{00000018-6C84-40E1-9E71-66AA7B3A55CA}"/>
            </c:ext>
          </c:extLst>
        </c:ser>
        <c:ser>
          <c:idx val="17"/>
          <c:order val="17"/>
          <c:tx>
            <c:v>t=6</c:v>
          </c:tx>
          <c:spPr>
            <a:ln w="3175">
              <a:solidFill>
                <a:srgbClr val="3366FF"/>
              </a:solidFill>
              <a:prstDash val="solid"/>
            </a:ln>
          </c:spPr>
          <c:marker>
            <c:symbol val="none"/>
          </c:marker>
          <c:dLbls>
            <c:dLbl>
              <c:idx val="0"/>
              <c:layout>
                <c:manualLayout>
                  <c:x val="-1.2586805555555587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9-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c:v>
              </c:pt>
              <c:pt idx="1">
                <c:v>5.5267544089063207</c:v>
              </c:pt>
            </c:numLit>
          </c:xVal>
          <c:yVal>
            <c:numLit>
              <c:formatCode>General</c:formatCode>
              <c:ptCount val="2"/>
              <c:pt idx="0">
                <c:v>0</c:v>
              </c:pt>
              <c:pt idx="1">
                <c:v>5.8172661857312001E-3</c:v>
              </c:pt>
            </c:numLit>
          </c:yVal>
          <c:smooth val="0"/>
          <c:extLst>
            <c:ext xmlns:c16="http://schemas.microsoft.com/office/drawing/2014/chart" uri="{C3380CC4-5D6E-409C-BE32-E72D297353CC}">
              <c16:uniqueId val="{0000001A-6C84-40E1-9E71-66AA7B3A55CA}"/>
            </c:ext>
          </c:extLst>
        </c:ser>
        <c:ser>
          <c:idx val="18"/>
          <c:order val="18"/>
          <c:tx>
            <c:v>t=7</c:v>
          </c:tx>
          <c:spPr>
            <a:ln w="3175">
              <a:solidFill>
                <a:srgbClr val="3366FF"/>
              </a:solidFill>
              <a:prstDash val="solid"/>
            </a:ln>
          </c:spPr>
          <c:marker>
            <c:symbol val="none"/>
          </c:marker>
          <c:xVal>
            <c:numLit>
              <c:formatCode>General</c:formatCode>
              <c:ptCount val="2"/>
              <c:pt idx="0">
                <c:v>7</c:v>
              </c:pt>
              <c:pt idx="1">
                <c:v>6.5041883174927406</c:v>
              </c:pt>
            </c:numLit>
          </c:xVal>
          <c:yVal>
            <c:numLit>
              <c:formatCode>General</c:formatCode>
              <c:ptCount val="2"/>
              <c:pt idx="0">
                <c:v>0</c:v>
              </c:pt>
              <c:pt idx="1">
                <c:v>6.2363910052801001E-3</c:v>
              </c:pt>
            </c:numLit>
          </c:yVal>
          <c:smooth val="0"/>
          <c:extLst>
            <c:ext xmlns:c16="http://schemas.microsoft.com/office/drawing/2014/chart" uri="{C3380CC4-5D6E-409C-BE32-E72D297353CC}">
              <c16:uniqueId val="{0000001B-6C84-40E1-9E71-66AA7B3A55CA}"/>
            </c:ext>
          </c:extLst>
        </c:ser>
        <c:ser>
          <c:idx val="19"/>
          <c:order val="19"/>
          <c:tx>
            <c:v>t=8</c:v>
          </c:tx>
          <c:spPr>
            <a:ln w="3175">
              <a:solidFill>
                <a:srgbClr val="3366FF"/>
              </a:solidFill>
              <a:prstDash val="solid"/>
            </a:ln>
          </c:spPr>
          <c:marker>
            <c:symbol val="none"/>
          </c:marker>
          <c:dLbls>
            <c:dLbl>
              <c:idx val="0"/>
              <c:layout>
                <c:manualLayout>
                  <c:x val="-1.2586805555555556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C-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c:v>
              </c:pt>
              <c:pt idx="1">
                <c:v>7.481091633037142</c:v>
              </c:pt>
            </c:numLit>
          </c:xVal>
          <c:yVal>
            <c:numLit>
              <c:formatCode>General</c:formatCode>
              <c:ptCount val="2"/>
              <c:pt idx="0">
                <c:v>0</c:v>
              </c:pt>
              <c:pt idx="1">
                <c:v>6.68230692735069E-3</c:v>
              </c:pt>
            </c:numLit>
          </c:yVal>
          <c:smooth val="0"/>
          <c:extLst>
            <c:ext xmlns:c16="http://schemas.microsoft.com/office/drawing/2014/chart" uri="{C3380CC4-5D6E-409C-BE32-E72D297353CC}">
              <c16:uniqueId val="{0000001D-6C84-40E1-9E71-66AA7B3A55CA}"/>
            </c:ext>
          </c:extLst>
        </c:ser>
        <c:ser>
          <c:idx val="20"/>
          <c:order val="20"/>
          <c:tx>
            <c:v>t=9</c:v>
          </c:tx>
          <c:spPr>
            <a:ln w="3175">
              <a:solidFill>
                <a:srgbClr val="3366FF"/>
              </a:solidFill>
              <a:prstDash val="solid"/>
            </a:ln>
          </c:spPr>
          <c:marker>
            <c:symbol val="none"/>
          </c:marker>
          <c:xVal>
            <c:numLit>
              <c:formatCode>General</c:formatCode>
              <c:ptCount val="2"/>
              <c:pt idx="0">
                <c:v>9</c:v>
              </c:pt>
              <c:pt idx="1">
                <c:v>8.4574988517709855</c:v>
              </c:pt>
            </c:numLit>
          </c:xVal>
          <c:yVal>
            <c:numLit>
              <c:formatCode>General</c:formatCode>
              <c:ptCount val="2"/>
              <c:pt idx="0">
                <c:v>0</c:v>
              </c:pt>
              <c:pt idx="1">
                <c:v>7.1565192121477803E-3</c:v>
              </c:pt>
            </c:numLit>
          </c:yVal>
          <c:smooth val="0"/>
          <c:extLst>
            <c:ext xmlns:c16="http://schemas.microsoft.com/office/drawing/2014/chart" uri="{C3380CC4-5D6E-409C-BE32-E72D297353CC}">
              <c16:uniqueId val="{0000001E-6C84-40E1-9E71-66AA7B3A55CA}"/>
            </c:ext>
          </c:extLst>
        </c:ser>
        <c:ser>
          <c:idx val="21"/>
          <c:order val="21"/>
          <c:tx>
            <c:v>t=10</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1F-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c:v>
              </c:pt>
              <c:pt idx="1">
                <c:v>9.4334500278774112</c:v>
              </c:pt>
            </c:numLit>
          </c:xVal>
          <c:yVal>
            <c:numLit>
              <c:formatCode>General</c:formatCode>
              <c:ptCount val="2"/>
              <c:pt idx="0">
                <c:v>0</c:v>
              </c:pt>
              <c:pt idx="1">
                <c:v>7.6606084940231802E-3</c:v>
              </c:pt>
            </c:numLit>
          </c:yVal>
          <c:smooth val="0"/>
          <c:extLst>
            <c:ext xmlns:c16="http://schemas.microsoft.com/office/drawing/2014/chart" uri="{C3380CC4-5D6E-409C-BE32-E72D297353CC}">
              <c16:uniqueId val="{00000020-6C84-40E1-9E71-66AA7B3A55CA}"/>
            </c:ext>
          </c:extLst>
        </c:ser>
        <c:ser>
          <c:idx val="22"/>
          <c:order val="22"/>
          <c:tx>
            <c:v>t=11</c:v>
          </c:tx>
          <c:spPr>
            <a:ln w="3175">
              <a:solidFill>
                <a:srgbClr val="3366FF"/>
              </a:solidFill>
              <a:prstDash val="solid"/>
            </a:ln>
          </c:spPr>
          <c:marker>
            <c:symbol val="none"/>
          </c:marker>
          <c:xVal>
            <c:numLit>
              <c:formatCode>General</c:formatCode>
              <c:ptCount val="2"/>
              <c:pt idx="0">
                <c:v>11</c:v>
              </c:pt>
              <c:pt idx="1">
                <c:v>10.408979273270996</c:v>
              </c:pt>
            </c:numLit>
          </c:xVal>
          <c:yVal>
            <c:numLit>
              <c:formatCode>General</c:formatCode>
              <c:ptCount val="2"/>
              <c:pt idx="0">
                <c:v>0</c:v>
              </c:pt>
              <c:pt idx="1">
                <c:v>8.1963999323046207E-3</c:v>
              </c:pt>
            </c:numLit>
          </c:yVal>
          <c:smooth val="0"/>
          <c:extLst>
            <c:ext xmlns:c16="http://schemas.microsoft.com/office/drawing/2014/chart" uri="{C3380CC4-5D6E-409C-BE32-E72D297353CC}">
              <c16:uniqueId val="{00000021-6C84-40E1-9E71-66AA7B3A55CA}"/>
            </c:ext>
          </c:extLst>
        </c:ser>
        <c:ser>
          <c:idx val="23"/>
          <c:order val="23"/>
          <c:tx>
            <c:v>t=12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2-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12</c:v>
              </c:pt>
              <c:pt idx="1">
                <c:v>11.384149975978485</c:v>
              </c:pt>
            </c:numLit>
          </c:xVal>
          <c:yVal>
            <c:numLit>
              <c:formatCode>General</c:formatCode>
              <c:ptCount val="2"/>
              <c:pt idx="0">
                <c:v>0</c:v>
              </c:pt>
              <c:pt idx="1">
                <c:v>8.7654941166616408E-3</c:v>
              </c:pt>
            </c:numLit>
          </c:yVal>
          <c:smooth val="0"/>
          <c:extLst>
            <c:ext xmlns:c16="http://schemas.microsoft.com/office/drawing/2014/chart" uri="{C3380CC4-5D6E-409C-BE32-E72D297353CC}">
              <c16:uniqueId val="{00000023-6C84-40E1-9E71-66AA7B3A55CA}"/>
            </c:ext>
          </c:extLst>
        </c:ser>
        <c:ser>
          <c:idx val="24"/>
          <c:order val="24"/>
          <c:tx>
            <c:v>t=13</c:v>
          </c:tx>
          <c:spPr>
            <a:ln w="3175">
              <a:solidFill>
                <a:srgbClr val="3366FF"/>
              </a:solidFill>
              <a:prstDash val="solid"/>
            </a:ln>
          </c:spPr>
          <c:marker>
            <c:symbol val="none"/>
          </c:marker>
          <c:xVal>
            <c:numLit>
              <c:formatCode>General</c:formatCode>
              <c:ptCount val="2"/>
              <c:pt idx="0">
                <c:v>13</c:v>
              </c:pt>
              <c:pt idx="1">
                <c:v>12.359021518730225</c:v>
              </c:pt>
            </c:numLit>
          </c:xVal>
          <c:yVal>
            <c:numLit>
              <c:formatCode>General</c:formatCode>
              <c:ptCount val="2"/>
              <c:pt idx="0">
                <c:v>0</c:v>
              </c:pt>
              <c:pt idx="1">
                <c:v>9.3697232222812107E-3</c:v>
              </c:pt>
            </c:numLit>
          </c:yVal>
          <c:smooth val="0"/>
          <c:extLst>
            <c:ext xmlns:c16="http://schemas.microsoft.com/office/drawing/2014/chart" uri="{C3380CC4-5D6E-409C-BE32-E72D297353CC}">
              <c16:uniqueId val="{00000024-6C84-40E1-9E71-66AA7B3A55CA}"/>
            </c:ext>
          </c:extLst>
        </c:ser>
        <c:ser>
          <c:idx val="25"/>
          <c:order val="25"/>
          <c:tx>
            <c:v>t=14</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5-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14</c:v>
              </c:pt>
              <c:pt idx="1">
                <c:v>13.333660721764184</c:v>
              </c:pt>
            </c:numLit>
          </c:xVal>
          <c:yVal>
            <c:numLit>
              <c:formatCode>General</c:formatCode>
              <c:ptCount val="2"/>
              <c:pt idx="0">
                <c:v>0</c:v>
              </c:pt>
              <c:pt idx="1">
                <c:v>1.00110112590387E-2</c:v>
              </c:pt>
            </c:numLit>
          </c:yVal>
          <c:smooth val="0"/>
          <c:extLst>
            <c:ext xmlns:c16="http://schemas.microsoft.com/office/drawing/2014/chart" uri="{C3380CC4-5D6E-409C-BE32-E72D297353CC}">
              <c16:uniqueId val="{00000026-6C84-40E1-9E71-66AA7B3A55CA}"/>
            </c:ext>
          </c:extLst>
        </c:ser>
        <c:ser>
          <c:idx val="26"/>
          <c:order val="26"/>
          <c:tx>
            <c:v>t=15</c:v>
          </c:tx>
          <c:spPr>
            <a:ln w="3175">
              <a:solidFill>
                <a:srgbClr val="3366FF"/>
              </a:solidFill>
              <a:prstDash val="solid"/>
            </a:ln>
          </c:spPr>
          <c:marker>
            <c:symbol val="none"/>
          </c:marker>
          <c:xVal>
            <c:numLit>
              <c:formatCode>General</c:formatCode>
              <c:ptCount val="2"/>
              <c:pt idx="0">
                <c:v>15</c:v>
              </c:pt>
              <c:pt idx="1">
                <c:v>14.308142384050464</c:v>
              </c:pt>
            </c:numLit>
          </c:xVal>
          <c:yVal>
            <c:numLit>
              <c:formatCode>General</c:formatCode>
              <c:ptCount val="2"/>
              <c:pt idx="0">
                <c:v>0</c:v>
              </c:pt>
              <c:pt idx="1">
                <c:v>1.06913788271157E-2</c:v>
              </c:pt>
            </c:numLit>
          </c:yVal>
          <c:smooth val="0"/>
          <c:extLst>
            <c:ext xmlns:c16="http://schemas.microsoft.com/office/drawing/2014/chart" uri="{C3380CC4-5D6E-409C-BE32-E72D297353CC}">
              <c16:uniqueId val="{00000027-6C84-40E1-9E71-66AA7B3A55CA}"/>
            </c:ext>
          </c:extLst>
        </c:ser>
        <c:ser>
          <c:idx val="27"/>
          <c:order val="27"/>
          <c:tx>
            <c:v>t=16</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8-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16</c:v>
              </c:pt>
              <c:pt idx="1">
                <c:v>15.282549857324684</c:v>
              </c:pt>
            </c:numLit>
          </c:xVal>
          <c:yVal>
            <c:numLit>
              <c:formatCode>General</c:formatCode>
              <c:ptCount val="2"/>
              <c:pt idx="0">
                <c:v>0</c:v>
              </c:pt>
              <c:pt idx="1">
                <c:v>1.14129481899331E-2</c:v>
              </c:pt>
            </c:numLit>
          </c:yVal>
          <c:smooth val="0"/>
          <c:extLst>
            <c:ext xmlns:c16="http://schemas.microsoft.com/office/drawing/2014/chart" uri="{C3380CC4-5D6E-409C-BE32-E72D297353CC}">
              <c16:uniqueId val="{00000029-6C84-40E1-9E71-66AA7B3A55CA}"/>
            </c:ext>
          </c:extLst>
        </c:ser>
        <c:ser>
          <c:idx val="28"/>
          <c:order val="28"/>
          <c:tx>
            <c:v>t=17</c:v>
          </c:tx>
          <c:spPr>
            <a:ln w="3175">
              <a:solidFill>
                <a:srgbClr val="3366FF"/>
              </a:solidFill>
              <a:prstDash val="solid"/>
            </a:ln>
          </c:spPr>
          <c:marker>
            <c:symbol val="none"/>
          </c:marker>
          <c:xVal>
            <c:numLit>
              <c:formatCode>General</c:formatCode>
              <c:ptCount val="2"/>
              <c:pt idx="0">
                <c:v>17</c:v>
              </c:pt>
              <c:pt idx="1">
                <c:v>16.256975655314989</c:v>
              </c:pt>
            </c:numLit>
          </c:xVal>
          <c:yVal>
            <c:numLit>
              <c:formatCode>General</c:formatCode>
              <c:ptCount val="2"/>
              <c:pt idx="0">
                <c:v>0</c:v>
              </c:pt>
              <c:pt idx="1">
                <c:v>1.2177948692621701E-2</c:v>
              </c:pt>
            </c:numLit>
          </c:yVal>
          <c:smooth val="0"/>
          <c:extLst>
            <c:ext xmlns:c16="http://schemas.microsoft.com/office/drawing/2014/chart" uri="{C3380CC4-5D6E-409C-BE32-E72D297353CC}">
              <c16:uniqueId val="{0000002A-6C84-40E1-9E71-66AA7B3A55CA}"/>
            </c:ext>
          </c:extLst>
        </c:ser>
        <c:ser>
          <c:idx val="29"/>
          <c:order val="29"/>
          <c:tx>
            <c:v>t=18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B-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c:v>
              </c:pt>
              <c:pt idx="1">
                <c:v>17.231522100796575</c:v>
              </c:pt>
            </c:numLit>
          </c:xVal>
          <c:yVal>
            <c:numLit>
              <c:formatCode>General</c:formatCode>
              <c:ptCount val="2"/>
              <c:pt idx="0">
                <c:v>0</c:v>
              </c:pt>
              <c:pt idx="1">
                <c:v>1.29887225571009E-2</c:v>
              </c:pt>
            </c:numLit>
          </c:yVal>
          <c:smooth val="0"/>
          <c:extLst>
            <c:ext xmlns:c16="http://schemas.microsoft.com/office/drawing/2014/chart" uri="{C3380CC4-5D6E-409C-BE32-E72D297353CC}">
              <c16:uniqueId val="{0000002C-6C84-40E1-9E71-66AA7B3A55CA}"/>
            </c:ext>
          </c:extLst>
        </c:ser>
        <c:ser>
          <c:idx val="30"/>
          <c:order val="30"/>
          <c:tx>
            <c:v>t=19</c:v>
          </c:tx>
          <c:spPr>
            <a:ln w="3175">
              <a:solidFill>
                <a:srgbClr val="3366FF"/>
              </a:solidFill>
              <a:prstDash val="solid"/>
            </a:ln>
          </c:spPr>
          <c:marker>
            <c:symbol val="none"/>
          </c:marker>
          <c:xVal>
            <c:numLit>
              <c:formatCode>General</c:formatCode>
              <c:ptCount val="2"/>
              <c:pt idx="0">
                <c:v>19</c:v>
              </c:pt>
              <c:pt idx="1">
                <c:v>18.206302013385109</c:v>
              </c:pt>
            </c:numLit>
          </c:xVal>
          <c:yVal>
            <c:numLit>
              <c:formatCode>General</c:formatCode>
              <c:ptCount val="2"/>
              <c:pt idx="0">
                <c:v>0</c:v>
              </c:pt>
              <c:pt idx="1">
                <c:v>1.38477310880087E-2</c:v>
              </c:pt>
            </c:numLit>
          </c:yVal>
          <c:smooth val="0"/>
          <c:extLst>
            <c:ext xmlns:c16="http://schemas.microsoft.com/office/drawing/2014/chart" uri="{C3380CC4-5D6E-409C-BE32-E72D297353CC}">
              <c16:uniqueId val="{0000002D-6C84-40E1-9E71-66AA7B3A55CA}"/>
            </c:ext>
          </c:extLst>
        </c:ser>
        <c:ser>
          <c:idx val="31"/>
          <c:order val="31"/>
          <c:tx>
            <c:v>t=20</c:v>
          </c:tx>
          <c:spPr>
            <a:ln w="3175">
              <a:solidFill>
                <a:srgbClr val="3366FF"/>
              </a:solidFill>
              <a:prstDash val="solid"/>
            </a:ln>
          </c:spPr>
          <c:marker>
            <c:symbol val="none"/>
          </c:marker>
          <c:dLbls>
            <c:dLbl>
              <c:idx val="0"/>
              <c:layout>
                <c:manualLayout>
                  <c:x val="-1.5625000000000062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2E-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c:v>
              </c:pt>
              <c:pt idx="1">
                <c:v>19.181439441292415</c:v>
              </c:pt>
            </c:numLit>
          </c:xVal>
          <c:yVal>
            <c:numLit>
              <c:formatCode>General</c:formatCode>
              <c:ptCount val="2"/>
              <c:pt idx="0">
                <c:v>0</c:v>
              </c:pt>
              <c:pt idx="1">
                <c:v>1.4757561327237099E-2</c:v>
              </c:pt>
            </c:numLit>
          </c:yVal>
          <c:smooth val="0"/>
          <c:extLst>
            <c:ext xmlns:c16="http://schemas.microsoft.com/office/drawing/2014/chart" uri="{C3380CC4-5D6E-409C-BE32-E72D297353CC}">
              <c16:uniqueId val="{0000002F-6C84-40E1-9E71-66AA7B3A55CA}"/>
            </c:ext>
          </c:extLst>
        </c:ser>
        <c:ser>
          <c:idx val="32"/>
          <c:order val="32"/>
          <c:tx>
            <c:v>t=21</c:v>
          </c:tx>
          <c:spPr>
            <a:ln w="3175">
              <a:solidFill>
                <a:srgbClr val="3366FF"/>
              </a:solidFill>
              <a:prstDash val="solid"/>
            </a:ln>
          </c:spPr>
          <c:marker>
            <c:symbol val="none"/>
          </c:marker>
          <c:xVal>
            <c:numLit>
              <c:formatCode>General</c:formatCode>
              <c:ptCount val="2"/>
              <c:pt idx="0">
                <c:v>21</c:v>
              </c:pt>
              <c:pt idx="1">
                <c:v>20.157070440615996</c:v>
              </c:pt>
            </c:numLit>
          </c:xVal>
          <c:yVal>
            <c:numLit>
              <c:formatCode>General</c:formatCode>
              <c:ptCount val="2"/>
              <c:pt idx="0">
                <c:v>0</c:v>
              </c:pt>
              <c:pt idx="1">
                <c:v>1.5720933198744999E-2</c:v>
              </c:pt>
            </c:numLit>
          </c:yVal>
          <c:smooth val="0"/>
          <c:extLst>
            <c:ext xmlns:c16="http://schemas.microsoft.com/office/drawing/2014/chart" uri="{C3380CC4-5D6E-409C-BE32-E72D297353CC}">
              <c16:uniqueId val="{00000030-6C84-40E1-9E71-66AA7B3A55CA}"/>
            </c:ext>
          </c:extLst>
        </c:ser>
        <c:ser>
          <c:idx val="33"/>
          <c:order val="33"/>
          <c:tx>
            <c:v>t=22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1-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22</c:v>
              </c:pt>
              <c:pt idx="1">
                <c:v>21.133343906124988</c:v>
              </c:pt>
            </c:numLit>
          </c:xVal>
          <c:yVal>
            <c:numLit>
              <c:formatCode>General</c:formatCode>
              <c:ptCount val="2"/>
              <c:pt idx="0">
                <c:v>0</c:v>
              </c:pt>
              <c:pt idx="1">
                <c:v>1.6740707189674801E-2</c:v>
              </c:pt>
            </c:numLit>
          </c:yVal>
          <c:smooth val="0"/>
          <c:extLst>
            <c:ext xmlns:c16="http://schemas.microsoft.com/office/drawing/2014/chart" uri="{C3380CC4-5D6E-409C-BE32-E72D297353CC}">
              <c16:uniqueId val="{00000032-6C84-40E1-9E71-66AA7B3A55CA}"/>
            </c:ext>
          </c:extLst>
        </c:ser>
        <c:ser>
          <c:idx val="34"/>
          <c:order val="34"/>
          <c:tx>
            <c:v>t=23</c:v>
          </c:tx>
          <c:spPr>
            <a:ln w="3175">
              <a:solidFill>
                <a:srgbClr val="3366FF"/>
              </a:solidFill>
              <a:prstDash val="solid"/>
            </a:ln>
          </c:spPr>
          <c:marker>
            <c:symbol val="none"/>
          </c:marker>
          <c:xVal>
            <c:numLit>
              <c:formatCode>General</c:formatCode>
              <c:ptCount val="2"/>
              <c:pt idx="0">
                <c:v>23</c:v>
              </c:pt>
              <c:pt idx="1">
                <c:v>22.110422457943038</c:v>
              </c:pt>
            </c:numLit>
          </c:xVal>
          <c:yVal>
            <c:numLit>
              <c:formatCode>General</c:formatCode>
              <c:ptCount val="2"/>
              <c:pt idx="0">
                <c:v>0</c:v>
              </c:pt>
              <c:pt idx="1">
                <c:v>1.7819892618663902E-2</c:v>
              </c:pt>
            </c:numLit>
          </c:yVal>
          <c:smooth val="0"/>
          <c:extLst>
            <c:ext xmlns:c16="http://schemas.microsoft.com/office/drawing/2014/chart" uri="{C3380CC4-5D6E-409C-BE32-E72D297353CC}">
              <c16:uniqueId val="{00000033-6C84-40E1-9E71-66AA7B3A55CA}"/>
            </c:ext>
          </c:extLst>
        </c:ser>
        <c:ser>
          <c:idx val="35"/>
          <c:order val="35"/>
          <c:tx>
            <c:v>t=24</c:v>
          </c:tx>
          <c:spPr>
            <a:ln w="3175">
              <a:solidFill>
                <a:srgbClr val="3366FF"/>
              </a:solidFill>
              <a:prstDash val="solid"/>
            </a:ln>
          </c:spPr>
          <c:marker>
            <c:symbol val="none"/>
          </c:marker>
          <c:dLbls>
            <c:dLbl>
              <c:idx val="0"/>
              <c:layout>
                <c:manualLayout>
                  <c:x val="-1.5625000000000062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4-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c:v>
              </c:pt>
              <c:pt idx="1">
                <c:v>23.088483389020521</c:v>
              </c:pt>
            </c:numLit>
          </c:xVal>
          <c:yVal>
            <c:numLit>
              <c:formatCode>General</c:formatCode>
              <c:ptCount val="2"/>
              <c:pt idx="0">
                <c:v>0</c:v>
              </c:pt>
              <c:pt idx="1">
                <c:v>1.8961656547670701E-2</c:v>
              </c:pt>
            </c:numLit>
          </c:yVal>
          <c:smooth val="0"/>
          <c:extLst>
            <c:ext xmlns:c16="http://schemas.microsoft.com/office/drawing/2014/chart" uri="{C3380CC4-5D6E-409C-BE32-E72D297353CC}">
              <c16:uniqueId val="{00000035-6C84-40E1-9E71-66AA7B3A55CA}"/>
            </c:ext>
          </c:extLst>
        </c:ser>
        <c:ser>
          <c:idx val="36"/>
          <c:order val="36"/>
          <c:tx>
            <c:v>t=25</c:v>
          </c:tx>
          <c:spPr>
            <a:ln w="3175">
              <a:solidFill>
                <a:srgbClr val="3366FF"/>
              </a:solidFill>
              <a:prstDash val="solid"/>
            </a:ln>
          </c:spPr>
          <c:marker>
            <c:symbol val="none"/>
          </c:marker>
          <c:xVal>
            <c:numLit>
              <c:formatCode>General</c:formatCode>
              <c:ptCount val="2"/>
              <c:pt idx="0">
                <c:v>25</c:v>
              </c:pt>
              <c:pt idx="1">
                <c:v>24.067719678840422</c:v>
              </c:pt>
            </c:numLit>
          </c:xVal>
          <c:yVal>
            <c:numLit>
              <c:formatCode>General</c:formatCode>
              <c:ptCount val="2"/>
              <c:pt idx="0">
                <c:v>0</c:v>
              </c:pt>
              <c:pt idx="1">
                <c:v>2.0169333399710401E-2</c:v>
              </c:pt>
            </c:numLit>
          </c:yVal>
          <c:smooth val="0"/>
          <c:extLst>
            <c:ext xmlns:c16="http://schemas.microsoft.com/office/drawing/2014/chart" uri="{C3380CC4-5D6E-409C-BE32-E72D297353CC}">
              <c16:uniqueId val="{00000036-6C84-40E1-9E71-66AA7B3A55CA}"/>
            </c:ext>
          </c:extLst>
        </c:ser>
        <c:ser>
          <c:idx val="37"/>
          <c:order val="37"/>
          <c:tx>
            <c:v>t=26</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7-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c:v>
              </c:pt>
              <c:pt idx="1">
                <c:v>25.048321472690549</c:v>
              </c:pt>
            </c:numLit>
          </c:xVal>
          <c:yVal>
            <c:numLit>
              <c:formatCode>General</c:formatCode>
              <c:ptCount val="2"/>
              <c:pt idx="0">
                <c:v>0</c:v>
              </c:pt>
              <c:pt idx="1">
                <c:v>2.14468772059432E-2</c:v>
              </c:pt>
            </c:numLit>
          </c:yVal>
          <c:smooth val="0"/>
          <c:extLst>
            <c:ext xmlns:c16="http://schemas.microsoft.com/office/drawing/2014/chart" uri="{C3380CC4-5D6E-409C-BE32-E72D297353CC}">
              <c16:uniqueId val="{00000038-6C84-40E1-9E71-66AA7B3A55CA}"/>
            </c:ext>
          </c:extLst>
        </c:ser>
        <c:ser>
          <c:idx val="38"/>
          <c:order val="38"/>
          <c:tx>
            <c:v>t=27</c:v>
          </c:tx>
          <c:spPr>
            <a:ln w="3175">
              <a:solidFill>
                <a:srgbClr val="3366FF"/>
              </a:solidFill>
              <a:prstDash val="solid"/>
            </a:ln>
          </c:spPr>
          <c:marker>
            <c:symbol val="none"/>
          </c:marker>
          <c:xVal>
            <c:numLit>
              <c:formatCode>General</c:formatCode>
              <c:ptCount val="2"/>
              <c:pt idx="0">
                <c:v>27</c:v>
              </c:pt>
              <c:pt idx="1">
                <c:v>26.030535251824297</c:v>
              </c:pt>
            </c:numLit>
          </c:xVal>
          <c:yVal>
            <c:numLit>
              <c:formatCode>General</c:formatCode>
              <c:ptCount val="2"/>
              <c:pt idx="0">
                <c:v>0</c:v>
              </c:pt>
              <c:pt idx="1">
                <c:v>2.2797604877624101E-2</c:v>
              </c:pt>
            </c:numLit>
          </c:yVal>
          <c:smooth val="0"/>
          <c:extLst>
            <c:ext xmlns:c16="http://schemas.microsoft.com/office/drawing/2014/chart" uri="{C3380CC4-5D6E-409C-BE32-E72D297353CC}">
              <c16:uniqueId val="{00000039-6C84-40E1-9E71-66AA7B3A55CA}"/>
            </c:ext>
          </c:extLst>
        </c:ser>
        <c:ser>
          <c:idx val="39"/>
          <c:order val="39"/>
          <c:tx>
            <c:v>t=28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A-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c:v>
              </c:pt>
              <c:pt idx="1">
                <c:v>27.014607998719534</c:v>
              </c:pt>
            </c:numLit>
          </c:xVal>
          <c:yVal>
            <c:numLit>
              <c:formatCode>General</c:formatCode>
              <c:ptCount val="2"/>
              <c:pt idx="0">
                <c:v>0</c:v>
              </c:pt>
              <c:pt idx="1">
                <c:v>2.42254240784005E-2</c:v>
              </c:pt>
            </c:numLit>
          </c:yVal>
          <c:smooth val="0"/>
          <c:extLst>
            <c:ext xmlns:c16="http://schemas.microsoft.com/office/drawing/2014/chart" uri="{C3380CC4-5D6E-409C-BE32-E72D297353CC}">
              <c16:uniqueId val="{0000003B-6C84-40E1-9E71-66AA7B3A55CA}"/>
            </c:ext>
          </c:extLst>
        </c:ser>
        <c:ser>
          <c:idx val="40"/>
          <c:order val="40"/>
          <c:tx>
            <c:v>t=29</c:v>
          </c:tx>
          <c:spPr>
            <a:ln w="3175">
              <a:solidFill>
                <a:srgbClr val="3366FF"/>
              </a:solidFill>
              <a:prstDash val="solid"/>
            </a:ln>
          </c:spPr>
          <c:marker>
            <c:symbol val="none"/>
          </c:marker>
          <c:xVal>
            <c:numLit>
              <c:formatCode>General</c:formatCode>
              <c:ptCount val="2"/>
              <c:pt idx="0">
                <c:v>29</c:v>
              </c:pt>
              <c:pt idx="1">
                <c:v>28.000807254075738</c:v>
              </c:pt>
            </c:numLit>
          </c:xVal>
          <c:yVal>
            <c:numLit>
              <c:formatCode>General</c:formatCode>
              <c:ptCount val="2"/>
              <c:pt idx="0">
                <c:v>0</c:v>
              </c:pt>
              <c:pt idx="1">
                <c:v>2.5734457306702801E-2</c:v>
              </c:pt>
            </c:numLit>
          </c:yVal>
          <c:smooth val="0"/>
          <c:extLst>
            <c:ext xmlns:c16="http://schemas.microsoft.com/office/drawing/2014/chart" uri="{C3380CC4-5D6E-409C-BE32-E72D297353CC}">
              <c16:uniqueId val="{0000003C-6C84-40E1-9E71-66AA7B3A55CA}"/>
            </c:ext>
          </c:extLst>
        </c:ser>
        <c:ser>
          <c:idx val="41"/>
          <c:order val="41"/>
          <c:tx>
            <c:v>t=30</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3D-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30</c:v>
              </c:pt>
              <c:pt idx="1">
                <c:v>28.989422570672435</c:v>
              </c:pt>
            </c:numLit>
          </c:xVal>
          <c:yVal>
            <c:numLit>
              <c:formatCode>General</c:formatCode>
              <c:ptCount val="2"/>
              <c:pt idx="0">
                <c:v>0</c:v>
              </c:pt>
              <c:pt idx="1">
                <c:v>2.73290562877294E-2</c:v>
              </c:pt>
            </c:numLit>
          </c:yVal>
          <c:smooth val="0"/>
          <c:extLst>
            <c:ext xmlns:c16="http://schemas.microsoft.com/office/drawing/2014/chart" uri="{C3380CC4-5D6E-409C-BE32-E72D297353CC}">
              <c16:uniqueId val="{0000003E-6C84-40E1-9E71-66AA7B3A55CA}"/>
            </c:ext>
          </c:extLst>
        </c:ser>
        <c:ser>
          <c:idx val="42"/>
          <c:order val="42"/>
          <c:tx>
            <c:v>t=31</c:v>
          </c:tx>
          <c:spPr>
            <a:ln w="3175">
              <a:solidFill>
                <a:srgbClr val="3366FF"/>
              </a:solidFill>
              <a:prstDash val="solid"/>
            </a:ln>
          </c:spPr>
          <c:marker>
            <c:symbol val="none"/>
          </c:marker>
          <c:xVal>
            <c:numLit>
              <c:formatCode>General</c:formatCode>
              <c:ptCount val="2"/>
              <c:pt idx="0">
                <c:v>31</c:v>
              </c:pt>
              <c:pt idx="1">
                <c:v>29.98076708258969</c:v>
              </c:pt>
            </c:numLit>
          </c:xVal>
          <c:yVal>
            <c:numLit>
              <c:formatCode>General</c:formatCode>
              <c:ptCount val="2"/>
              <c:pt idx="0">
                <c:v>0</c:v>
              </c:pt>
              <c:pt idx="1">
                <c:v>2.9013817626337601E-2</c:v>
              </c:pt>
            </c:numLit>
          </c:yVal>
          <c:smooth val="0"/>
          <c:extLst>
            <c:ext xmlns:c16="http://schemas.microsoft.com/office/drawing/2014/chart" uri="{C3380CC4-5D6E-409C-BE32-E72D297353CC}">
              <c16:uniqueId val="{0000003F-6C84-40E1-9E71-66AA7B3A55CA}"/>
            </c:ext>
          </c:extLst>
        </c:ser>
        <c:ser>
          <c:idx val="43"/>
          <c:order val="43"/>
          <c:tx>
            <c:v>t=32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0-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c:v>
              </c:pt>
              <c:pt idx="1">
                <c:v>30.975179201690683</c:v>
              </c:pt>
            </c:numLit>
          </c:xVal>
          <c:yVal>
            <c:numLit>
              <c:formatCode>General</c:formatCode>
              <c:ptCount val="2"/>
              <c:pt idx="0">
                <c:v>0</c:v>
              </c:pt>
              <c:pt idx="1">
                <c:v>3.0793599853619201E-2</c:v>
              </c:pt>
            </c:numLit>
          </c:yVal>
          <c:smooth val="0"/>
          <c:extLst>
            <c:ext xmlns:c16="http://schemas.microsoft.com/office/drawing/2014/chart" uri="{C3380CC4-5D6E-409C-BE32-E72D297353CC}">
              <c16:uniqueId val="{00000041-6C84-40E1-9E71-66AA7B3A55CA}"/>
            </c:ext>
          </c:extLst>
        </c:ser>
        <c:ser>
          <c:idx val="44"/>
          <c:order val="44"/>
          <c:tx>
            <c:v>t=33</c:v>
          </c:tx>
          <c:spPr>
            <a:ln w="3175">
              <a:solidFill>
                <a:srgbClr val="3366FF"/>
              </a:solidFill>
              <a:prstDash val="solid"/>
            </a:ln>
          </c:spPr>
          <c:marker>
            <c:symbol val="none"/>
          </c:marker>
          <c:xVal>
            <c:numLit>
              <c:formatCode>General</c:formatCode>
              <c:ptCount val="2"/>
              <c:pt idx="0">
                <c:v>33</c:v>
              </c:pt>
              <c:pt idx="1">
                <c:v>31.973024454731338</c:v>
              </c:pt>
            </c:numLit>
          </c:xVal>
          <c:yVal>
            <c:numLit>
              <c:formatCode>General</c:formatCode>
              <c:ptCount val="2"/>
              <c:pt idx="0">
                <c:v>0</c:v>
              </c:pt>
              <c:pt idx="1">
                <c:v>3.2673542015821698E-2</c:v>
              </c:pt>
            </c:numLit>
          </c:yVal>
          <c:smooth val="0"/>
          <c:extLst>
            <c:ext xmlns:c16="http://schemas.microsoft.com/office/drawing/2014/chart" uri="{C3380CC4-5D6E-409C-BE32-E72D297353CC}">
              <c16:uniqueId val="{00000042-6C84-40E1-9E71-66AA7B3A55CA}"/>
            </c:ext>
          </c:extLst>
        </c:ser>
        <c:ser>
          <c:idx val="45"/>
          <c:order val="45"/>
          <c:tx>
            <c:v>t=34</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3-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34</c:v>
              </c:pt>
              <c:pt idx="1">
                <c:v>32.994194831013921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4-6C84-40E1-9E71-66AA7B3A55CA}"/>
            </c:ext>
          </c:extLst>
        </c:ser>
        <c:ser>
          <c:idx val="46"/>
          <c:order val="46"/>
          <c:tx>
            <c:v>t=35</c:v>
          </c:tx>
          <c:spPr>
            <a:ln w="3175">
              <a:solidFill>
                <a:srgbClr val="3366FF"/>
              </a:solidFill>
              <a:prstDash val="solid"/>
            </a:ln>
          </c:spPr>
          <c:marker>
            <c:symbol val="none"/>
          </c:marker>
          <c:xVal>
            <c:numLit>
              <c:formatCode>General</c:formatCode>
              <c:ptCount val="2"/>
              <c:pt idx="0">
                <c:v>35</c:v>
              </c:pt>
              <c:pt idx="1">
                <c:v>34.05705765407555</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5-6C84-40E1-9E71-66AA7B3A55CA}"/>
            </c:ext>
          </c:extLst>
        </c:ser>
        <c:ser>
          <c:idx val="47"/>
          <c:order val="47"/>
          <c:tx>
            <c:v>t=36</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6-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36</c:v>
              </c:pt>
              <c:pt idx="1">
                <c:v>35.119920477137178</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7-6C84-40E1-9E71-66AA7B3A55CA}"/>
            </c:ext>
          </c:extLst>
        </c:ser>
        <c:ser>
          <c:idx val="48"/>
          <c:order val="48"/>
          <c:tx>
            <c:v>t=37</c:v>
          </c:tx>
          <c:spPr>
            <a:ln w="3175">
              <a:solidFill>
                <a:srgbClr val="3366FF"/>
              </a:solidFill>
              <a:prstDash val="solid"/>
            </a:ln>
          </c:spPr>
          <c:marker>
            <c:symbol val="none"/>
          </c:marker>
          <c:xVal>
            <c:numLit>
              <c:formatCode>General</c:formatCode>
              <c:ptCount val="2"/>
              <c:pt idx="0">
                <c:v>37</c:v>
              </c:pt>
              <c:pt idx="1">
                <c:v>36.182783300198807</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8-6C84-40E1-9E71-66AA7B3A55CA}"/>
            </c:ext>
          </c:extLst>
        </c:ser>
        <c:ser>
          <c:idx val="49"/>
          <c:order val="49"/>
          <c:tx>
            <c:v>t=38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9-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38</c:v>
              </c:pt>
              <c:pt idx="1">
                <c:v>37.245646123260443</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A-6C84-40E1-9E71-66AA7B3A55CA}"/>
            </c:ext>
          </c:extLst>
        </c:ser>
        <c:ser>
          <c:idx val="50"/>
          <c:order val="50"/>
          <c:tx>
            <c:v>t=39</c:v>
          </c:tx>
          <c:spPr>
            <a:ln w="3175">
              <a:solidFill>
                <a:srgbClr val="3366FF"/>
              </a:solidFill>
              <a:prstDash val="solid"/>
            </a:ln>
          </c:spPr>
          <c:marker>
            <c:symbol val="none"/>
          </c:marker>
          <c:xVal>
            <c:numLit>
              <c:formatCode>General</c:formatCode>
              <c:ptCount val="2"/>
              <c:pt idx="0">
                <c:v>39</c:v>
              </c:pt>
              <c:pt idx="1">
                <c:v>38.308508946322071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B-6C84-40E1-9E71-66AA7B3A55CA}"/>
            </c:ext>
          </c:extLst>
        </c:ser>
        <c:ser>
          <c:idx val="51"/>
          <c:order val="51"/>
          <c:tx>
            <c:v>t=40</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C-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40</c:v>
              </c:pt>
              <c:pt idx="1">
                <c:v>39.3713717693837</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D-6C84-40E1-9E71-66AA7B3A55CA}"/>
            </c:ext>
          </c:extLst>
        </c:ser>
        <c:ser>
          <c:idx val="52"/>
          <c:order val="52"/>
          <c:tx>
            <c:v>t=41</c:v>
          </c:tx>
          <c:spPr>
            <a:ln w="3175">
              <a:solidFill>
                <a:srgbClr val="3366FF"/>
              </a:solidFill>
              <a:prstDash val="solid"/>
            </a:ln>
          </c:spPr>
          <c:marker>
            <c:symbol val="none"/>
          </c:marker>
          <c:xVal>
            <c:numLit>
              <c:formatCode>General</c:formatCode>
              <c:ptCount val="2"/>
              <c:pt idx="0">
                <c:v>41</c:v>
              </c:pt>
              <c:pt idx="1">
                <c:v>40.434234592445328</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4E-6C84-40E1-9E71-66AA7B3A55CA}"/>
            </c:ext>
          </c:extLst>
        </c:ser>
        <c:ser>
          <c:idx val="53"/>
          <c:order val="53"/>
          <c:tx>
            <c:v>t=42</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4F-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42</c:v>
              </c:pt>
              <c:pt idx="1">
                <c:v>41.497097415506957</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0-6C84-40E1-9E71-66AA7B3A55CA}"/>
            </c:ext>
          </c:extLst>
        </c:ser>
        <c:ser>
          <c:idx val="54"/>
          <c:order val="54"/>
          <c:tx>
            <c:v>t=43</c:v>
          </c:tx>
          <c:spPr>
            <a:ln w="3175">
              <a:solidFill>
                <a:srgbClr val="3366FF"/>
              </a:solidFill>
              <a:prstDash val="solid"/>
            </a:ln>
          </c:spPr>
          <c:marker>
            <c:symbol val="none"/>
          </c:marker>
          <c:xVal>
            <c:numLit>
              <c:formatCode>General</c:formatCode>
              <c:ptCount val="2"/>
              <c:pt idx="0">
                <c:v>43</c:v>
              </c:pt>
              <c:pt idx="1">
                <c:v>42.559960238568586</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1-6C84-40E1-9E71-66AA7B3A55CA}"/>
            </c:ext>
          </c:extLst>
        </c:ser>
        <c:ser>
          <c:idx val="55"/>
          <c:order val="55"/>
          <c:tx>
            <c:v>t=44</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2-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44</c:v>
              </c:pt>
              <c:pt idx="1">
                <c:v>43.622823061630221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3-6C84-40E1-9E71-66AA7B3A55CA}"/>
            </c:ext>
          </c:extLst>
        </c:ser>
        <c:ser>
          <c:idx val="56"/>
          <c:order val="56"/>
          <c:tx>
            <c:v>t=45</c:v>
          </c:tx>
          <c:spPr>
            <a:ln w="3175">
              <a:solidFill>
                <a:srgbClr val="3366FF"/>
              </a:solidFill>
              <a:prstDash val="solid"/>
            </a:ln>
          </c:spPr>
          <c:marker>
            <c:symbol val="none"/>
          </c:marker>
          <c:xVal>
            <c:numLit>
              <c:formatCode>General</c:formatCode>
              <c:ptCount val="2"/>
              <c:pt idx="0">
                <c:v>45</c:v>
              </c:pt>
              <c:pt idx="1">
                <c:v>44.68568588469185</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4-6C84-40E1-9E71-66AA7B3A55CA}"/>
            </c:ext>
          </c:extLst>
        </c:ser>
        <c:ser>
          <c:idx val="57"/>
          <c:order val="57"/>
          <c:tx>
            <c:v>t=46</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5-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46</c:v>
              </c:pt>
              <c:pt idx="1">
                <c:v>45.748548707753478</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6-6C84-40E1-9E71-66AA7B3A55CA}"/>
            </c:ext>
          </c:extLst>
        </c:ser>
        <c:ser>
          <c:idx val="58"/>
          <c:order val="58"/>
          <c:tx>
            <c:v>t=47</c:v>
          </c:tx>
          <c:spPr>
            <a:ln w="3175">
              <a:solidFill>
                <a:srgbClr val="3366FF"/>
              </a:solidFill>
              <a:prstDash val="solid"/>
            </a:ln>
          </c:spPr>
          <c:marker>
            <c:symbol val="none"/>
          </c:marker>
          <c:xVal>
            <c:numLit>
              <c:formatCode>General</c:formatCode>
              <c:ptCount val="2"/>
              <c:pt idx="0">
                <c:v>47</c:v>
              </c:pt>
              <c:pt idx="1">
                <c:v>46.811411530815114</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7-6C84-40E1-9E71-66AA7B3A55CA}"/>
            </c:ext>
          </c:extLst>
        </c:ser>
        <c:ser>
          <c:idx val="59"/>
          <c:order val="59"/>
          <c:tx>
            <c:v>t=48</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8-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48</c:v>
              </c:pt>
              <c:pt idx="1">
                <c:v>47.874274353876743</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9-6C84-40E1-9E71-66AA7B3A55CA}"/>
            </c:ext>
          </c:extLst>
        </c:ser>
        <c:ser>
          <c:idx val="60"/>
          <c:order val="60"/>
          <c:tx>
            <c:v>t=49</c:v>
          </c:tx>
          <c:spPr>
            <a:ln w="3175">
              <a:solidFill>
                <a:srgbClr val="3366FF"/>
              </a:solidFill>
              <a:prstDash val="solid"/>
            </a:ln>
          </c:spPr>
          <c:marker>
            <c:symbol val="none"/>
          </c:marker>
          <c:xVal>
            <c:numLit>
              <c:formatCode>General</c:formatCode>
              <c:ptCount val="2"/>
              <c:pt idx="0">
                <c:v>49</c:v>
              </c:pt>
              <c:pt idx="1">
                <c:v>48.937137176938371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A-6C84-40E1-9E71-66AA7B3A55CA}"/>
            </c:ext>
          </c:extLst>
        </c:ser>
        <c:ser>
          <c:idx val="61"/>
          <c:order val="61"/>
          <c:tx>
            <c:v>t=50</c:v>
          </c:tx>
          <c:spPr>
            <a:ln w="3175">
              <a:solidFill>
                <a:srgbClr val="3366FF"/>
              </a:solidFill>
              <a:prstDash val="solid"/>
            </a:ln>
          </c:spPr>
          <c:marker>
            <c:symbol val="none"/>
          </c:marker>
          <c:dLbls>
            <c:dLbl>
              <c:idx val="0"/>
              <c:layout>
                <c:manualLayout>
                  <c:x val="-1.5625E-2"/>
                  <c:y val="1.3995726495726496E-2"/>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50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B-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50</c:v>
              </c:pt>
              <c:pt idx="1">
                <c:v>50.000000000000007</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C-6C84-40E1-9E71-66AA7B3A55CA}"/>
            </c:ext>
          </c:extLst>
        </c:ser>
        <c:ser>
          <c:idx val="62"/>
          <c:order val="62"/>
          <c:tx>
            <c:v/>
          </c:tx>
          <c:spPr>
            <a:ln w="3175">
              <a:solidFill>
                <a:srgbClr val="000000"/>
              </a:solidFill>
              <a:prstDash val="solid"/>
            </a:ln>
          </c:spPr>
          <c:marker>
            <c:symbol val="none"/>
          </c:marker>
          <c:xVal>
            <c:numLit>
              <c:formatCode>General</c:formatCode>
              <c:ptCount val="2"/>
              <c:pt idx="0">
                <c:v>-10.178000000000001</c:v>
              </c:pt>
              <c:pt idx="1">
                <c:v>-10.178000000000001</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D-6C84-40E1-9E71-66AA7B3A55CA}"/>
            </c:ext>
          </c:extLst>
        </c:ser>
        <c:ser>
          <c:idx val="63"/>
          <c:order val="63"/>
          <c:tx>
            <c:v/>
          </c:tx>
          <c:spPr>
            <a:ln w="3175">
              <a:solidFill>
                <a:srgbClr val="000000"/>
              </a:solidFill>
              <a:prstDash val="solid"/>
            </a:ln>
          </c:spPr>
          <c:marker>
            <c:symbol val="none"/>
          </c:marker>
          <c:xVal>
            <c:numLit>
              <c:formatCode>General</c:formatCode>
              <c:ptCount val="2"/>
              <c:pt idx="0">
                <c:v>50.8</c:v>
              </c:pt>
              <c:pt idx="1">
                <c:v>50.8</c:v>
              </c:pt>
            </c:numLit>
          </c:xVal>
          <c:yVal>
            <c:numLit>
              <c:formatCode>General</c:formatCode>
              <c:ptCount val="2"/>
              <c:pt idx="0">
                <c:v>0</c:v>
              </c:pt>
              <c:pt idx="1">
                <c:v>3.4000000000000002E-2</c:v>
              </c:pt>
            </c:numLit>
          </c:yVal>
          <c:smooth val="0"/>
          <c:extLst>
            <c:ext xmlns:c16="http://schemas.microsoft.com/office/drawing/2014/chart" uri="{C3380CC4-5D6E-409C-BE32-E72D297353CC}">
              <c16:uniqueId val="{0000005E-6C84-40E1-9E71-66AA7B3A55CA}"/>
            </c:ext>
          </c:extLst>
        </c:ser>
        <c:ser>
          <c:idx val="64"/>
          <c:order val="64"/>
          <c:tx>
            <c:v>乾球温度座標軸ラベル</c:v>
          </c:tx>
          <c:spPr>
            <a:ln w="3175">
              <a:solidFill>
                <a:srgbClr val="000000"/>
              </a:solidFill>
              <a:prstDash val="solid"/>
            </a:ln>
          </c:spPr>
          <c:marker>
            <c:symbol val="none"/>
          </c:marker>
          <c:dLbls>
            <c:dLbl>
              <c:idx val="0"/>
              <c:layout>
                <c:manualLayout>
                  <c:x val="-5.8711040026246782E-2"/>
                  <c:y val="2.6068376068376069E-2"/>
                </c:manualLayout>
              </c:layout>
              <c:tx>
                <c:rich>
                  <a:bodyPr rot="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乾球温度 </a:t>
                    </a:r>
                    <a:r>
                      <a:rPr lang="en-US"/>
                      <a:t>t[℃]</a:t>
                    </a:r>
                  </a:p>
                </c:rich>
              </c:tx>
              <c:spPr>
                <a:solidFill>
                  <a:srgbClr val="FFFFFF"/>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5F-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22</c:v>
              </c:pt>
            </c:numLit>
          </c:xVal>
          <c:yVal>
            <c:numLit>
              <c:formatCode>General</c:formatCode>
              <c:ptCount val="1"/>
              <c:pt idx="0">
                <c:v>-3.3333333333333332E-4</c:v>
              </c:pt>
            </c:numLit>
          </c:yVal>
          <c:smooth val="0"/>
          <c:extLst>
            <c:ext xmlns:c16="http://schemas.microsoft.com/office/drawing/2014/chart" uri="{C3380CC4-5D6E-409C-BE32-E72D297353CC}">
              <c16:uniqueId val="{00000060-6C84-40E1-9E71-66AA7B3A55CA}"/>
            </c:ext>
          </c:extLst>
        </c:ser>
        <c:ser>
          <c:idx val="65"/>
          <c:order val="65"/>
          <c:tx>
            <c:v>WB=-8</c:v>
          </c:tx>
          <c:spPr>
            <a:ln w="3175">
              <a:solidFill>
                <a:srgbClr val="3366FF"/>
              </a:solidFill>
              <a:prstDash val="sysDash"/>
            </a:ln>
          </c:spPr>
          <c:marker>
            <c:symbol val="none"/>
          </c:marker>
          <c:dLbls>
            <c:dLbl>
              <c:idx val="0"/>
              <c:layout>
                <c:manualLayout>
                  <c:x val="-2.730930118110237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-8</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1-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-8.2055155451094635</c:v>
              </c:pt>
              <c:pt idx="1">
                <c:v>-2.5964270935913616</c:v>
              </c:pt>
            </c:numLit>
          </c:xVal>
          <c:yVal>
            <c:numLit>
              <c:formatCode>General</c:formatCode>
              <c:ptCount val="2"/>
              <c:pt idx="0">
                <c:v>1.9164686538757729E-3</c:v>
              </c:pt>
              <c:pt idx="1">
                <c:v>0</c:v>
              </c:pt>
            </c:numLit>
          </c:yVal>
          <c:smooth val="0"/>
          <c:extLst>
            <c:ext xmlns:c16="http://schemas.microsoft.com/office/drawing/2014/chart" uri="{C3380CC4-5D6E-409C-BE32-E72D297353CC}">
              <c16:uniqueId val="{00000062-6C84-40E1-9E71-66AA7B3A55CA}"/>
            </c:ext>
          </c:extLst>
        </c:ser>
        <c:ser>
          <c:idx val="66"/>
          <c:order val="66"/>
          <c:tx>
            <c:v>WB=-7</c:v>
          </c:tx>
          <c:spPr>
            <a:ln w="3175">
              <a:solidFill>
                <a:srgbClr val="3366FF"/>
              </a:solidFill>
              <a:prstDash val="sysDash"/>
            </a:ln>
          </c:spPr>
          <c:marker>
            <c:symbol val="none"/>
          </c:marker>
          <c:dLbls>
            <c:dLbl>
              <c:idx val="0"/>
              <c:layout>
                <c:manualLayout>
                  <c:x val="-2.730930118110237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-7</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3-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-7.22041332968442</c:v>
              </c:pt>
              <c:pt idx="1">
                <c:v>-1.1035359511019402</c:v>
              </c:pt>
            </c:numLit>
          </c:xVal>
          <c:yVal>
            <c:numLit>
              <c:formatCode>General</c:formatCode>
              <c:ptCount val="2"/>
              <c:pt idx="0">
                <c:v>2.0914526472602013E-3</c:v>
              </c:pt>
              <c:pt idx="1">
                <c:v>0</c:v>
              </c:pt>
            </c:numLit>
          </c:yVal>
          <c:smooth val="0"/>
          <c:extLst>
            <c:ext xmlns:c16="http://schemas.microsoft.com/office/drawing/2014/chart" uri="{C3380CC4-5D6E-409C-BE32-E72D297353CC}">
              <c16:uniqueId val="{00000064-6C84-40E1-9E71-66AA7B3A55CA}"/>
            </c:ext>
          </c:extLst>
        </c:ser>
        <c:ser>
          <c:idx val="67"/>
          <c:order val="67"/>
          <c:tx>
            <c:v>WB=-6</c:v>
          </c:tx>
          <c:spPr>
            <a:ln w="3175">
              <a:solidFill>
                <a:srgbClr val="3366FF"/>
              </a:solidFill>
              <a:prstDash val="sysDash"/>
            </a:ln>
          </c:spPr>
          <c:marker>
            <c:symbol val="none"/>
          </c:marker>
          <c:dLbls>
            <c:dLbl>
              <c:idx val="0"/>
              <c:layout>
                <c:manualLayout>
                  <c:x val="-2.7309301181102377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5-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-6.2361685593886982</c:v>
              </c:pt>
              <c:pt idx="1">
                <c:v>0.43023773127142068</c:v>
              </c:pt>
            </c:numLit>
          </c:xVal>
          <c:yVal>
            <c:numLit>
              <c:formatCode>General</c:formatCode>
              <c:ptCount val="2"/>
              <c:pt idx="0">
                <c:v>2.2809674610698065E-3</c:v>
              </c:pt>
              <c:pt idx="1">
                <c:v>0</c:v>
              </c:pt>
            </c:numLit>
          </c:yVal>
          <c:smooth val="0"/>
          <c:extLst>
            <c:ext xmlns:c16="http://schemas.microsoft.com/office/drawing/2014/chart" uri="{C3380CC4-5D6E-409C-BE32-E72D297353CC}">
              <c16:uniqueId val="{00000066-6C84-40E1-9E71-66AA7B3A55CA}"/>
            </c:ext>
          </c:extLst>
        </c:ser>
        <c:ser>
          <c:idx val="68"/>
          <c:order val="68"/>
          <c:tx>
            <c:v>WB=-5</c:v>
          </c:tx>
          <c:spPr>
            <a:ln w="3175">
              <a:solidFill>
                <a:srgbClr val="3366FF"/>
              </a:solidFill>
              <a:prstDash val="sysDash"/>
            </a:ln>
          </c:spPr>
          <c:marker>
            <c:symbol val="none"/>
          </c:marker>
          <c:dLbls>
            <c:dLbl>
              <c:idx val="0"/>
              <c:layout>
                <c:manualLayout>
                  <c:x val="-2.7309301181102363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-5</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7-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-5.2528112525852375</c:v>
              </c:pt>
              <c:pt idx="1">
                <c:v>2.007950163121949</c:v>
              </c:pt>
            </c:numLit>
          </c:xVal>
          <c:yVal>
            <c:numLit>
              <c:formatCode>General</c:formatCode>
              <c:ptCount val="2"/>
              <c:pt idx="0">
                <c:v>2.4861008807502316E-3</c:v>
              </c:pt>
              <c:pt idx="1">
                <c:v>0</c:v>
              </c:pt>
            </c:numLit>
          </c:yVal>
          <c:smooth val="0"/>
          <c:extLst>
            <c:ext xmlns:c16="http://schemas.microsoft.com/office/drawing/2014/chart" uri="{C3380CC4-5D6E-409C-BE32-E72D297353CC}">
              <c16:uniqueId val="{00000068-6C84-40E1-9E71-66AA7B3A55CA}"/>
            </c:ext>
          </c:extLst>
        </c:ser>
        <c:ser>
          <c:idx val="69"/>
          <c:order val="69"/>
          <c:tx>
            <c:v>WB=-4</c:v>
          </c:tx>
          <c:spPr>
            <a:ln w="3175">
              <a:solidFill>
                <a:srgbClr val="3366FF"/>
              </a:solidFill>
              <a:prstDash val="sysDash"/>
            </a:ln>
          </c:spPr>
          <c:marker>
            <c:symbol val="none"/>
          </c:marker>
          <c:dLbls>
            <c:dLbl>
              <c:idx val="0"/>
              <c:layout>
                <c:manualLayout>
                  <c:x val="-2.7309301181102377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9-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-4.2703706848883494</c:v>
              </c:pt>
              <c:pt idx="1">
                <c:v>3.6328626927800842</c:v>
              </c:pt>
            </c:numLit>
          </c:xVal>
          <c:yVal>
            <c:numLit>
              <c:formatCode>General</c:formatCode>
              <c:ptCount val="2"/>
              <c:pt idx="0">
                <c:v>2.7080138291286308E-3</c:v>
              </c:pt>
              <c:pt idx="1">
                <c:v>0</c:v>
              </c:pt>
            </c:numLit>
          </c:yVal>
          <c:smooth val="0"/>
          <c:extLst>
            <c:ext xmlns:c16="http://schemas.microsoft.com/office/drawing/2014/chart" uri="{C3380CC4-5D6E-409C-BE32-E72D297353CC}">
              <c16:uniqueId val="{0000006A-6C84-40E1-9E71-66AA7B3A55CA}"/>
            </c:ext>
          </c:extLst>
        </c:ser>
        <c:ser>
          <c:idx val="70"/>
          <c:order val="70"/>
          <c:tx>
            <c:v>WB=-3</c:v>
          </c:tx>
          <c:spPr>
            <a:ln w="3175">
              <a:solidFill>
                <a:srgbClr val="3366FF"/>
              </a:solidFill>
              <a:prstDash val="sysDash"/>
            </a:ln>
          </c:spPr>
          <c:marker>
            <c:symbol val="none"/>
          </c:marker>
          <c:dLbls>
            <c:dLbl>
              <c:idx val="0"/>
              <c:layout>
                <c:manualLayout>
                  <c:x val="-2.7309301181102377E-2"/>
                  <c:y val="-4.2735042735044301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B-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-3.2888751544738279</c:v>
              </c:pt>
              <c:pt idx="1">
                <c:v>5.3084544187917393</c:v>
              </c:pt>
            </c:numLit>
          </c:xVal>
          <c:yVal>
            <c:numLit>
              <c:formatCode>General</c:formatCode>
              <c:ptCount val="2"/>
              <c:pt idx="0">
                <c:v>2.9479448711774276E-3</c:v>
              </c:pt>
              <c:pt idx="1">
                <c:v>0</c:v>
              </c:pt>
            </c:numLit>
          </c:yVal>
          <c:smooth val="0"/>
          <c:extLst>
            <c:ext xmlns:c16="http://schemas.microsoft.com/office/drawing/2014/chart" uri="{C3380CC4-5D6E-409C-BE32-E72D297353CC}">
              <c16:uniqueId val="{0000006C-6C84-40E1-9E71-66AA7B3A55CA}"/>
            </c:ext>
          </c:extLst>
        </c:ser>
        <c:ser>
          <c:idx val="71"/>
          <c:order val="71"/>
          <c:tx>
            <c:v>WB=-2</c:v>
          </c:tx>
          <c:spPr>
            <a:ln w="3175">
              <a:solidFill>
                <a:srgbClr val="3366FF"/>
              </a:solidFill>
              <a:prstDash val="sysDash"/>
            </a:ln>
          </c:spPr>
          <c:marker>
            <c:symbol val="none"/>
          </c:marker>
          <c:dLbls>
            <c:dLbl>
              <c:idx val="0"/>
              <c:layout>
                <c:manualLayout>
                  <c:x val="-2.7309301181102363E-2"/>
                  <c:y val="-4.2735042735044301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D-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-2.3083517242375029</c:v>
              </c:pt>
              <c:pt idx="1">
                <c:v>7.0384355813391366</c:v>
              </c:pt>
            </c:numLit>
          </c:xVal>
          <c:yVal>
            <c:numLit>
              <c:formatCode>General</c:formatCode>
              <c:ptCount val="2"/>
              <c:pt idx="0">
                <c:v>3.2072149977556683E-3</c:v>
              </c:pt>
              <c:pt idx="1">
                <c:v>0</c:v>
              </c:pt>
            </c:numLit>
          </c:yVal>
          <c:smooth val="0"/>
          <c:extLst>
            <c:ext xmlns:c16="http://schemas.microsoft.com/office/drawing/2014/chart" uri="{C3380CC4-5D6E-409C-BE32-E72D297353CC}">
              <c16:uniqueId val="{0000006E-6C84-40E1-9E71-66AA7B3A55CA}"/>
            </c:ext>
          </c:extLst>
        </c:ser>
        <c:ser>
          <c:idx val="72"/>
          <c:order val="72"/>
          <c:tx>
            <c:v>WB=-1</c:v>
          </c:tx>
          <c:spPr>
            <a:ln w="3175">
              <a:solidFill>
                <a:srgbClr val="3366FF"/>
              </a:solidFill>
              <a:prstDash val="sysDash"/>
            </a:ln>
          </c:spPr>
          <c:marker>
            <c:symbol val="none"/>
          </c:marker>
          <c:dLbls>
            <c:dLbl>
              <c:idx val="0"/>
              <c:layout>
                <c:manualLayout>
                  <c:x val="-2.7309301181102363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6F-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-1.3288259391909207</c:v>
              </c:pt>
              <c:pt idx="1">
                <c:v>8.8267617928991733</c:v>
              </c:pt>
            </c:numLit>
          </c:xVal>
          <c:yVal>
            <c:numLit>
              <c:formatCode>General</c:formatCode>
              <c:ptCount val="2"/>
              <c:pt idx="0">
                <c:v>3.4872327095305327E-3</c:v>
              </c:pt>
              <c:pt idx="1">
                <c:v>0</c:v>
              </c:pt>
            </c:numLit>
          </c:yVal>
          <c:smooth val="0"/>
          <c:extLst>
            <c:ext xmlns:c16="http://schemas.microsoft.com/office/drawing/2014/chart" uri="{C3380CC4-5D6E-409C-BE32-E72D297353CC}">
              <c16:uniqueId val="{00000070-6C84-40E1-9E71-66AA7B3A55CA}"/>
            </c:ext>
          </c:extLst>
        </c:ser>
        <c:ser>
          <c:idx val="73"/>
          <c:order val="73"/>
          <c:tx>
            <c:v>WB=0</c:v>
          </c:tx>
          <c:spPr>
            <a:ln w="3175">
              <a:solidFill>
                <a:srgbClr val="3366FF"/>
              </a:solidFill>
              <a:prstDash val="sysDash"/>
            </a:ln>
          </c:spPr>
          <c:marker>
            <c:symbol val="none"/>
          </c:marker>
          <c:dLbls>
            <c:dLbl>
              <c:idx val="0"/>
              <c:layout>
                <c:manualLayout>
                  <c:x val="-2.6025399168853925E-2"/>
                  <c:y val="-4.2735042735042739E-3"/>
                </c:manualLayout>
              </c:layout>
              <c:tx>
                <c:rich>
                  <a:bodyPr rot="-390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1-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-0.35032151737137113</c:v>
              </c:pt>
              <c:pt idx="1">
                <c:v>10.677649173557942</c:v>
              </c:pt>
            </c:numLit>
          </c:xVal>
          <c:yVal>
            <c:numLit>
              <c:formatCode>General</c:formatCode>
              <c:ptCount val="2"/>
              <c:pt idx="0">
                <c:v>3.7894994244688104E-3</c:v>
              </c:pt>
              <c:pt idx="1">
                <c:v>0</c:v>
              </c:pt>
            </c:numLit>
          </c:yVal>
          <c:smooth val="0"/>
          <c:extLst>
            <c:ext xmlns:c16="http://schemas.microsoft.com/office/drawing/2014/chart" uri="{C3380CC4-5D6E-409C-BE32-E72D297353CC}">
              <c16:uniqueId val="{00000072-6C84-40E1-9E71-66AA7B3A55CA}"/>
            </c:ext>
          </c:extLst>
        </c:ser>
        <c:ser>
          <c:idx val="74"/>
          <c:order val="74"/>
          <c:tx>
            <c:v>WB=1</c:v>
          </c:tx>
          <c:spPr>
            <a:ln w="3175">
              <a:solidFill>
                <a:srgbClr val="3366FF"/>
              </a:solidFill>
              <a:prstDash val="sysDash"/>
            </a:ln>
          </c:spPr>
          <c:marker>
            <c:symbol val="none"/>
          </c:marker>
          <c:dLbls>
            <c:dLbl>
              <c:idx val="0"/>
              <c:layout>
                <c:manualLayout>
                  <c:x val="-2.6166338582677195E-2"/>
                  <c:y val="-4.2735042735044301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3-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0.63072878902048002</c:v>
              </c:pt>
              <c:pt idx="1">
                <c:v>11.123857513967971</c:v>
              </c:pt>
            </c:numLit>
          </c:xVal>
          <c:yVal>
            <c:numLit>
              <c:formatCode>General</c:formatCode>
              <c:ptCount val="2"/>
              <c:pt idx="0">
                <c:v>4.076002175174424E-3</c:v>
              </c:pt>
              <c:pt idx="1">
                <c:v>0</c:v>
              </c:pt>
            </c:numLit>
          </c:yVal>
          <c:smooth val="0"/>
          <c:extLst>
            <c:ext xmlns:c16="http://schemas.microsoft.com/office/drawing/2014/chart" uri="{C3380CC4-5D6E-409C-BE32-E72D297353CC}">
              <c16:uniqueId val="{00000074-6C84-40E1-9E71-66AA7B3A55CA}"/>
            </c:ext>
          </c:extLst>
        </c:ser>
        <c:ser>
          <c:idx val="75"/>
          <c:order val="75"/>
          <c:tx>
            <c:v>WB=2</c:v>
          </c:tx>
          <c:spPr>
            <a:ln w="3175">
              <a:solidFill>
                <a:srgbClr val="3366FF"/>
              </a:solidFill>
              <a:prstDash val="sysDash"/>
            </a:ln>
          </c:spPr>
          <c:marker>
            <c:symbol val="none"/>
          </c:marker>
          <c:dLbls>
            <c:dLbl>
              <c:idx val="0"/>
              <c:layout>
                <c:manualLayout>
                  <c:x val="-2.6166338582677164E-2"/>
                  <c:y val="-4.2735042735044301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5-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1.6111719572746135</c:v>
              </c:pt>
              <c:pt idx="1">
                <c:v>12.871977002704231</c:v>
              </c:pt>
            </c:numLit>
          </c:xVal>
          <c:yVal>
            <c:numLit>
              <c:formatCode>General</c:formatCode>
              <c:ptCount val="2"/>
              <c:pt idx="0">
                <c:v>4.3812837251538872E-3</c:v>
              </c:pt>
              <c:pt idx="1">
                <c:v>0</c:v>
              </c:pt>
            </c:numLit>
          </c:yVal>
          <c:smooth val="0"/>
          <c:extLst>
            <c:ext xmlns:c16="http://schemas.microsoft.com/office/drawing/2014/chart" uri="{C3380CC4-5D6E-409C-BE32-E72D297353CC}">
              <c16:uniqueId val="{00000076-6C84-40E1-9E71-66AA7B3A55CA}"/>
            </c:ext>
          </c:extLst>
        </c:ser>
        <c:ser>
          <c:idx val="76"/>
          <c:order val="76"/>
          <c:tx>
            <c:v>WB=3</c:v>
          </c:tx>
          <c:spPr>
            <a:ln w="3175">
              <a:solidFill>
                <a:srgbClr val="3366FF"/>
              </a:solidFill>
              <a:prstDash val="sysDash"/>
            </a:ln>
          </c:spPr>
          <c:marker>
            <c:symbol val="none"/>
          </c:marker>
          <c:dLbls>
            <c:dLbl>
              <c:idx val="0"/>
              <c:layout>
                <c:manualLayout>
                  <c:x val="-2.6166338582677164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7-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2.5909827527240186</c:v>
              </c:pt>
              <c:pt idx="1">
                <c:v>14.668931744288928</c:v>
              </c:pt>
            </c:numLit>
          </c:xVal>
          <c:yVal>
            <c:numLit>
              <c:formatCode>General</c:formatCode>
              <c:ptCount val="2"/>
              <c:pt idx="0">
                <c:v>4.7068331132422495E-3</c:v>
              </c:pt>
              <c:pt idx="1">
                <c:v>0</c:v>
              </c:pt>
            </c:numLit>
          </c:yVal>
          <c:smooth val="0"/>
          <c:extLst>
            <c:ext xmlns:c16="http://schemas.microsoft.com/office/drawing/2014/chart" uri="{C3380CC4-5D6E-409C-BE32-E72D297353CC}">
              <c16:uniqueId val="{00000078-6C84-40E1-9E71-66AA7B3A55CA}"/>
            </c:ext>
          </c:extLst>
        </c:ser>
        <c:ser>
          <c:idx val="77"/>
          <c:order val="77"/>
          <c:tx>
            <c:v>WB=4</c:v>
          </c:tx>
          <c:spPr>
            <a:ln w="3175">
              <a:solidFill>
                <a:srgbClr val="3366FF"/>
              </a:solidFill>
              <a:prstDash val="sysDash"/>
            </a:ln>
          </c:spPr>
          <c:marker>
            <c:symbol val="none"/>
          </c:marker>
          <c:dLbls>
            <c:dLbl>
              <c:idx val="0"/>
              <c:layout>
                <c:manualLayout>
                  <c:x val="-2.6166338582677164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4</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9-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3.5701735744985212</c:v>
              </c:pt>
              <c:pt idx="1">
                <c:v>16.517493982191819</c:v>
              </c:pt>
            </c:numLit>
          </c:xVal>
          <c:yVal>
            <c:numLit>
              <c:formatCode>General</c:formatCode>
              <c:ptCount val="2"/>
              <c:pt idx="0">
                <c:v>5.0538263680982628E-3</c:v>
              </c:pt>
              <c:pt idx="1">
                <c:v>0</c:v>
              </c:pt>
            </c:numLit>
          </c:yVal>
          <c:smooth val="0"/>
          <c:extLst>
            <c:ext xmlns:c16="http://schemas.microsoft.com/office/drawing/2014/chart" uri="{C3380CC4-5D6E-409C-BE32-E72D297353CC}">
              <c16:uniqueId val="{0000007A-6C84-40E1-9E71-66AA7B3A55CA}"/>
            </c:ext>
          </c:extLst>
        </c:ser>
        <c:ser>
          <c:idx val="78"/>
          <c:order val="78"/>
          <c:tx>
            <c:v>WB=5</c:v>
          </c:tx>
          <c:spPr>
            <a:ln w="3175">
              <a:solidFill>
                <a:srgbClr val="3366FF"/>
              </a:solidFill>
              <a:prstDash val="sysDash"/>
            </a:ln>
          </c:spPr>
          <c:marker>
            <c:symbol val="none"/>
          </c:marker>
          <c:dLbls>
            <c:dLbl>
              <c:idx val="0"/>
              <c:layout>
                <c:manualLayout>
                  <c:x val="-2.6166338582677195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5</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B-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4.5487605635344499</c:v>
              </c:pt>
              <c:pt idx="1">
                <c:v>18.420572472571656</c:v>
              </c:pt>
            </c:numLit>
          </c:xVal>
          <c:yVal>
            <c:numLit>
              <c:formatCode>General</c:formatCode>
              <c:ptCount val="2"/>
              <c:pt idx="0">
                <c:v>5.4234990810554818E-3</c:v>
              </c:pt>
              <c:pt idx="1">
                <c:v>0</c:v>
              </c:pt>
            </c:numLit>
          </c:yVal>
          <c:smooth val="0"/>
          <c:extLst>
            <c:ext xmlns:c16="http://schemas.microsoft.com/office/drawing/2014/chart" uri="{C3380CC4-5D6E-409C-BE32-E72D297353CC}">
              <c16:uniqueId val="{0000007C-6C84-40E1-9E71-66AA7B3A55CA}"/>
            </c:ext>
          </c:extLst>
        </c:ser>
        <c:ser>
          <c:idx val="79"/>
          <c:order val="79"/>
          <c:tx>
            <c:v>WB=6</c:v>
          </c:tx>
          <c:spPr>
            <a:ln w="3175">
              <a:solidFill>
                <a:srgbClr val="3366FF"/>
              </a:solidFill>
              <a:prstDash val="sysDash"/>
            </a:ln>
          </c:spPr>
          <c:marker>
            <c:symbol val="none"/>
          </c:marker>
          <c:dLbls>
            <c:dLbl>
              <c:idx val="0"/>
              <c:layout>
                <c:manualLayout>
                  <c:x val="-2.6166338582677164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6</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D-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5.5267544089063207</c:v>
              </c:pt>
              <c:pt idx="1">
                <c:v>20.381507916128903</c:v>
              </c:pt>
            </c:numLit>
          </c:xVal>
          <c:yVal>
            <c:numLit>
              <c:formatCode>General</c:formatCode>
              <c:ptCount val="2"/>
              <c:pt idx="0">
                <c:v>5.8172661857312045E-3</c:v>
              </c:pt>
              <c:pt idx="1">
                <c:v>0</c:v>
              </c:pt>
            </c:numLit>
          </c:yVal>
          <c:smooth val="0"/>
          <c:extLst>
            <c:ext xmlns:c16="http://schemas.microsoft.com/office/drawing/2014/chart" uri="{C3380CC4-5D6E-409C-BE32-E72D297353CC}">
              <c16:uniqueId val="{0000007E-6C84-40E1-9E71-66AA7B3A55CA}"/>
            </c:ext>
          </c:extLst>
        </c:ser>
        <c:ser>
          <c:idx val="80"/>
          <c:order val="80"/>
          <c:tx>
            <c:v>WB=7</c:v>
          </c:tx>
          <c:spPr>
            <a:ln w="3175">
              <a:solidFill>
                <a:srgbClr val="3366FF"/>
              </a:solidFill>
              <a:prstDash val="sysDash"/>
            </a:ln>
          </c:spPr>
          <c:marker>
            <c:symbol val="none"/>
          </c:marker>
          <c:dLbls>
            <c:dLbl>
              <c:idx val="0"/>
              <c:layout>
                <c:manualLayout>
                  <c:x val="-2.6166338582677195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7</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7F-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6.5041883174927406</c:v>
              </c:pt>
              <c:pt idx="1">
                <c:v>22.403253465067159</c:v>
              </c:pt>
            </c:numLit>
          </c:xVal>
          <c:yVal>
            <c:numLit>
              <c:formatCode>General</c:formatCode>
              <c:ptCount val="2"/>
              <c:pt idx="0">
                <c:v>6.236391005280101E-3</c:v>
              </c:pt>
              <c:pt idx="1">
                <c:v>0</c:v>
              </c:pt>
            </c:numLit>
          </c:yVal>
          <c:smooth val="0"/>
          <c:extLst>
            <c:ext xmlns:c16="http://schemas.microsoft.com/office/drawing/2014/chart" uri="{C3380CC4-5D6E-409C-BE32-E72D297353CC}">
              <c16:uniqueId val="{00000080-6C84-40E1-9E71-66AA7B3A55CA}"/>
            </c:ext>
          </c:extLst>
        </c:ser>
        <c:ser>
          <c:idx val="81"/>
          <c:order val="81"/>
          <c:tx>
            <c:v>WB=8</c:v>
          </c:tx>
          <c:spPr>
            <a:ln w="3175">
              <a:solidFill>
                <a:srgbClr val="3366FF"/>
              </a:solidFill>
              <a:prstDash val="sysDash"/>
            </a:ln>
          </c:spPr>
          <c:marker>
            <c:symbol val="none"/>
          </c:marker>
          <c:dLbls>
            <c:dLbl>
              <c:idx val="0"/>
              <c:layout>
                <c:manualLayout>
                  <c:x val="-2.6166338582677164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8</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1-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7.481091633037142</c:v>
              </c:pt>
              <c:pt idx="1">
                <c:v>24.489170236580446</c:v>
              </c:pt>
            </c:numLit>
          </c:xVal>
          <c:yVal>
            <c:numLit>
              <c:formatCode>General</c:formatCode>
              <c:ptCount val="2"/>
              <c:pt idx="0">
                <c:v>6.6823069273506883E-3</c:v>
              </c:pt>
              <c:pt idx="1">
                <c:v>0</c:v>
              </c:pt>
            </c:numLit>
          </c:yVal>
          <c:smooth val="0"/>
          <c:extLst>
            <c:ext xmlns:c16="http://schemas.microsoft.com/office/drawing/2014/chart" uri="{C3380CC4-5D6E-409C-BE32-E72D297353CC}">
              <c16:uniqueId val="{00000082-6C84-40E1-9E71-66AA7B3A55CA}"/>
            </c:ext>
          </c:extLst>
        </c:ser>
        <c:ser>
          <c:idx val="82"/>
          <c:order val="82"/>
          <c:tx>
            <c:v>WB=9</c:v>
          </c:tx>
          <c:spPr>
            <a:ln w="3175">
              <a:solidFill>
                <a:srgbClr val="3366FF"/>
              </a:solidFill>
              <a:prstDash val="sysDash"/>
            </a:ln>
          </c:spPr>
          <c:marker>
            <c:symbol val="none"/>
          </c:marker>
          <c:dLbls>
            <c:dLbl>
              <c:idx val="0"/>
              <c:layout>
                <c:manualLayout>
                  <c:x val="-2.616633858267723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9</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3-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8.4574988517709855</c:v>
              </c:pt>
              <c:pt idx="1">
                <c:v>26.642783276734082</c:v>
              </c:pt>
            </c:numLit>
          </c:xVal>
          <c:yVal>
            <c:numLit>
              <c:formatCode>General</c:formatCode>
              <c:ptCount val="2"/>
              <c:pt idx="0">
                <c:v>7.156519212147776E-3</c:v>
              </c:pt>
              <c:pt idx="1">
                <c:v>0</c:v>
              </c:pt>
            </c:numLit>
          </c:yVal>
          <c:smooth val="0"/>
          <c:extLst>
            <c:ext xmlns:c16="http://schemas.microsoft.com/office/drawing/2014/chart" uri="{C3380CC4-5D6E-409C-BE32-E72D297353CC}">
              <c16:uniqueId val="{00000084-6C84-40E1-9E71-66AA7B3A55CA}"/>
            </c:ext>
          </c:extLst>
        </c:ser>
        <c:ser>
          <c:idx val="83"/>
          <c:order val="83"/>
          <c:tx>
            <c:v>WB=10</c:v>
          </c:tx>
          <c:spPr>
            <a:ln w="3175">
              <a:solidFill>
                <a:srgbClr val="3366FF"/>
              </a:solidFill>
              <a:prstDash val="sysDash"/>
            </a:ln>
          </c:spPr>
          <c:marker>
            <c:symbol val="none"/>
          </c:marker>
          <c:dLbls>
            <c:dLbl>
              <c:idx val="0"/>
              <c:layout>
                <c:manualLayout>
                  <c:x val="-2.7592683727034186E-2"/>
                  <c:y val="-4.273504273504195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10</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5-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9.4334500278774112</c:v>
              </c:pt>
              <c:pt idx="1">
                <c:v>28.867789353857855</c:v>
              </c:pt>
            </c:numLit>
          </c:xVal>
          <c:yVal>
            <c:numLit>
              <c:formatCode>General</c:formatCode>
              <c:ptCount val="2"/>
              <c:pt idx="0">
                <c:v>7.6606084940231836E-3</c:v>
              </c:pt>
              <c:pt idx="1">
                <c:v>0</c:v>
              </c:pt>
            </c:numLit>
          </c:yVal>
          <c:smooth val="0"/>
          <c:extLst>
            <c:ext xmlns:c16="http://schemas.microsoft.com/office/drawing/2014/chart" uri="{C3380CC4-5D6E-409C-BE32-E72D297353CC}">
              <c16:uniqueId val="{00000086-6C84-40E1-9E71-66AA7B3A55CA}"/>
            </c:ext>
          </c:extLst>
        </c:ser>
        <c:ser>
          <c:idx val="84"/>
          <c:order val="84"/>
          <c:tx>
            <c:v>WB=11</c:v>
          </c:tx>
          <c:spPr>
            <a:ln w="3175">
              <a:solidFill>
                <a:srgbClr val="3366FF"/>
              </a:solidFill>
              <a:prstDash val="sysDash"/>
            </a:ln>
          </c:spPr>
          <c:marker>
            <c:symbol val="none"/>
          </c:marker>
          <c:dLbls>
            <c:dLbl>
              <c:idx val="0"/>
              <c:layout>
                <c:manualLayout>
                  <c:x val="-2.759268372703412E-2"/>
                  <c:y val="-4.273504273504352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7-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10.408979273270996</c:v>
              </c:pt>
              <c:pt idx="1">
                <c:v>31.168472308176845</c:v>
              </c:pt>
            </c:numLit>
          </c:xVal>
          <c:yVal>
            <c:numLit>
              <c:formatCode>General</c:formatCode>
              <c:ptCount val="2"/>
              <c:pt idx="0">
                <c:v>8.196399932304619E-3</c:v>
              </c:pt>
              <c:pt idx="1">
                <c:v>0</c:v>
              </c:pt>
            </c:numLit>
          </c:yVal>
          <c:smooth val="0"/>
          <c:extLst>
            <c:ext xmlns:c16="http://schemas.microsoft.com/office/drawing/2014/chart" uri="{C3380CC4-5D6E-409C-BE32-E72D297353CC}">
              <c16:uniqueId val="{00000088-6C84-40E1-9E71-66AA7B3A55CA}"/>
            </c:ext>
          </c:extLst>
        </c:ser>
        <c:ser>
          <c:idx val="85"/>
          <c:order val="85"/>
          <c:tx>
            <c:v>WB=12</c:v>
          </c:tx>
          <c:spPr>
            <a:ln w="3175">
              <a:solidFill>
                <a:srgbClr val="3366FF"/>
              </a:solidFill>
              <a:prstDash val="sysDash"/>
            </a:ln>
          </c:spPr>
          <c:marker>
            <c:symbol val="none"/>
          </c:marker>
          <c:dLbls>
            <c:dLbl>
              <c:idx val="0"/>
              <c:layout>
                <c:manualLayout>
                  <c:x val="-2.7592683727034186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9-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11.384149975978485</c:v>
              </c:pt>
              <c:pt idx="1">
                <c:v>33.548547031795728</c:v>
              </c:pt>
            </c:numLit>
          </c:xVal>
          <c:yVal>
            <c:numLit>
              <c:formatCode>General</c:formatCode>
              <c:ptCount val="2"/>
              <c:pt idx="0">
                <c:v>8.7654941166616391E-3</c:v>
              </c:pt>
              <c:pt idx="1">
                <c:v>0</c:v>
              </c:pt>
            </c:numLit>
          </c:yVal>
          <c:smooth val="0"/>
          <c:extLst>
            <c:ext xmlns:c16="http://schemas.microsoft.com/office/drawing/2014/chart" uri="{C3380CC4-5D6E-409C-BE32-E72D297353CC}">
              <c16:uniqueId val="{0000008A-6C84-40E1-9E71-66AA7B3A55CA}"/>
            </c:ext>
          </c:extLst>
        </c:ser>
        <c:ser>
          <c:idx val="86"/>
          <c:order val="86"/>
          <c:tx>
            <c:v>WB=13</c:v>
          </c:tx>
          <c:spPr>
            <a:ln w="3175">
              <a:solidFill>
                <a:srgbClr val="3366FF"/>
              </a:solidFill>
              <a:prstDash val="sysDash"/>
            </a:ln>
          </c:spPr>
          <c:marker>
            <c:symbol val="none"/>
          </c:marker>
          <c:dLbls>
            <c:dLbl>
              <c:idx val="0"/>
              <c:layout>
                <c:manualLayout>
                  <c:x val="-2.759268372703412E-2"/>
                  <c:y val="-4.273504273504352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B-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12.359021518730225</c:v>
              </c:pt>
              <c:pt idx="1">
                <c:v>36.012282393767372</c:v>
              </c:pt>
            </c:numLit>
          </c:xVal>
          <c:yVal>
            <c:numLit>
              <c:formatCode>General</c:formatCode>
              <c:ptCount val="2"/>
              <c:pt idx="0">
                <c:v>9.3697232222812125E-3</c:v>
              </c:pt>
              <c:pt idx="1">
                <c:v>0</c:v>
              </c:pt>
            </c:numLit>
          </c:yVal>
          <c:smooth val="0"/>
          <c:extLst>
            <c:ext xmlns:c16="http://schemas.microsoft.com/office/drawing/2014/chart" uri="{C3380CC4-5D6E-409C-BE32-E72D297353CC}">
              <c16:uniqueId val="{0000008C-6C84-40E1-9E71-66AA7B3A55CA}"/>
            </c:ext>
          </c:extLst>
        </c:ser>
        <c:ser>
          <c:idx val="87"/>
          <c:order val="87"/>
          <c:tx>
            <c:v>WB=14</c:v>
          </c:tx>
          <c:spPr>
            <a:ln w="3175">
              <a:solidFill>
                <a:srgbClr val="3366FF"/>
              </a:solidFill>
              <a:prstDash val="sysDash"/>
            </a:ln>
          </c:spPr>
          <c:marker>
            <c:symbol val="none"/>
          </c:marker>
          <c:dLbls>
            <c:dLbl>
              <c:idx val="0"/>
              <c:layout>
                <c:manualLayout>
                  <c:x val="-2.759268372703412E-2"/>
                  <c:y val="-4.273504273504352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14</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D-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13.333660721764184</c:v>
              </c:pt>
              <c:pt idx="1">
                <c:v>38.564155654290701</c:v>
              </c:pt>
            </c:numLit>
          </c:xVal>
          <c:yVal>
            <c:numLit>
              <c:formatCode>General</c:formatCode>
              <c:ptCount val="2"/>
              <c:pt idx="0">
                <c:v>1.0011011259038697E-2</c:v>
              </c:pt>
              <c:pt idx="1">
                <c:v>0</c:v>
              </c:pt>
            </c:numLit>
          </c:yVal>
          <c:smooth val="0"/>
          <c:extLst>
            <c:ext xmlns:c16="http://schemas.microsoft.com/office/drawing/2014/chart" uri="{C3380CC4-5D6E-409C-BE32-E72D297353CC}">
              <c16:uniqueId val="{0000008E-6C84-40E1-9E71-66AA7B3A55CA}"/>
            </c:ext>
          </c:extLst>
        </c:ser>
        <c:ser>
          <c:idx val="88"/>
          <c:order val="88"/>
          <c:tx>
            <c:v>WB=15</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15</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8F-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14.308142384050468</c:v>
              </c:pt>
              <c:pt idx="1">
                <c:v>41.208863060972398</c:v>
              </c:pt>
            </c:numLit>
          </c:xVal>
          <c:yVal>
            <c:numLit>
              <c:formatCode>General</c:formatCode>
              <c:ptCount val="2"/>
              <c:pt idx="0">
                <c:v>1.0691378827115674E-2</c:v>
              </c:pt>
              <c:pt idx="1">
                <c:v>0</c:v>
              </c:pt>
            </c:numLit>
          </c:yVal>
          <c:smooth val="0"/>
          <c:extLst>
            <c:ext xmlns:c16="http://schemas.microsoft.com/office/drawing/2014/chart" uri="{C3380CC4-5D6E-409C-BE32-E72D297353CC}">
              <c16:uniqueId val="{00000090-6C84-40E1-9E71-66AA7B3A55CA}"/>
            </c:ext>
          </c:extLst>
        </c:ser>
        <c:ser>
          <c:idx val="89"/>
          <c:order val="89"/>
          <c:tx>
            <c:v>WB=16</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16</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91-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15.28254985732468</c:v>
              </c:pt>
              <c:pt idx="1">
                <c:v>43.951331156248742</c:v>
              </c:pt>
            </c:numLit>
          </c:xVal>
          <c:yVal>
            <c:numLit>
              <c:formatCode>General</c:formatCode>
              <c:ptCount val="2"/>
              <c:pt idx="0">
                <c:v>1.1412948189933141E-2</c:v>
              </c:pt>
              <c:pt idx="1">
                <c:v>0</c:v>
              </c:pt>
            </c:numLit>
          </c:yVal>
          <c:smooth val="0"/>
          <c:extLst>
            <c:ext xmlns:c16="http://schemas.microsoft.com/office/drawing/2014/chart" uri="{C3380CC4-5D6E-409C-BE32-E72D297353CC}">
              <c16:uniqueId val="{00000092-6C84-40E1-9E71-66AA7B3A55CA}"/>
            </c:ext>
          </c:extLst>
        </c:ser>
        <c:ser>
          <c:idx val="90"/>
          <c:order val="90"/>
          <c:tx>
            <c:v>WB=17</c:v>
          </c:tx>
          <c:spPr>
            <a:ln w="3175">
              <a:solidFill>
                <a:srgbClr val="3366FF"/>
              </a:solidFill>
              <a:prstDash val="sysDash"/>
            </a:ln>
          </c:spPr>
          <c:marker>
            <c:symbol val="none"/>
          </c:marker>
          <c:dLbls>
            <c:dLbl>
              <c:idx val="0"/>
              <c:layout>
                <c:manualLayout>
                  <c:x val="-2.759268372703412E-2"/>
                  <c:y val="-4.273504273504352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17</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93-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16.256975655314989</c:v>
              </c:pt>
              <c:pt idx="1">
                <c:v>46.796728859883913</c:v>
              </c:pt>
            </c:numLit>
          </c:xVal>
          <c:yVal>
            <c:numLit>
              <c:formatCode>General</c:formatCode>
              <c:ptCount val="2"/>
              <c:pt idx="0">
                <c:v>1.2177948692621697E-2</c:v>
              </c:pt>
              <c:pt idx="1">
                <c:v>0</c:v>
              </c:pt>
            </c:numLit>
          </c:yVal>
          <c:smooth val="0"/>
          <c:extLst>
            <c:ext xmlns:c16="http://schemas.microsoft.com/office/drawing/2014/chart" uri="{C3380CC4-5D6E-409C-BE32-E72D297353CC}">
              <c16:uniqueId val="{00000094-6C84-40E1-9E71-66AA7B3A55CA}"/>
            </c:ext>
          </c:extLst>
        </c:ser>
        <c:ser>
          <c:idx val="91"/>
          <c:order val="91"/>
          <c:tx>
            <c:v>WB=18</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18</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95-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17.231522100796575</c:v>
              </c:pt>
              <c:pt idx="1">
                <c:v>49.750480396907207</c:v>
              </c:pt>
            </c:numLit>
          </c:xVal>
          <c:yVal>
            <c:numLit>
              <c:formatCode>General</c:formatCode>
              <c:ptCount val="2"/>
              <c:pt idx="0">
                <c:v>1.29887225571009E-2</c:v>
              </c:pt>
              <c:pt idx="1">
                <c:v>0</c:v>
              </c:pt>
            </c:numLit>
          </c:yVal>
          <c:smooth val="0"/>
          <c:extLst>
            <c:ext xmlns:c16="http://schemas.microsoft.com/office/drawing/2014/chart" uri="{C3380CC4-5D6E-409C-BE32-E72D297353CC}">
              <c16:uniqueId val="{00000096-6C84-40E1-9E71-66AA7B3A55CA}"/>
            </c:ext>
          </c:extLst>
        </c:ser>
        <c:ser>
          <c:idx val="92"/>
          <c:order val="92"/>
          <c:tx>
            <c:v>WB=19</c:v>
          </c:tx>
          <c:spPr>
            <a:ln w="3175">
              <a:solidFill>
                <a:srgbClr val="3366FF"/>
              </a:solidFill>
              <a:prstDash val="sysDash"/>
            </a:ln>
          </c:spPr>
          <c:marker>
            <c:symbol val="none"/>
          </c:marker>
          <c:dLbls>
            <c:dLbl>
              <c:idx val="0"/>
              <c:layout>
                <c:manualLayout>
                  <c:x val="-2.7592683727034186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19</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97-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18.206302013385113</c:v>
              </c:pt>
              <c:pt idx="1">
                <c:v>50.000000000000007</c:v>
              </c:pt>
            </c:numLit>
          </c:xVal>
          <c:yVal>
            <c:numLit>
              <c:formatCode>General</c:formatCode>
              <c:ptCount val="2"/>
              <c:pt idx="0">
                <c:v>1.3847731088008679E-2</c:v>
              </c:pt>
              <c:pt idx="1">
                <c:v>1.127551067863415E-3</c:v>
              </c:pt>
            </c:numLit>
          </c:yVal>
          <c:smooth val="0"/>
          <c:extLst>
            <c:ext xmlns:c16="http://schemas.microsoft.com/office/drawing/2014/chart" uri="{C3380CC4-5D6E-409C-BE32-E72D297353CC}">
              <c16:uniqueId val="{00000098-6C84-40E1-9E71-66AA7B3A55CA}"/>
            </c:ext>
          </c:extLst>
        </c:ser>
        <c:ser>
          <c:idx val="93"/>
          <c:order val="93"/>
          <c:tx>
            <c:v>WB=20</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20</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99-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19.181439441292415</c:v>
              </c:pt>
              <c:pt idx="1">
                <c:v>50</c:v>
              </c:pt>
            </c:numLit>
          </c:xVal>
          <c:yVal>
            <c:numLit>
              <c:formatCode>General</c:formatCode>
              <c:ptCount val="2"/>
              <c:pt idx="0">
                <c:v>1.4757561327237089E-2</c:v>
              </c:pt>
              <c:pt idx="1">
                <c:v>2.4069582383148052E-3</c:v>
              </c:pt>
            </c:numLit>
          </c:yVal>
          <c:smooth val="0"/>
          <c:extLst>
            <c:ext xmlns:c16="http://schemas.microsoft.com/office/drawing/2014/chart" uri="{C3380CC4-5D6E-409C-BE32-E72D297353CC}">
              <c16:uniqueId val="{0000009A-6C84-40E1-9E71-66AA7B3A55CA}"/>
            </c:ext>
          </c:extLst>
        </c:ser>
        <c:ser>
          <c:idx val="94"/>
          <c:order val="94"/>
          <c:tx>
            <c:v>WB=21</c:v>
          </c:tx>
          <c:spPr>
            <a:ln w="3175">
              <a:solidFill>
                <a:srgbClr val="3366FF"/>
              </a:solidFill>
              <a:prstDash val="sysDash"/>
            </a:ln>
          </c:spPr>
          <c:marker>
            <c:symbol val="none"/>
          </c:marker>
          <c:dLbls>
            <c:dLbl>
              <c:idx val="0"/>
              <c:layout>
                <c:manualLayout>
                  <c:x val="-2.759268372703412E-2"/>
                  <c:y val="-4.2735042735042739E-3"/>
                </c:manualLayout>
              </c:layout>
              <c:tx>
                <c:rich>
                  <a:bodyPr rot="-372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9B-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20.157070440616</c:v>
              </c:pt>
              <c:pt idx="1">
                <c:v>50.000000000000007</c:v>
              </c:pt>
            </c:numLit>
          </c:xVal>
          <c:yVal>
            <c:numLit>
              <c:formatCode>General</c:formatCode>
              <c:ptCount val="2"/>
              <c:pt idx="0">
                <c:v>1.5720933198745006E-2</c:v>
              </c:pt>
              <c:pt idx="1">
                <c:v>3.7413398009154331E-3</c:v>
              </c:pt>
            </c:numLit>
          </c:yVal>
          <c:smooth val="0"/>
          <c:extLst>
            <c:ext xmlns:c16="http://schemas.microsoft.com/office/drawing/2014/chart" uri="{C3380CC4-5D6E-409C-BE32-E72D297353CC}">
              <c16:uniqueId val="{0000009C-6C84-40E1-9E71-66AA7B3A55CA}"/>
            </c:ext>
          </c:extLst>
        </c:ser>
        <c:ser>
          <c:idx val="95"/>
          <c:order val="95"/>
          <c:tx>
            <c:v>WB=22</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9D-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21.133343906124985</c:v>
              </c:pt>
              <c:pt idx="1">
                <c:v>50</c:v>
              </c:pt>
            </c:numLit>
          </c:xVal>
          <c:yVal>
            <c:numLit>
              <c:formatCode>General</c:formatCode>
              <c:ptCount val="2"/>
              <c:pt idx="0">
                <c:v>1.6740707189674783E-2</c:v>
              </c:pt>
              <c:pt idx="1">
                <c:v>5.1336233039210857E-3</c:v>
              </c:pt>
            </c:numLit>
          </c:yVal>
          <c:smooth val="0"/>
          <c:extLst>
            <c:ext xmlns:c16="http://schemas.microsoft.com/office/drawing/2014/chart" uri="{C3380CC4-5D6E-409C-BE32-E72D297353CC}">
              <c16:uniqueId val="{0000009E-6C84-40E1-9E71-66AA7B3A55CA}"/>
            </c:ext>
          </c:extLst>
        </c:ser>
        <c:ser>
          <c:idx val="96"/>
          <c:order val="96"/>
          <c:tx>
            <c:v>湿球温度座標軸ラベル</c:v>
          </c:tx>
          <c:spPr>
            <a:ln w="3175">
              <a:solidFill>
                <a:srgbClr val="000000"/>
              </a:solidFill>
              <a:prstDash val="solid"/>
            </a:ln>
          </c:spPr>
          <c:marker>
            <c:symbol val="none"/>
          </c:marker>
          <c:dLbls>
            <c:dLbl>
              <c:idx val="0"/>
              <c:layout>
                <c:manualLayout>
                  <c:x val="-7.0025973315835516E-2"/>
                  <c:y val="-7.8346673280123027E-17"/>
                </c:manualLayout>
              </c:layout>
              <c:tx>
                <c:rich>
                  <a:bodyPr rot="174000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湿球温度 </a:t>
                    </a:r>
                    <a:r>
                      <a:rPr lang="en-US"/>
                      <a:t>t' [℃]
</a:t>
                    </a:r>
                  </a:p>
                </c:rich>
              </c:tx>
              <c:spPr>
                <a:solidFill>
                  <a:srgbClr val="FFFFFF">
                    <a:alpha val="0"/>
                  </a:srgbClr>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9F-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41.627868005036369</c:v>
              </c:pt>
            </c:numLit>
          </c:xVal>
          <c:yVal>
            <c:numLit>
              <c:formatCode>General</c:formatCode>
              <c:ptCount val="1"/>
              <c:pt idx="0">
                <c:v>8.5000000000000006E-3</c:v>
              </c:pt>
            </c:numLit>
          </c:yVal>
          <c:smooth val="0"/>
          <c:extLst>
            <c:ext xmlns:c16="http://schemas.microsoft.com/office/drawing/2014/chart" uri="{C3380CC4-5D6E-409C-BE32-E72D297353CC}">
              <c16:uniqueId val="{000000A0-6C84-40E1-9E71-66AA7B3A55CA}"/>
            </c:ext>
          </c:extLst>
        </c:ser>
        <c:ser>
          <c:idx val="97"/>
          <c:order val="97"/>
          <c:tx>
            <c:v>WB=23</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A1-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22.110422457943038</c:v>
              </c:pt>
              <c:pt idx="1">
                <c:v>50.000000000000007</c:v>
              </c:pt>
            </c:numLit>
          </c:xVal>
          <c:yVal>
            <c:numLit>
              <c:formatCode>General</c:formatCode>
              <c:ptCount val="2"/>
              <c:pt idx="0">
                <c:v>1.7819892618663919E-2</c:v>
              </c:pt>
              <c:pt idx="1">
                <c:v>6.5868911047607297E-3</c:v>
              </c:pt>
            </c:numLit>
          </c:yVal>
          <c:smooth val="0"/>
          <c:extLst>
            <c:ext xmlns:c16="http://schemas.microsoft.com/office/drawing/2014/chart" uri="{C3380CC4-5D6E-409C-BE32-E72D297353CC}">
              <c16:uniqueId val="{000000A2-6C84-40E1-9E71-66AA7B3A55CA}"/>
            </c:ext>
          </c:extLst>
        </c:ser>
        <c:ser>
          <c:idx val="98"/>
          <c:order val="98"/>
          <c:tx>
            <c:v>WB=24</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24</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A3-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23.088483389020517</c:v>
              </c:pt>
              <c:pt idx="1">
                <c:v>50</c:v>
              </c:pt>
            </c:numLit>
          </c:xVal>
          <c:yVal>
            <c:numLit>
              <c:formatCode>General</c:formatCode>
              <c:ptCount val="2"/>
              <c:pt idx="0">
                <c:v>1.8961656547670749E-2</c:v>
              </c:pt>
              <c:pt idx="1">
                <c:v>8.1043897142882119E-3</c:v>
              </c:pt>
            </c:numLit>
          </c:yVal>
          <c:smooth val="0"/>
          <c:extLst>
            <c:ext xmlns:c16="http://schemas.microsoft.com/office/drawing/2014/chart" uri="{C3380CC4-5D6E-409C-BE32-E72D297353CC}">
              <c16:uniqueId val="{000000A4-6C84-40E1-9E71-66AA7B3A55CA}"/>
            </c:ext>
          </c:extLst>
        </c:ser>
        <c:ser>
          <c:idx val="99"/>
          <c:order val="99"/>
          <c:tx>
            <c:v>WB=25</c:v>
          </c:tx>
          <c:spPr>
            <a:ln w="3175">
              <a:solidFill>
                <a:srgbClr val="3366FF"/>
              </a:solidFill>
              <a:prstDash val="sysDash"/>
            </a:ln>
          </c:spPr>
          <c:marker>
            <c:symbol val="none"/>
          </c:marker>
          <c:dLbls>
            <c:dLbl>
              <c:idx val="0"/>
              <c:layout>
                <c:manualLayout>
                  <c:x val="-2.7678258967629047E-2"/>
                  <c:y val="-4.273504273504352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25</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A5-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24.067719678840426</c:v>
              </c:pt>
              <c:pt idx="1">
                <c:v>50</c:v>
              </c:pt>
            </c:numLit>
          </c:xVal>
          <c:yVal>
            <c:numLit>
              <c:formatCode>General</c:formatCode>
              <c:ptCount val="2"/>
              <c:pt idx="0">
                <c:v>2.0169333399710391E-2</c:v>
              </c:pt>
              <c:pt idx="1">
                <c:v>9.6895398780736056E-3</c:v>
              </c:pt>
            </c:numLit>
          </c:yVal>
          <c:smooth val="0"/>
          <c:extLst>
            <c:ext xmlns:c16="http://schemas.microsoft.com/office/drawing/2014/chart" uri="{C3380CC4-5D6E-409C-BE32-E72D297353CC}">
              <c16:uniqueId val="{000000A6-6C84-40E1-9E71-66AA7B3A55CA}"/>
            </c:ext>
          </c:extLst>
        </c:ser>
        <c:ser>
          <c:idx val="100"/>
          <c:order val="100"/>
          <c:tx>
            <c:v>WB=26</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26</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A7-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25.048321472690553</c:v>
              </c:pt>
              <c:pt idx="1">
                <c:v>50.000000000000007</c:v>
              </c:pt>
            </c:numLit>
          </c:xVal>
          <c:yVal>
            <c:numLit>
              <c:formatCode>General</c:formatCode>
              <c:ptCount val="2"/>
              <c:pt idx="0">
                <c:v>2.1446877205943158E-2</c:v>
              </c:pt>
              <c:pt idx="1">
                <c:v>1.1346381384148981E-2</c:v>
              </c:pt>
            </c:numLit>
          </c:yVal>
          <c:smooth val="0"/>
          <c:extLst>
            <c:ext xmlns:c16="http://schemas.microsoft.com/office/drawing/2014/chart" uri="{C3380CC4-5D6E-409C-BE32-E72D297353CC}">
              <c16:uniqueId val="{000000A8-6C84-40E1-9E71-66AA7B3A55CA}"/>
            </c:ext>
          </c:extLst>
        </c:ser>
        <c:ser>
          <c:idx val="101"/>
          <c:order val="101"/>
          <c:tx>
            <c:v>WB=27</c:v>
          </c:tx>
          <c:spPr>
            <a:ln w="3175">
              <a:solidFill>
                <a:srgbClr val="3366FF"/>
              </a:solidFill>
              <a:prstDash val="sysDash"/>
            </a:ln>
          </c:spPr>
          <c:marker>
            <c:symbol val="none"/>
          </c:marker>
          <c:dLbls>
            <c:dLbl>
              <c:idx val="0"/>
              <c:layout>
                <c:manualLayout>
                  <c:x val="-2.767825896762911E-2"/>
                  <c:y val="-4.273504273504313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27</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A9-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26.030535251824297</c:v>
              </c:pt>
              <c:pt idx="1">
                <c:v>50</c:v>
              </c:pt>
            </c:numLit>
          </c:xVal>
          <c:yVal>
            <c:numLit>
              <c:formatCode>General</c:formatCode>
              <c:ptCount val="2"/>
              <c:pt idx="0">
                <c:v>2.2797604877624097E-2</c:v>
              </c:pt>
              <c:pt idx="1">
                <c:v>1.3078340322813551E-2</c:v>
              </c:pt>
            </c:numLit>
          </c:yVal>
          <c:smooth val="0"/>
          <c:extLst>
            <c:ext xmlns:c16="http://schemas.microsoft.com/office/drawing/2014/chart" uri="{C3380CC4-5D6E-409C-BE32-E72D297353CC}">
              <c16:uniqueId val="{000000AA-6C84-40E1-9E71-66AA7B3A55CA}"/>
            </c:ext>
          </c:extLst>
        </c:ser>
        <c:ser>
          <c:idx val="102"/>
          <c:order val="102"/>
          <c:tx>
            <c:v>WB=28</c:v>
          </c:tx>
          <c:spPr>
            <a:ln w="3175">
              <a:solidFill>
                <a:srgbClr val="3366FF"/>
              </a:solidFill>
              <a:prstDash val="sysDash"/>
            </a:ln>
          </c:spPr>
          <c:marker>
            <c:symbol val="none"/>
          </c:marker>
          <c:dLbls>
            <c:dLbl>
              <c:idx val="0"/>
              <c:layout>
                <c:manualLayout>
                  <c:x val="-2.767825896762911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28</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AB-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27.01460799871953</c:v>
              </c:pt>
              <c:pt idx="1">
                <c:v>50.000000000000007</c:v>
              </c:pt>
            </c:numLit>
          </c:xVal>
          <c:yVal>
            <c:numLit>
              <c:formatCode>General</c:formatCode>
              <c:ptCount val="2"/>
              <c:pt idx="0">
                <c:v>2.4225424078400493E-2</c:v>
              </c:pt>
              <c:pt idx="1">
                <c:v>1.4889434478430795E-2</c:v>
              </c:pt>
            </c:numLit>
          </c:yVal>
          <c:smooth val="0"/>
          <c:extLst>
            <c:ext xmlns:c16="http://schemas.microsoft.com/office/drawing/2014/chart" uri="{C3380CC4-5D6E-409C-BE32-E72D297353CC}">
              <c16:uniqueId val="{000000AC-6C84-40E1-9E71-66AA7B3A55CA}"/>
            </c:ext>
          </c:extLst>
        </c:ser>
        <c:ser>
          <c:idx val="103"/>
          <c:order val="103"/>
          <c:tx>
            <c:v>WB=29</c:v>
          </c:tx>
          <c:spPr>
            <a:ln w="3175">
              <a:solidFill>
                <a:srgbClr val="3366FF"/>
              </a:solidFill>
              <a:prstDash val="sysDash"/>
            </a:ln>
          </c:spPr>
          <c:marker>
            <c:symbol val="none"/>
          </c:marker>
          <c:dLbls>
            <c:dLbl>
              <c:idx val="0"/>
              <c:layout>
                <c:manualLayout>
                  <c:x val="-2.7678258967629047E-2"/>
                  <c:y val="-4.273504273504313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29</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AD-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28.000807254075735</c:v>
              </c:pt>
              <c:pt idx="1">
                <c:v>50.000000000000007</c:v>
              </c:pt>
            </c:numLit>
          </c:xVal>
          <c:yVal>
            <c:numLit>
              <c:formatCode>General</c:formatCode>
              <c:ptCount val="2"/>
              <c:pt idx="0">
                <c:v>2.5734457306702815E-2</c:v>
              </c:pt>
              <c:pt idx="1">
                <c:v>1.6783905580143949E-2</c:v>
              </c:pt>
            </c:numLit>
          </c:yVal>
          <c:smooth val="0"/>
          <c:extLst>
            <c:ext xmlns:c16="http://schemas.microsoft.com/office/drawing/2014/chart" uri="{C3380CC4-5D6E-409C-BE32-E72D297353CC}">
              <c16:uniqueId val="{000000AE-6C84-40E1-9E71-66AA7B3A55CA}"/>
            </c:ext>
          </c:extLst>
        </c:ser>
        <c:ser>
          <c:idx val="104"/>
          <c:order val="104"/>
          <c:tx>
            <c:v>WB=30</c:v>
          </c:tx>
          <c:spPr>
            <a:ln w="3175">
              <a:solidFill>
                <a:srgbClr val="3366FF"/>
              </a:solidFill>
              <a:prstDash val="sysDash"/>
            </a:ln>
          </c:spPr>
          <c:marker>
            <c:symbol val="none"/>
          </c:marker>
          <c:dLbls>
            <c:dLbl>
              <c:idx val="0"/>
              <c:layout>
                <c:manualLayout>
                  <c:x val="-2.7678258967629172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30</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AF-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28.989422570672435</c:v>
              </c:pt>
              <c:pt idx="1">
                <c:v>50.000000000000007</c:v>
              </c:pt>
            </c:numLit>
          </c:xVal>
          <c:yVal>
            <c:numLit>
              <c:formatCode>General</c:formatCode>
              <c:ptCount val="2"/>
              <c:pt idx="0">
                <c:v>2.73290562877294E-2</c:v>
              </c:pt>
              <c:pt idx="1">
                <c:v>1.876623436362267E-2</c:v>
              </c:pt>
            </c:numLit>
          </c:yVal>
          <c:smooth val="0"/>
          <c:extLst>
            <c:ext xmlns:c16="http://schemas.microsoft.com/office/drawing/2014/chart" uri="{C3380CC4-5D6E-409C-BE32-E72D297353CC}">
              <c16:uniqueId val="{000000B0-6C84-40E1-9E71-66AA7B3A55CA}"/>
            </c:ext>
          </c:extLst>
        </c:ser>
        <c:ser>
          <c:idx val="105"/>
          <c:order val="105"/>
          <c:tx>
            <c:v>WB=31</c:v>
          </c:tx>
          <c:spPr>
            <a:ln w="3175">
              <a:solidFill>
                <a:srgbClr val="3366FF"/>
              </a:solidFill>
              <a:prstDash val="sysDash"/>
            </a:ln>
          </c:spPr>
          <c:marker>
            <c:symbol val="none"/>
          </c:marker>
          <c:dLbls>
            <c:dLbl>
              <c:idx val="0"/>
              <c:layout>
                <c:manualLayout>
                  <c:x val="-2.7678258967629047E-2"/>
                  <c:y val="-4.273504273504293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31</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B1-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29.980767082589693</c:v>
              </c:pt>
              <c:pt idx="1">
                <c:v>50.000000000000007</c:v>
              </c:pt>
            </c:numLit>
          </c:xVal>
          <c:yVal>
            <c:numLit>
              <c:formatCode>General</c:formatCode>
              <c:ptCount val="2"/>
              <c:pt idx="0">
                <c:v>2.9013817626337573E-2</c:v>
              </c:pt>
              <c:pt idx="1">
                <c:v>2.0841156947637916E-2</c:v>
              </c:pt>
            </c:numLit>
          </c:yVal>
          <c:smooth val="0"/>
          <c:extLst>
            <c:ext xmlns:c16="http://schemas.microsoft.com/office/drawing/2014/chart" uri="{C3380CC4-5D6E-409C-BE32-E72D297353CC}">
              <c16:uniqueId val="{000000B2-6C84-40E1-9E71-66AA7B3A55CA}"/>
            </c:ext>
          </c:extLst>
        </c:ser>
        <c:ser>
          <c:idx val="106"/>
          <c:order val="106"/>
          <c:tx>
            <c:v>WB=32</c:v>
          </c:tx>
          <c:spPr>
            <a:ln w="3175">
              <a:solidFill>
                <a:srgbClr val="3366FF"/>
              </a:solidFill>
              <a:prstDash val="sysDash"/>
            </a:ln>
          </c:spPr>
          <c:marker>
            <c:symbol val="none"/>
          </c:marker>
          <c:dLbls>
            <c:dLbl>
              <c:idx val="0"/>
              <c:layout>
                <c:manualLayout>
                  <c:x val="-2.7678258967629172E-2"/>
                  <c:y val="-4.273504273504293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32</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B3-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30.975179201690683</c:v>
              </c:pt>
              <c:pt idx="1">
                <c:v>50</c:v>
              </c:pt>
            </c:numLit>
          </c:xVal>
          <c:yVal>
            <c:numLit>
              <c:formatCode>General</c:formatCode>
              <c:ptCount val="2"/>
              <c:pt idx="0">
                <c:v>3.0793599853619184E-2</c:v>
              </c:pt>
              <c:pt idx="1">
                <c:v>2.3013682663751679E-2</c:v>
              </c:pt>
            </c:numLit>
          </c:yVal>
          <c:smooth val="0"/>
          <c:extLst>
            <c:ext xmlns:c16="http://schemas.microsoft.com/office/drawing/2014/chart" uri="{C3380CC4-5D6E-409C-BE32-E72D297353CC}">
              <c16:uniqueId val="{000000B4-6C84-40E1-9E71-66AA7B3A55CA}"/>
            </c:ext>
          </c:extLst>
        </c:ser>
        <c:ser>
          <c:idx val="107"/>
          <c:order val="107"/>
          <c:tx>
            <c:v>WB=33</c:v>
          </c:tx>
          <c:spPr>
            <a:ln w="3175">
              <a:solidFill>
                <a:srgbClr val="3366FF"/>
              </a:solidFill>
              <a:prstDash val="sysDash"/>
            </a:ln>
          </c:spPr>
          <c:marker>
            <c:symbol val="none"/>
          </c:marker>
          <c:dLbls>
            <c:dLbl>
              <c:idx val="0"/>
              <c:layout>
                <c:manualLayout>
                  <c:x val="-2.7678258967629047E-2"/>
                  <c:y val="-4.2735042735042739E-3"/>
                </c:manualLayout>
              </c:layout>
              <c:tx>
                <c:rich>
                  <a:bodyPr rot="-366000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33</a:t>
                    </a:r>
                    <a:endParaRPr lang="en-US" altLang="ja-JP"/>
                  </a:p>
                </c:rich>
              </c:tx>
              <c:spPr>
                <a:solidFill>
                  <a:scrgbClr r="0" g="0" b="0">
                    <a:alpha val="0"/>
                  </a:scrgbClr>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B5-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31.97302445473133</c:v>
              </c:pt>
              <c:pt idx="1">
                <c:v>50.000000000000007</c:v>
              </c:pt>
            </c:numLit>
          </c:xVal>
          <c:yVal>
            <c:numLit>
              <c:formatCode>General</c:formatCode>
              <c:ptCount val="2"/>
              <c:pt idx="0">
                <c:v>3.2673542015821677E-2</c:v>
              </c:pt>
              <c:pt idx="1">
                <c:v>2.5289113493966509E-2</c:v>
              </c:pt>
            </c:numLit>
          </c:yVal>
          <c:smooth val="0"/>
          <c:extLst>
            <c:ext xmlns:c16="http://schemas.microsoft.com/office/drawing/2014/chart" uri="{C3380CC4-5D6E-409C-BE32-E72D297353CC}">
              <c16:uniqueId val="{000000B6-6C84-40E1-9E71-66AA7B3A55CA}"/>
            </c:ext>
          </c:extLst>
        </c:ser>
        <c:ser>
          <c:idx val="108"/>
          <c:order val="108"/>
          <c:tx>
            <c:v>WB=34</c:v>
          </c:tx>
          <c:spPr>
            <a:ln w="3175">
              <a:solidFill>
                <a:srgbClr val="3366FF"/>
              </a:solidFill>
              <a:prstDash val="sysDash"/>
            </a:ln>
          </c:spPr>
          <c:marker>
            <c:symbol val="none"/>
          </c:marker>
          <c:xVal>
            <c:numLit>
              <c:formatCode>General</c:formatCode>
              <c:ptCount val="2"/>
              <c:pt idx="0">
                <c:v>32.974697476126913</c:v>
              </c:pt>
              <c:pt idx="1">
                <c:v>50</c:v>
              </c:pt>
            </c:numLit>
          </c:xVal>
          <c:yVal>
            <c:numLit>
              <c:formatCode>General</c:formatCode>
              <c:ptCount val="2"/>
              <c:pt idx="0">
                <c:v>3.4659083972322924E-2</c:v>
              </c:pt>
              <c:pt idx="1">
                <c:v>2.7673065289994456E-2</c:v>
              </c:pt>
            </c:numLit>
          </c:yVal>
          <c:smooth val="0"/>
          <c:extLst>
            <c:ext xmlns:c16="http://schemas.microsoft.com/office/drawing/2014/chart" uri="{C3380CC4-5D6E-409C-BE32-E72D297353CC}">
              <c16:uniqueId val="{000000B7-6C84-40E1-9E71-66AA7B3A55CA}"/>
            </c:ext>
          </c:extLst>
        </c:ser>
        <c:ser>
          <c:idx val="109"/>
          <c:order val="109"/>
          <c:tx>
            <c:v>WB=</c:v>
          </c:tx>
          <c:spPr>
            <a:ln w="3175">
              <a:solidFill>
                <a:srgbClr val="3366FF"/>
              </a:solidFill>
              <a:prstDash val="sysDash"/>
            </a:ln>
          </c:spPr>
          <c:marker>
            <c:symbol val="none"/>
          </c:marker>
          <c:xVal>
            <c:numLit>
              <c:formatCode>General</c:formatCode>
              <c:ptCount val="2"/>
              <c:pt idx="0">
                <c:v>-0.34054167287274817</c:v>
              </c:pt>
              <c:pt idx="1">
                <c:v>9.4387305875737741</c:v>
              </c:pt>
            </c:numLit>
          </c:xVal>
          <c:yVal>
            <c:numLit>
              <c:formatCode>General</c:formatCode>
              <c:ptCount val="2"/>
              <c:pt idx="0">
                <c:v>3.7926394193890894E-3</c:v>
              </c:pt>
              <c:pt idx="1">
                <c:v>0</c:v>
              </c:pt>
            </c:numLit>
          </c:yVal>
          <c:smooth val="0"/>
          <c:extLst>
            <c:ext xmlns:c16="http://schemas.microsoft.com/office/drawing/2014/chart" uri="{C3380CC4-5D6E-409C-BE32-E72D297353CC}">
              <c16:uniqueId val="{000000B8-6C84-40E1-9E71-66AA7B3A55CA}"/>
            </c:ext>
          </c:extLst>
        </c:ser>
        <c:ser>
          <c:idx val="110"/>
          <c:order val="110"/>
          <c:tx>
            <c:v>３重点（水）</c:v>
          </c:tx>
          <c:spPr>
            <a:ln w="3175">
              <a:solidFill>
                <a:srgbClr val="000000"/>
              </a:solidFill>
              <a:prstDash val="solid"/>
            </a:ln>
          </c:spPr>
          <c:marker>
            <c:symbol val="none"/>
          </c:marker>
          <c:dLbls>
            <c:dLbl>
              <c:idx val="0"/>
              <c:layout>
                <c:manualLayout>
                  <c:x val="-5.8654445538057771E-2"/>
                  <c:y val="0"/>
                </c:manualLayout>
              </c:layout>
              <c:tx>
                <c:rich>
                  <a:bodyPr rot="1680000" vertOverflow="overflow" horzOverflow="overflow" vert="horz" wrap="none" lIns="0" tIns="0" rIns="0" bIns="0" anchor="ctr">
                    <a:spAutoFit/>
                  </a:bodyPr>
                  <a:lstStyle/>
                  <a:p>
                    <a:pPr algn="ctr">
                      <a:defRPr altLang="ja-JP" sz="500" b="0" i="1">
                        <a:solidFill>
                          <a:srgbClr val="000000"/>
                        </a:solidFill>
                        <a:latin typeface="ＭＳ Ｐ明朝"/>
                        <a:ea typeface="ＭＳ Ｐ明朝"/>
                        <a:cs typeface="ＭＳ Ｐ明朝"/>
                      </a:defRPr>
                    </a:pPr>
                    <a:r>
                      <a:rPr lang="en-US" altLang="ja-JP"/>
                      <a:t>0.01[℃](</a:t>
                    </a:r>
                    <a:r>
                      <a:rPr lang="ja-JP" altLang="en-US"/>
                      <a:t>水</a:t>
                    </a:r>
                    <a:r>
                      <a:rPr lang="en-US" altLang="ja-JP"/>
                      <a:t>)
</a:t>
                    </a:r>
                  </a:p>
                </c:rich>
              </c:tx>
              <c:spPr>
                <a:solidFill>
                  <a:srgbClr val="FFFFFF">
                    <a:alpha val="0"/>
                  </a:srgbClr>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B9-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8.4073357008938547</c:v>
              </c:pt>
            </c:numLit>
          </c:xVal>
          <c:yVal>
            <c:numLit>
              <c:formatCode>General</c:formatCode>
              <c:ptCount val="1"/>
              <c:pt idx="0">
                <c:v>4.0000000000000002E-4</c:v>
              </c:pt>
            </c:numLit>
          </c:yVal>
          <c:smooth val="0"/>
          <c:extLst>
            <c:ext xmlns:c16="http://schemas.microsoft.com/office/drawing/2014/chart" uri="{C3380CC4-5D6E-409C-BE32-E72D297353CC}">
              <c16:uniqueId val="{000000BA-6C84-40E1-9E71-66AA7B3A55CA}"/>
            </c:ext>
          </c:extLst>
        </c:ser>
        <c:ser>
          <c:idx val="111"/>
          <c:order val="111"/>
          <c:tx>
            <c:v>v=0.74</c:v>
          </c:tx>
          <c:spPr>
            <a:ln w="3175">
              <a:solidFill>
                <a:srgbClr val="008000"/>
              </a:solidFill>
              <a:prstDash val="sysDash"/>
            </a:ln>
          </c:spPr>
          <c:marker>
            <c:symbol val="none"/>
          </c:marker>
          <c:dLbls>
            <c:dLbl>
              <c:idx val="0"/>
              <c:layout>
                <c:manualLayout>
                  <c:x val="5.208333333333333E-3"/>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BB-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-10.874709529952851</c:v>
              </c:pt>
              <c:pt idx="1">
                <c:v>-12.627751070674329</c:v>
              </c:pt>
            </c:numLit>
          </c:xVal>
          <c:yVal>
            <c:numLit>
              <c:formatCode>General</c:formatCode>
              <c:ptCount val="2"/>
              <c:pt idx="0">
                <c:v>-2E-3</c:v>
              </c:pt>
              <c:pt idx="1">
                <c:v>1.2790120976206793E-3</c:v>
              </c:pt>
            </c:numLit>
          </c:yVal>
          <c:smooth val="0"/>
          <c:extLst>
            <c:ext xmlns:c16="http://schemas.microsoft.com/office/drawing/2014/chart" uri="{C3380CC4-5D6E-409C-BE32-E72D297353CC}">
              <c16:uniqueId val="{000000BC-6C84-40E1-9E71-66AA7B3A55CA}"/>
            </c:ext>
          </c:extLst>
        </c:ser>
        <c:ser>
          <c:idx val="112"/>
          <c:order val="112"/>
          <c:tx>
            <c:v>v=0.75</c:v>
          </c:tx>
          <c:spPr>
            <a:ln w="3175">
              <a:solidFill>
                <a:srgbClr val="008000"/>
              </a:solidFill>
              <a:prstDash val="sysDash"/>
            </a:ln>
          </c:spPr>
          <c:marker>
            <c:symbol val="none"/>
          </c:marker>
          <c:dLbls>
            <c:dLbl>
              <c:idx val="0"/>
              <c:layout>
                <c:manualLayout>
                  <c:x val="-2.0516595581802282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0.75</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BD-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-7.346503939454391</c:v>
              </c:pt>
              <c:pt idx="1">
                <c:v>-9.3395938494272617</c:v>
              </c:pt>
            </c:numLit>
          </c:xVal>
          <c:yVal>
            <c:numLit>
              <c:formatCode>General</c:formatCode>
              <c:ptCount val="2"/>
              <c:pt idx="0">
                <c:v>-2E-3</c:v>
              </c:pt>
              <c:pt idx="1">
                <c:v>1.7336224881504504E-3</c:v>
              </c:pt>
            </c:numLit>
          </c:yVal>
          <c:smooth val="0"/>
          <c:extLst>
            <c:ext xmlns:c16="http://schemas.microsoft.com/office/drawing/2014/chart" uri="{C3380CC4-5D6E-409C-BE32-E72D297353CC}">
              <c16:uniqueId val="{000000BE-6C84-40E1-9E71-66AA7B3A55CA}"/>
            </c:ext>
          </c:extLst>
        </c:ser>
        <c:ser>
          <c:idx val="113"/>
          <c:order val="113"/>
          <c:tx>
            <c:v>v=0.76</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BF-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-3.818269416168651</c:v>
              </c:pt>
              <c:pt idx="1">
                <c:v>-6.119387602312834</c:v>
              </c:pt>
            </c:numLit>
          </c:xVal>
          <c:yVal>
            <c:numLit>
              <c:formatCode>General</c:formatCode>
              <c:ptCount val="2"/>
              <c:pt idx="0">
                <c:v>-2E-3</c:v>
              </c:pt>
              <c:pt idx="1">
                <c:v>2.3170227284918499E-3</c:v>
              </c:pt>
            </c:numLit>
          </c:yVal>
          <c:smooth val="0"/>
          <c:extLst>
            <c:ext xmlns:c16="http://schemas.microsoft.com/office/drawing/2014/chart" uri="{C3380CC4-5D6E-409C-BE32-E72D297353CC}">
              <c16:uniqueId val="{000000C0-6C84-40E1-9E71-66AA7B3A55CA}"/>
            </c:ext>
          </c:extLst>
        </c:ser>
        <c:ser>
          <c:idx val="114"/>
          <c:order val="114"/>
          <c:tx>
            <c:v>v=0.77</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0.77</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C1-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-0.29000596009563406</c:v>
              </c:pt>
              <c:pt idx="1">
                <c:v>-2.9645734567715794</c:v>
              </c:pt>
            </c:numLit>
          </c:xVal>
          <c:yVal>
            <c:numLit>
              <c:formatCode>General</c:formatCode>
              <c:ptCount val="2"/>
              <c:pt idx="0">
                <c:v>-2E-3</c:v>
              </c:pt>
              <c:pt idx="1">
                <c:v>3.0249300014924445E-3</c:v>
              </c:pt>
            </c:numLit>
          </c:yVal>
          <c:smooth val="0"/>
          <c:extLst>
            <c:ext xmlns:c16="http://schemas.microsoft.com/office/drawing/2014/chart" uri="{C3380CC4-5D6E-409C-BE32-E72D297353CC}">
              <c16:uniqueId val="{000000C2-6C84-40E1-9E71-66AA7B3A55CA}"/>
            </c:ext>
          </c:extLst>
        </c:ser>
        <c:ser>
          <c:idx val="115"/>
          <c:order val="115"/>
          <c:tx>
            <c:v>v=0.78</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C3-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3.2382960730270849</c:v>
              </c:pt>
              <c:pt idx="1">
                <c:v>0.10285584873451092</c:v>
              </c:pt>
            </c:numLit>
          </c:xVal>
          <c:yVal>
            <c:numLit>
              <c:formatCode>General</c:formatCode>
              <c:ptCount val="2"/>
              <c:pt idx="0">
                <c:v>-2E-3</c:v>
              </c:pt>
              <c:pt idx="1">
                <c:v>3.8991736467227744E-3</c:v>
              </c:pt>
            </c:numLit>
          </c:yVal>
          <c:smooth val="0"/>
          <c:extLst>
            <c:ext xmlns:c16="http://schemas.microsoft.com/office/drawing/2014/chart" uri="{C3380CC4-5D6E-409C-BE32-E72D297353CC}">
              <c16:uniqueId val="{000000C4-6C84-40E1-9E71-66AA7B3A55CA}"/>
            </c:ext>
          </c:extLst>
        </c:ser>
        <c:ser>
          <c:idx val="116"/>
          <c:order val="116"/>
          <c:tx>
            <c:v>v=0.79</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0.79</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C5-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6.7666270389370791</c:v>
              </c:pt>
              <c:pt idx="1">
                <c:v>3.1098962435210065</c:v>
              </c:pt>
            </c:numLit>
          </c:xVal>
          <c:yVal>
            <c:numLit>
              <c:formatCode>General</c:formatCode>
              <c:ptCount val="2"/>
              <c:pt idx="0">
                <c:v>-2E-3</c:v>
              </c:pt>
              <c:pt idx="1">
                <c:v>4.8895504212206229E-3</c:v>
              </c:pt>
            </c:numLit>
          </c:yVal>
          <c:smooth val="0"/>
          <c:extLst>
            <c:ext xmlns:c16="http://schemas.microsoft.com/office/drawing/2014/chart" uri="{C3380CC4-5D6E-409C-BE32-E72D297353CC}">
              <c16:uniqueId val="{000000C6-6C84-40E1-9E71-66AA7B3A55CA}"/>
            </c:ext>
          </c:extLst>
        </c:ser>
        <c:ser>
          <c:idx val="117"/>
          <c:order val="117"/>
          <c:tx>
            <c:v>v=0.80</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C7-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10.294991759765564</c:v>
              </c:pt>
              <c:pt idx="1">
                <c:v>6.0465363820865337</c:v>
              </c:pt>
            </c:numLit>
          </c:xVal>
          <c:yVal>
            <c:numLit>
              <c:formatCode>General</c:formatCode>
              <c:ptCount val="2"/>
              <c:pt idx="0">
                <c:v>-2E-3</c:v>
              </c:pt>
              <c:pt idx="1">
                <c:v>6.0153263481791579E-3</c:v>
              </c:pt>
            </c:numLit>
          </c:yVal>
          <c:smooth val="0"/>
          <c:extLst>
            <c:ext xmlns:c16="http://schemas.microsoft.com/office/drawing/2014/chart" uri="{C3380CC4-5D6E-409C-BE32-E72D297353CC}">
              <c16:uniqueId val="{000000C8-6C84-40E1-9E71-66AA7B3A55CA}"/>
            </c:ext>
          </c:extLst>
        </c:ser>
        <c:ser>
          <c:idx val="118"/>
          <c:order val="118"/>
          <c:tx>
            <c:v>v=0.81</c:v>
          </c:tx>
          <c:spPr>
            <a:ln w="3175">
              <a:solidFill>
                <a:srgbClr val="008000"/>
              </a:solidFill>
              <a:prstDash val="sysDash"/>
            </a:ln>
          </c:spPr>
          <c:marker>
            <c:symbol val="none"/>
          </c:marker>
          <c:dLbls>
            <c:dLbl>
              <c:idx val="0"/>
              <c:layout>
                <c:manualLayout>
                  <c:x val="-2.0516595581802338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0.81</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C9-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13.823409524037386</c:v>
              </c:pt>
              <c:pt idx="1">
                <c:v>8.8676317339037034</c:v>
              </c:pt>
            </c:numLit>
          </c:xVal>
          <c:yVal>
            <c:numLit>
              <c:formatCode>General</c:formatCode>
              <c:ptCount val="2"/>
              <c:pt idx="0">
                <c:v>-2E-3</c:v>
              </c:pt>
              <c:pt idx="1">
                <c:v>7.3621000293178172E-3</c:v>
              </c:pt>
            </c:numLit>
          </c:yVal>
          <c:smooth val="0"/>
          <c:extLst>
            <c:ext xmlns:c16="http://schemas.microsoft.com/office/drawing/2014/chart" uri="{C3380CC4-5D6E-409C-BE32-E72D297353CC}">
              <c16:uniqueId val="{000000CA-6C84-40E1-9E71-66AA7B3A55CA}"/>
            </c:ext>
          </c:extLst>
        </c:ser>
        <c:ser>
          <c:idx val="119"/>
          <c:order val="119"/>
          <c:tx>
            <c:v>v=0.82</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0.82</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CB-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17.351875509621301</c:v>
              </c:pt>
              <c:pt idx="1">
                <c:v>11.5879733552514</c:v>
              </c:pt>
            </c:numLit>
          </c:xVal>
          <c:yVal>
            <c:numLit>
              <c:formatCode>General</c:formatCode>
              <c:ptCount val="2"/>
              <c:pt idx="0">
                <c:v>-2E-3</c:v>
              </c:pt>
              <c:pt idx="1">
                <c:v>8.9026055794627895E-3</c:v>
              </c:pt>
            </c:numLit>
          </c:yVal>
          <c:smooth val="0"/>
          <c:extLst>
            <c:ext xmlns:c16="http://schemas.microsoft.com/office/drawing/2014/chart" uri="{C3380CC4-5D6E-409C-BE32-E72D297353CC}">
              <c16:uniqueId val="{000000CC-6C84-40E1-9E71-66AA7B3A55CA}"/>
            </c:ext>
          </c:extLst>
        </c:ser>
        <c:ser>
          <c:idx val="120"/>
          <c:order val="120"/>
          <c:tx>
            <c:v>v=0.83</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0.83</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CD-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20.880389716517374</c:v>
              </c:pt>
              <c:pt idx="1">
                <c:v>14.20996604398667</c:v>
              </c:pt>
            </c:numLit>
          </c:xVal>
          <c:yVal>
            <c:numLit>
              <c:formatCode>General</c:formatCode>
              <c:ptCount val="2"/>
              <c:pt idx="0">
                <c:v>-2E-3</c:v>
              </c:pt>
              <c:pt idx="1">
                <c:v>1.063281805822703E-2</c:v>
              </c:pt>
            </c:numLit>
          </c:yVal>
          <c:smooth val="0"/>
          <c:extLst>
            <c:ext xmlns:c16="http://schemas.microsoft.com/office/drawing/2014/chart" uri="{C3380CC4-5D6E-409C-BE32-E72D297353CC}">
              <c16:uniqueId val="{000000CE-6C84-40E1-9E71-66AA7B3A55CA}"/>
            </c:ext>
          </c:extLst>
        </c:ser>
        <c:ser>
          <c:idx val="121"/>
          <c:order val="121"/>
          <c:tx>
            <c:v>v=0.84</c:v>
          </c:tx>
          <c:spPr>
            <a:ln w="3175">
              <a:solidFill>
                <a:srgbClr val="008000"/>
              </a:solidFill>
              <a:prstDash val="sysDash"/>
            </a:ln>
          </c:spPr>
          <c:marker>
            <c:symbol val="none"/>
          </c:marker>
          <c:dLbls>
            <c:dLbl>
              <c:idx val="0"/>
              <c:layout>
                <c:manualLayout>
                  <c:x val="-2.0516595581802338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0.84</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CF-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24.408952144725578</c:v>
              </c:pt>
              <c:pt idx="1">
                <c:v>16.735689922847381</c:v>
              </c:pt>
            </c:numLit>
          </c:xVal>
          <c:yVal>
            <c:numLit>
              <c:formatCode>General</c:formatCode>
              <c:ptCount val="2"/>
              <c:pt idx="0">
                <c:v>-2E-3</c:v>
              </c:pt>
              <c:pt idx="1">
                <c:v>1.2549255938049455E-2</c:v>
              </c:pt>
            </c:numLit>
          </c:yVal>
          <c:smooth val="0"/>
          <c:extLst>
            <c:ext xmlns:c16="http://schemas.microsoft.com/office/drawing/2014/chart" uri="{C3380CC4-5D6E-409C-BE32-E72D297353CC}">
              <c16:uniqueId val="{000000D0-6C84-40E1-9E71-66AA7B3A55CA}"/>
            </c:ext>
          </c:extLst>
        </c:ser>
        <c:ser>
          <c:idx val="122"/>
          <c:order val="122"/>
          <c:tx>
            <c:v>v=0.85</c:v>
          </c:tx>
          <c:spPr>
            <a:ln w="3175">
              <a:solidFill>
                <a:srgbClr val="008000"/>
              </a:solidFill>
              <a:prstDash val="sysDash"/>
            </a:ln>
          </c:spPr>
          <c:marker>
            <c:symbol val="none"/>
          </c:marker>
          <c:dLbls>
            <c:dLbl>
              <c:idx val="0"/>
              <c:layout>
                <c:manualLayout>
                  <c:x val="-2.0516595581802403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0.85</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1-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27.937577260639554</c:v>
              </c:pt>
              <c:pt idx="1">
                <c:v>19.132489610197876</c:v>
              </c:pt>
            </c:numLit>
          </c:xVal>
          <c:yVal>
            <c:numLit>
              <c:formatCode>General</c:formatCode>
              <c:ptCount val="2"/>
              <c:pt idx="0">
                <c:v>-2E-3</c:v>
              </c:pt>
              <c:pt idx="1">
                <c:v>1.4714104666790764E-2</c:v>
              </c:pt>
            </c:numLit>
          </c:yVal>
          <c:smooth val="0"/>
          <c:extLst>
            <c:ext xmlns:c16="http://schemas.microsoft.com/office/drawing/2014/chart" uri="{C3380CC4-5D6E-409C-BE32-E72D297353CC}">
              <c16:uniqueId val="{000000D2-6C84-40E1-9E71-66AA7B3A55CA}"/>
            </c:ext>
          </c:extLst>
        </c:ser>
        <c:ser>
          <c:idx val="123"/>
          <c:order val="123"/>
          <c:tx>
            <c:v>v=0.86</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0.86</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3-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31.466250597865653</c:v>
              </c:pt>
              <c:pt idx="1">
                <c:v>21.436637215870181</c:v>
              </c:pt>
            </c:numLit>
          </c:xVal>
          <c:yVal>
            <c:numLit>
              <c:formatCode>General</c:formatCode>
              <c:ptCount val="2"/>
              <c:pt idx="0">
                <c:v>-2E-3</c:v>
              </c:pt>
              <c:pt idx="1">
                <c:v>1.7059125433167451E-2</c:v>
              </c:pt>
            </c:numLit>
          </c:yVal>
          <c:smooth val="0"/>
          <c:extLst>
            <c:ext xmlns:c16="http://schemas.microsoft.com/office/drawing/2014/chart" uri="{C3380CC4-5D6E-409C-BE32-E72D297353CC}">
              <c16:uniqueId val="{000000D4-6C84-40E1-9E71-66AA7B3A55CA}"/>
            </c:ext>
          </c:extLst>
        </c:ser>
        <c:ser>
          <c:idx val="124"/>
          <c:order val="124"/>
          <c:tx>
            <c:v>v=0.87</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0.87</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5-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34.994981800666295</c:v>
              </c:pt>
              <c:pt idx="1">
                <c:v>23.626528674080483</c:v>
              </c:pt>
            </c:numLit>
          </c:xVal>
          <c:yVal>
            <c:numLit>
              <c:formatCode>General</c:formatCode>
              <c:ptCount val="2"/>
              <c:pt idx="0">
                <c:v>-2E-3</c:v>
              </c:pt>
              <c:pt idx="1">
                <c:v>1.9625497050405307E-2</c:v>
              </c:pt>
            </c:numLit>
          </c:yVal>
          <c:smooth val="0"/>
          <c:extLst>
            <c:ext xmlns:c16="http://schemas.microsoft.com/office/drawing/2014/chart" uri="{C3380CC4-5D6E-409C-BE32-E72D297353CC}">
              <c16:uniqueId val="{000000D6-6C84-40E1-9E71-66AA7B3A55CA}"/>
            </c:ext>
          </c:extLst>
        </c:ser>
        <c:ser>
          <c:idx val="125"/>
          <c:order val="125"/>
          <c:tx>
            <c:v>v=0.88</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0.88</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7-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38.523761224779079</c:v>
              </c:pt>
              <c:pt idx="1">
                <c:v>25.72596822985491</c:v>
              </c:pt>
            </c:numLit>
          </c:xVal>
          <c:yVal>
            <c:numLit>
              <c:formatCode>General</c:formatCode>
              <c:ptCount val="2"/>
              <c:pt idx="0">
                <c:v>-2E-3</c:v>
              </c:pt>
              <c:pt idx="1">
                <c:v>2.2368358237637633E-2</c:v>
              </c:pt>
            </c:numLit>
          </c:yVal>
          <c:smooth val="0"/>
          <c:extLst>
            <c:ext xmlns:c16="http://schemas.microsoft.com/office/drawing/2014/chart" uri="{C3380CC4-5D6E-409C-BE32-E72D297353CC}">
              <c16:uniqueId val="{000000D8-6C84-40E1-9E71-66AA7B3A55CA}"/>
            </c:ext>
          </c:extLst>
        </c:ser>
        <c:ser>
          <c:idx val="126"/>
          <c:order val="126"/>
          <c:tx>
            <c:v>v=0.89</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0.89</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9-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42.052593692335194</c:v>
              </c:pt>
              <c:pt idx="1">
                <c:v>27.72425869616541</c:v>
              </c:pt>
            </c:numLit>
          </c:xVal>
          <c:yVal>
            <c:numLit>
              <c:formatCode>General</c:formatCode>
              <c:ptCount val="2"/>
              <c:pt idx="0">
                <c:v>-2E-3</c:v>
              </c:pt>
              <c:pt idx="1">
                <c:v>2.5308122919637729E-2</c:v>
              </c:pt>
            </c:numLit>
          </c:yVal>
          <c:smooth val="0"/>
          <c:extLst>
            <c:ext xmlns:c16="http://schemas.microsoft.com/office/drawing/2014/chart" uri="{C3380CC4-5D6E-409C-BE32-E72D297353CC}">
              <c16:uniqueId val="{000000DA-6C84-40E1-9E71-66AA7B3A55CA}"/>
            </c:ext>
          </c:extLst>
        </c:ser>
        <c:ser>
          <c:idx val="127"/>
          <c:order val="127"/>
          <c:tx>
            <c:v>v=0.90</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0.90</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B-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45.581474381203442</c:v>
              </c:pt>
              <c:pt idx="1">
                <c:v>29.633142341393423</c:v>
              </c:pt>
            </c:numLit>
          </c:xVal>
          <c:yVal>
            <c:numLit>
              <c:formatCode>General</c:formatCode>
              <c:ptCount val="2"/>
              <c:pt idx="0">
                <c:v>-2E-3</c:v>
              </c:pt>
              <c:pt idx="1">
                <c:v>2.8422628005840736E-2</c:v>
              </c:pt>
            </c:numLit>
          </c:yVal>
          <c:smooth val="0"/>
          <c:extLst>
            <c:ext xmlns:c16="http://schemas.microsoft.com/office/drawing/2014/chart" uri="{C3380CC4-5D6E-409C-BE32-E72D297353CC}">
              <c16:uniqueId val="{000000DC-6C84-40E1-9E71-66AA7B3A55CA}"/>
            </c:ext>
          </c:extLst>
        </c:ser>
        <c:ser>
          <c:idx val="128"/>
          <c:order val="128"/>
          <c:tx>
            <c:v>比容積座標軸ラベル</c:v>
          </c:tx>
          <c:spPr>
            <a:ln w="3175">
              <a:solidFill>
                <a:srgbClr val="000000"/>
              </a:solidFill>
              <a:prstDash val="solid"/>
            </a:ln>
          </c:spPr>
          <c:marker>
            <c:symbol val="none"/>
          </c:marker>
          <c:dLbls>
            <c:dLbl>
              <c:idx val="0"/>
              <c:layout>
                <c:manualLayout>
                  <c:x val="-6.1712325021872266E-2"/>
                  <c:y val="-1.5669334656024605E-16"/>
                </c:manualLayout>
              </c:layout>
              <c:tx>
                <c:rich>
                  <a:bodyPr rot="414000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比容積 </a:t>
                    </a:r>
                    <a:r>
                      <a:rPr lang="en-US"/>
                      <a:t>v [㎥/kg(DA)]
</a:t>
                    </a:r>
                  </a:p>
                </c:rich>
              </c:tx>
              <c:spPr>
                <a:solidFill>
                  <a:srgbClr val="FFFFFF">
                    <a:alpha val="0"/>
                  </a:srgbClr>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D-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42.563511521595515</c:v>
              </c:pt>
            </c:numLit>
          </c:xVal>
          <c:yVal>
            <c:numLit>
              <c:formatCode>General</c:formatCode>
              <c:ptCount val="1"/>
              <c:pt idx="0">
                <c:v>3.7777777777777779E-3</c:v>
              </c:pt>
            </c:numLit>
          </c:yVal>
          <c:smooth val="0"/>
          <c:extLst>
            <c:ext xmlns:c16="http://schemas.microsoft.com/office/drawing/2014/chart" uri="{C3380CC4-5D6E-409C-BE32-E72D297353CC}">
              <c16:uniqueId val="{000000DE-6C84-40E1-9E71-66AA7B3A55CA}"/>
            </c:ext>
          </c:extLst>
        </c:ser>
        <c:ser>
          <c:idx val="129"/>
          <c:order val="129"/>
          <c:tx>
            <c:v>v=0.91</c:v>
          </c:tx>
          <c:spPr>
            <a:ln w="3175">
              <a:solidFill>
                <a:srgbClr val="008000"/>
              </a:solidFill>
              <a:prstDash val="sysDash"/>
            </a:ln>
          </c:spPr>
          <c:marker>
            <c:symbol val="none"/>
          </c:marker>
          <c:dLbls>
            <c:dLbl>
              <c:idx val="0"/>
              <c:layout>
                <c:manualLayout>
                  <c:x val="-2.0516595581802275E-2"/>
                  <c:y val="9.1397469547074284E-3"/>
                </c:manualLayout>
              </c:layout>
              <c:tx>
                <c:rich>
                  <a:bodyPr rot="0" vert="horz" wrap="square" lIns="0" tIns="0" rIns="0" bIns="0" anchor="ctr">
                    <a:spAutoFit/>
                  </a:bodyPr>
                  <a:lstStyle/>
                  <a:p>
                    <a:pPr algn="ctr">
                      <a:defRPr altLang="ja-JP" sz="700" u="none" strike="noStrike" baseline="0">
                        <a:solidFill>
                          <a:srgbClr val="000000"/>
                        </a:solidFill>
                        <a:latin typeface="ＭＳ Ｐ明朝"/>
                        <a:ea typeface="ＭＳ Ｐ明朝"/>
                        <a:cs typeface="ＭＳ Ｐ明朝"/>
                      </a:defRPr>
                    </a:pPr>
                    <a:r>
                      <a:rPr lang="en-US"/>
                      <a:t>0.91</a:t>
                    </a:r>
                    <a:endParaRPr lang="en-US" altLang="ja-JP"/>
                  </a:p>
                </c:rich>
              </c:tx>
              <c:spPr>
                <a:solidFill>
                  <a:srgbClr val="FFFFFF"/>
                </a:solidFill>
                <a:ln>
                  <a:noFill/>
                </a:ln>
                <a:effectLst/>
              </c:spPr>
              <c:dLblPos val="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DF-6C84-40E1-9E71-66AA7B3A55C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49.110398469252601</c:v>
              </c:pt>
              <c:pt idx="1">
                <c:v>31.464049181568054</c:v>
              </c:pt>
            </c:numLit>
          </c:xVal>
          <c:yVal>
            <c:numLit>
              <c:formatCode>General</c:formatCode>
              <c:ptCount val="2"/>
              <c:pt idx="0">
                <c:v>-2E-3</c:v>
              </c:pt>
              <c:pt idx="1">
                <c:v>3.1690233026367066E-2</c:v>
              </c:pt>
            </c:numLit>
          </c:yVal>
          <c:smooth val="0"/>
          <c:extLst>
            <c:ext xmlns:c16="http://schemas.microsoft.com/office/drawing/2014/chart" uri="{C3380CC4-5D6E-409C-BE32-E72D297353CC}">
              <c16:uniqueId val="{000000E0-6C84-40E1-9E71-66AA7B3A55CA}"/>
            </c:ext>
          </c:extLst>
        </c:ser>
        <c:ser>
          <c:idx val="130"/>
          <c:order val="130"/>
          <c:tx>
            <c:v>v=0.92</c:v>
          </c:tx>
          <c:spPr>
            <a:ln w="3175">
              <a:solidFill>
                <a:srgbClr val="008000"/>
              </a:solidFill>
              <a:prstDash val="sysDash"/>
            </a:ln>
          </c:spPr>
          <c:marker>
            <c:symbol val="none"/>
          </c:marker>
          <c:xVal>
            <c:numLit>
              <c:formatCode>General</c:formatCode>
              <c:ptCount val="2"/>
              <c:pt idx="0">
                <c:v>50.000000000000007</c:v>
              </c:pt>
              <c:pt idx="1">
                <c:v>33.20563456585235</c:v>
              </c:pt>
            </c:numLit>
          </c:xVal>
          <c:yVal>
            <c:numLit>
              <c:formatCode>General</c:formatCode>
              <c:ptCount val="2"/>
              <c:pt idx="0">
                <c:v>3.0653695250419501E-3</c:v>
              </c:pt>
              <c:pt idx="1">
                <c:v>3.5132435574301686E-2</c:v>
              </c:pt>
            </c:numLit>
          </c:yVal>
          <c:smooth val="0"/>
          <c:extLst>
            <c:ext xmlns:c16="http://schemas.microsoft.com/office/drawing/2014/chart" uri="{C3380CC4-5D6E-409C-BE32-E72D297353CC}">
              <c16:uniqueId val="{000000E1-6C84-40E1-9E71-66AA7B3A55CA}"/>
            </c:ext>
          </c:extLst>
        </c:ser>
        <c:ser>
          <c:idx val="131"/>
          <c:order val="131"/>
          <c:tx>
            <c:v>v=0.93</c:v>
          </c:tx>
          <c:spPr>
            <a:ln w="3175">
              <a:solidFill>
                <a:srgbClr val="008000"/>
              </a:solidFill>
              <a:prstDash val="sysDash"/>
            </a:ln>
          </c:spPr>
          <c:marker>
            <c:symbol val="none"/>
          </c:marker>
          <c:xVal>
            <c:numLit>
              <c:formatCode>General</c:formatCode>
              <c:ptCount val="2"/>
              <c:pt idx="0">
                <c:v>50</c:v>
              </c:pt>
              <c:pt idx="1">
                <c:v>34.880212439001525</c:v>
              </c:pt>
            </c:numLit>
          </c:xVal>
          <c:yVal>
            <c:numLit>
              <c:formatCode>General</c:formatCode>
              <c:ptCount val="2"/>
              <c:pt idx="0">
                <c:v>9.8592094813579195E-3</c:v>
              </c:pt>
              <c:pt idx="1">
                <c:v>3.8706868703065465E-2</c:v>
              </c:pt>
            </c:numLit>
          </c:yVal>
          <c:smooth val="0"/>
          <c:extLst>
            <c:ext xmlns:c16="http://schemas.microsoft.com/office/drawing/2014/chart" uri="{C3380CC4-5D6E-409C-BE32-E72D297353CC}">
              <c16:uniqueId val="{000000E2-6C84-40E1-9E71-66AA7B3A55CA}"/>
            </c:ext>
          </c:extLst>
        </c:ser>
        <c:ser>
          <c:idx val="132"/>
          <c:order val="132"/>
          <c:tx>
            <c:v>v=0.94</c:v>
          </c:tx>
          <c:spPr>
            <a:ln w="3175">
              <a:solidFill>
                <a:srgbClr val="008000"/>
              </a:solidFill>
              <a:prstDash val="sysDash"/>
            </a:ln>
          </c:spPr>
          <c:marker>
            <c:symbol val="none"/>
          </c:marker>
          <c:xVal>
            <c:numLit>
              <c:formatCode>General</c:formatCode>
              <c:ptCount val="2"/>
              <c:pt idx="0">
                <c:v>50</c:v>
              </c:pt>
              <c:pt idx="1">
                <c:v>36.476119220319418</c:v>
              </c:pt>
            </c:numLit>
          </c:xVal>
          <c:yVal>
            <c:numLit>
              <c:formatCode>General</c:formatCode>
              <c:ptCount val="2"/>
              <c:pt idx="0">
                <c:v>1.66530494376738E-2</c:v>
              </c:pt>
              <c:pt idx="1">
                <c:v>4.2435563802655646E-2</c:v>
              </c:pt>
            </c:numLit>
          </c:yVal>
          <c:smooth val="0"/>
          <c:extLst>
            <c:ext xmlns:c16="http://schemas.microsoft.com/office/drawing/2014/chart" uri="{C3380CC4-5D6E-409C-BE32-E72D297353CC}">
              <c16:uniqueId val="{000000E3-6C84-40E1-9E71-66AA7B3A55CA}"/>
            </c:ext>
          </c:extLst>
        </c:ser>
        <c:ser>
          <c:idx val="133"/>
          <c:order val="133"/>
          <c:tx>
            <c:v>v=0.95</c:v>
          </c:tx>
          <c:spPr>
            <a:ln w="3175">
              <a:solidFill>
                <a:srgbClr val="008000"/>
              </a:solidFill>
              <a:prstDash val="sysDash"/>
            </a:ln>
          </c:spPr>
          <c:marker>
            <c:symbol val="none"/>
          </c:marker>
          <c:xVal>
            <c:numLit>
              <c:formatCode>General</c:formatCode>
              <c:ptCount val="2"/>
              <c:pt idx="0">
                <c:v>50.000000000000007</c:v>
              </c:pt>
              <c:pt idx="1">
                <c:v>38.015405459513772</c:v>
              </c:pt>
            </c:numLit>
          </c:xVal>
          <c:yVal>
            <c:numLit>
              <c:formatCode>General</c:formatCode>
              <c:ptCount val="2"/>
              <c:pt idx="0">
                <c:v>2.3446889393989801E-2</c:v>
              </c:pt>
              <c:pt idx="1">
                <c:v>4.627659477409355E-2</c:v>
              </c:pt>
            </c:numLit>
          </c:yVal>
          <c:smooth val="0"/>
          <c:extLst>
            <c:ext xmlns:c16="http://schemas.microsoft.com/office/drawing/2014/chart" uri="{C3380CC4-5D6E-409C-BE32-E72D297353CC}">
              <c16:uniqueId val="{000000E4-6C84-40E1-9E71-66AA7B3A55CA}"/>
            </c:ext>
          </c:extLst>
        </c:ser>
        <c:ser>
          <c:idx val="134"/>
          <c:order val="134"/>
          <c:tx>
            <c:v>v=0.96</c:v>
          </c:tx>
          <c:spPr>
            <a:ln w="3175">
              <a:solidFill>
                <a:srgbClr val="008000"/>
              </a:solidFill>
              <a:prstDash val="sysDash"/>
            </a:ln>
          </c:spPr>
          <c:marker>
            <c:symbol val="none"/>
          </c:marker>
          <c:xVal>
            <c:numLit>
              <c:formatCode>General</c:formatCode>
              <c:ptCount val="2"/>
              <c:pt idx="0">
                <c:v>50</c:v>
              </c:pt>
              <c:pt idx="1">
                <c:v>39.486187318525538</c:v>
              </c:pt>
            </c:numLit>
          </c:xVal>
          <c:yVal>
            <c:numLit>
              <c:formatCode>General</c:formatCode>
              <c:ptCount val="2"/>
              <c:pt idx="0">
                <c:v>3.0240729350305799E-2</c:v>
              </c:pt>
              <c:pt idx="1">
                <c:v>5.0252361654891983E-2</c:v>
              </c:pt>
            </c:numLit>
          </c:yVal>
          <c:smooth val="0"/>
          <c:extLst>
            <c:ext xmlns:c16="http://schemas.microsoft.com/office/drawing/2014/chart" uri="{C3380CC4-5D6E-409C-BE32-E72D297353CC}">
              <c16:uniqueId val="{000000E5-6C84-40E1-9E71-66AA7B3A55CA}"/>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F929-4AE7-9E23-4BD78B53FF64}"/>
            </c:ext>
          </c:extLst>
        </c:ser>
        <c:ser>
          <c:idx val="1"/>
          <c:order val="1"/>
          <c:tx>
            <c:v>冷房SHF参照ライン</c:v>
          </c:tx>
          <c:spPr>
            <a:ln w="3175">
              <a:solidFill>
                <a:srgbClr val="008000"/>
              </a:solidFill>
              <a:prstDash val="solid"/>
            </a:ln>
          </c:spPr>
          <c:marker>
            <c:symbol val="none"/>
          </c:marker>
          <c:dPt>
            <c:idx val="0"/>
            <c:marker/>
            <c:bubble3D val="0"/>
            <c:spPr>
              <a:ln w="3175">
                <a:solidFill>
                  <a:srgbClr val="008000"/>
                </a:solidFill>
                <a:prstDash val="solid"/>
              </a:ln>
              <a:effectLst/>
            </c:spPr>
            <c:extLst>
              <c:ext xmlns:c16="http://schemas.microsoft.com/office/drawing/2014/chart" uri="{C3380CC4-5D6E-409C-BE32-E72D297353CC}">
                <c16:uniqueId val="{00000002-F929-4AE7-9E23-4BD78B53FF64}"/>
              </c:ext>
            </c:extLst>
          </c:dPt>
          <c:dPt>
            <c:idx val="1"/>
            <c:marker>
              <c:symbol val="circle"/>
              <c:size val="3"/>
              <c:spPr>
                <a:solidFill>
                  <a:srgbClr val="000000"/>
                </a:solidFill>
                <a:ln>
                  <a:solidFill>
                    <a:srgbClr val="000000"/>
                  </a:solidFill>
                  <a:prstDash val="solid"/>
                </a:ln>
              </c:spPr>
            </c:marker>
            <c:bubble3D val="0"/>
            <c:spPr>
              <a:ln w="3175">
                <a:solidFill>
                  <a:srgbClr val="008000"/>
                </a:solidFill>
                <a:prstDash val="solid"/>
              </a:ln>
              <a:effectLst/>
            </c:spPr>
            <c:extLst>
              <c:ext xmlns:c16="http://schemas.microsoft.com/office/drawing/2014/chart" uri="{C3380CC4-5D6E-409C-BE32-E72D297353CC}">
                <c16:uniqueId val="{00000003-F929-4AE7-9E23-4BD78B53FF64}"/>
              </c:ext>
            </c:extLst>
          </c:dPt>
          <c:dLbls>
            <c:dLbl>
              <c:idx val="1"/>
              <c:layout>
                <c:manualLayout>
                  <c:x val="3.4722222222222224E-2"/>
                  <c:y val="5.7692307692307612E-2"/>
                </c:manualLayout>
              </c:layout>
              <c:tx>
                <c:rich>
                  <a:bodyPr wrap="square" lIns="38100" tIns="19050" rIns="38100" bIns="19050" anchor="ctr">
                    <a:spAutoFit/>
                  </a:bodyPr>
                  <a:lstStyle/>
                  <a:p>
                    <a:pPr algn="ctr">
                      <a:defRPr altLang="en-US" sz="700" b="0" i="0" u="none" strike="noStrike" baseline="0">
                        <a:latin typeface="ＭＳ Ｐゴシック"/>
                        <a:ea typeface="ＭＳ Ｐゴシック"/>
                        <a:cs typeface="ＭＳ Ｐゴシック"/>
                      </a:defRPr>
                    </a:pPr>
                    <a:r>
                      <a:rPr lang="ja-JP"/>
                      <a:t>冷房時 </a:t>
                    </a:r>
                    <a:r>
                      <a:rPr lang="en-US"/>
                      <a:t>SHF=1.00 [-]</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929-4AE7-9E23-4BD78B53FF6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7.5219999999999994</c:v>
              </c:pt>
              <c:pt idx="1">
                <c:v>-3.758</c:v>
              </c:pt>
            </c:numLit>
          </c:xVal>
          <c:yVal>
            <c:numLit>
              <c:formatCode>General</c:formatCode>
              <c:ptCount val="2"/>
              <c:pt idx="0">
                <c:v>2.0930000000000001E-2</c:v>
              </c:pt>
              <c:pt idx="1">
                <c:v>2.0930000000000001E-2</c:v>
              </c:pt>
            </c:numLit>
          </c:yVal>
          <c:smooth val="0"/>
          <c:extLst>
            <c:ext xmlns:c16="http://schemas.microsoft.com/office/drawing/2014/chart" uri="{C3380CC4-5D6E-409C-BE32-E72D297353CC}">
              <c16:uniqueId val="{00000001-F929-4AE7-9E23-4BD78B53FF64}"/>
            </c:ext>
          </c:extLst>
        </c:ser>
        <c:ser>
          <c:idx val="2"/>
          <c:order val="2"/>
          <c:tx>
            <c:v>熱水分比参照ライン</c:v>
          </c:tx>
          <c:spPr>
            <a:ln w="3175">
              <a:solidFill>
                <a:srgbClr val="FF6600"/>
              </a:solidFill>
              <a:prstDash val="solid"/>
            </a:ln>
          </c:spPr>
          <c:marker>
            <c:symbol val="none"/>
          </c:marker>
          <c:dPt>
            <c:idx val="0"/>
            <c:marker/>
            <c:bubble3D val="0"/>
            <c:spPr>
              <a:ln w="3175">
                <a:solidFill>
                  <a:srgbClr val="FF6600"/>
                </a:solidFill>
                <a:prstDash val="solid"/>
              </a:ln>
              <a:effectLst/>
            </c:spPr>
            <c:extLst>
              <c:ext xmlns:c16="http://schemas.microsoft.com/office/drawing/2014/chart" uri="{C3380CC4-5D6E-409C-BE32-E72D297353CC}">
                <c16:uniqueId val="{00000005-F929-4AE7-9E23-4BD78B53FF64}"/>
              </c:ext>
            </c:extLst>
          </c:dPt>
          <c:dPt>
            <c:idx val="1"/>
            <c:marker>
              <c:symbol val="circle"/>
              <c:size val="3"/>
              <c:spPr>
                <a:solidFill>
                  <a:srgbClr val="000000"/>
                </a:solidFill>
                <a:ln>
                  <a:solidFill>
                    <a:srgbClr val="000000"/>
                  </a:solidFill>
                  <a:prstDash val="solid"/>
                </a:ln>
              </c:spPr>
            </c:marker>
            <c:bubble3D val="0"/>
            <c:spPr>
              <a:ln w="3175">
                <a:solidFill>
                  <a:srgbClr val="FF6600"/>
                </a:solidFill>
                <a:prstDash val="solid"/>
              </a:ln>
              <a:effectLst/>
            </c:spPr>
            <c:extLst>
              <c:ext xmlns:c16="http://schemas.microsoft.com/office/drawing/2014/chart" uri="{C3380CC4-5D6E-409C-BE32-E72D297353CC}">
                <c16:uniqueId val="{00000006-F929-4AE7-9E23-4BD78B53FF64}"/>
              </c:ext>
            </c:extLst>
          </c:dPt>
          <c:dLbls>
            <c:dLbl>
              <c:idx val="1"/>
              <c:layout>
                <c:manualLayout>
                  <c:x val="3.4722222222222224E-2"/>
                  <c:y val="7.4786324786324784E-2"/>
                </c:manualLayout>
              </c:layout>
              <c:tx>
                <c:rich>
                  <a:bodyPr wrap="square" lIns="38100" tIns="19050" rIns="38100" bIns="19050" anchor="ctr">
                    <a:spAutoFit/>
                  </a:bodyPr>
                  <a:lstStyle/>
                  <a:p>
                    <a:pPr algn="ctr">
                      <a:defRPr altLang="en-US" sz="700" b="0" i="0" u="none" strike="noStrike" baseline="0">
                        <a:latin typeface="ＭＳ Ｐゴシック"/>
                        <a:ea typeface="ＭＳ Ｐゴシック"/>
                        <a:cs typeface="ＭＳ Ｐゴシック"/>
                      </a:defRPr>
                    </a:pPr>
                    <a:r>
                      <a:rPr lang="ja-JP"/>
                      <a:t>加湿用蒸気熱水分比</a:t>
                    </a:r>
                    <a:r>
                      <a:rPr lang="en-US"/>
                      <a:t>=2,676 [kJ/kg]</a:t>
                    </a: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929-4AE7-9E23-4BD78B53FF6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7.5219999999999994</c:v>
              </c:pt>
              <c:pt idx="1">
                <c:v>8.3645183408506067</c:v>
              </c:pt>
            </c:numLit>
          </c:xVal>
          <c:yVal>
            <c:numLit>
              <c:formatCode>General</c:formatCode>
              <c:ptCount val="2"/>
              <c:pt idx="0">
                <c:v>2.0930000000000001E-2</c:v>
              </c:pt>
              <c:pt idx="1">
                <c:v>3.1266261596289167E-2</c:v>
              </c:pt>
            </c:numLit>
          </c:yVal>
          <c:smooth val="0"/>
          <c:extLst>
            <c:ext xmlns:c16="http://schemas.microsoft.com/office/drawing/2014/chart" uri="{C3380CC4-5D6E-409C-BE32-E72D297353CC}">
              <c16:uniqueId val="{00000004-F929-4AE7-9E23-4BD78B53FF64}"/>
            </c:ext>
          </c:extLst>
        </c:ser>
        <c:ser>
          <c:idx val="3"/>
          <c:order val="3"/>
          <c:tx>
            <c:v>冷房外気処理ユニット空気線図</c:v>
          </c:tx>
          <c:spPr>
            <a:ln w="25400">
              <a:solidFill>
                <a:srgbClr val="0066CC"/>
              </a:solidFill>
              <a:prstDash val="solid"/>
            </a:ln>
          </c:spPr>
          <c:marker>
            <c:symbol val="circle"/>
            <c:size val="6"/>
            <c:spPr>
              <a:solidFill>
                <a:srgbClr val="FFFFFF"/>
              </a:solidFill>
              <a:ln>
                <a:solidFill>
                  <a:srgbClr val="000000"/>
                </a:solidFill>
                <a:prstDash val="solid"/>
              </a:ln>
            </c:spPr>
          </c:marker>
          <c:dLbls>
            <c:dLbl>
              <c:idx val="1"/>
              <c:layout>
                <c:manualLayout>
                  <c:x val="-2.2569444444444444E-2"/>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①</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929-4AE7-9E23-4BD78B53FF64}"/>
                </c:ext>
              </c:extLst>
            </c:dLbl>
            <c:dLbl>
              <c:idx val="2"/>
              <c:layout>
                <c:manualLayout>
                  <c:x val="-3.6458333333333398E-2"/>
                  <c:y val="0"/>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②</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929-4AE7-9E23-4BD78B53FF64}"/>
                </c:ext>
              </c:extLst>
            </c:dLbl>
            <c:dLbl>
              <c:idx val="3"/>
              <c:layout>
                <c:manualLayout>
                  <c:x val="-2.2569444444444444E-2"/>
                  <c:y val="1.645299145299137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③</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929-4AE7-9E23-4BD78B53FF6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4"/>
              <c:pt idx="0">
                <c:v>31.001250099403581</c:v>
              </c:pt>
              <c:pt idx="1">
                <c:v>31.001250099403581</c:v>
              </c:pt>
              <c:pt idx="2">
                <c:v>13.064984347912524</c:v>
              </c:pt>
              <c:pt idx="3">
                <c:v>14.468738729622267</c:v>
              </c:pt>
            </c:numLit>
          </c:xVal>
          <c:yVal>
            <c:numLit>
              <c:formatCode>General</c:formatCode>
              <c:ptCount val="4"/>
              <c:pt idx="0">
                <c:v>1.7600000000000001E-2</c:v>
              </c:pt>
              <c:pt idx="1">
                <c:v>1.7600000000000001E-2</c:v>
              </c:pt>
              <c:pt idx="2">
                <c:v>9.3100000000000006E-3</c:v>
              </c:pt>
              <c:pt idx="3">
                <c:v>9.3100000000000006E-3</c:v>
              </c:pt>
            </c:numLit>
          </c:yVal>
          <c:smooth val="0"/>
          <c:extLst>
            <c:ext xmlns:c16="http://schemas.microsoft.com/office/drawing/2014/chart" uri="{C3380CC4-5D6E-409C-BE32-E72D297353CC}">
              <c16:uniqueId val="{00000007-F929-4AE7-9E23-4BD78B53FF64}"/>
            </c:ext>
          </c:extLst>
        </c:ser>
        <c:ser>
          <c:idx val="4"/>
          <c:order val="4"/>
          <c:tx>
            <c:v>冷房外気処理側仮想ライン</c:v>
          </c:tx>
          <c:spPr>
            <a:ln w="12700">
              <a:solidFill>
                <a:srgbClr val="000000"/>
              </a:solidFill>
              <a:prstDash val="sysDash"/>
            </a:ln>
          </c:spPr>
          <c:marker>
            <c:symbol val="circle"/>
            <c:size val="6"/>
            <c:spPr>
              <a:solidFill>
                <a:srgbClr val="FFFFFF"/>
              </a:solidFill>
              <a:ln>
                <a:solidFill>
                  <a:srgbClr val="000000"/>
                </a:solidFill>
                <a:prstDash val="solid"/>
              </a:ln>
            </c:spPr>
          </c:marker>
          <c:dLbls>
            <c:dLbl>
              <c:idx val="1"/>
              <c:layout>
                <c:manualLayout>
                  <c:x val="-2.2569444444444444E-2"/>
                  <c:y val="-1.645299145299153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④</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929-4AE7-9E23-4BD78B53FF6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14.468738729622267</c:v>
              </c:pt>
              <c:pt idx="1">
                <c:v>21.173526661076036</c:v>
              </c:pt>
            </c:numLit>
          </c:xVal>
          <c:yVal>
            <c:numLit>
              <c:formatCode>General</c:formatCode>
              <c:ptCount val="2"/>
              <c:pt idx="0">
                <c:v>9.3100000000000006E-3</c:v>
              </c:pt>
              <c:pt idx="1">
                <c:v>9.329234799999999E-3</c:v>
              </c:pt>
            </c:numLit>
          </c:yVal>
          <c:smooth val="0"/>
          <c:extLst>
            <c:ext xmlns:c16="http://schemas.microsoft.com/office/drawing/2014/chart" uri="{C3380CC4-5D6E-409C-BE32-E72D297353CC}">
              <c16:uniqueId val="{0000000B-F929-4AE7-9E23-4BD78B53FF64}"/>
            </c:ext>
          </c:extLst>
        </c:ser>
        <c:ser>
          <c:idx val="5"/>
          <c:order val="5"/>
          <c:tx>
            <c:v>冷房ドライコイルユニット空気線図</c:v>
          </c:tx>
          <c:spPr>
            <a:ln w="25400">
              <a:solidFill>
                <a:srgbClr val="000080"/>
              </a:solidFill>
              <a:prstDash val="sysDash"/>
            </a:ln>
          </c:spPr>
          <c:marker>
            <c:symbol val="circle"/>
            <c:size val="6"/>
            <c:spPr>
              <a:solidFill>
                <a:srgbClr val="FFFFFF"/>
              </a:solidFill>
              <a:ln>
                <a:solidFill>
                  <a:srgbClr val="000000"/>
                </a:solidFill>
                <a:prstDash val="solid"/>
              </a:ln>
            </c:spPr>
          </c:marker>
          <c:dLbls>
            <c:dLbl>
              <c:idx val="0"/>
              <c:layout>
                <c:manualLayout>
                  <c:x val="-2.2569444444444382E-2"/>
                  <c:y val="-1.645299145299137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⑤</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929-4AE7-9E23-4BD78B53FF64}"/>
                </c:ext>
              </c:extLst>
            </c:dLbl>
            <c:dLbl>
              <c:idx val="1"/>
              <c:layout>
                <c:manualLayout>
                  <c:x val="-9.9770832392904497E-3"/>
                  <c:y val="-1.645299145299137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⑥</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929-4AE7-9E23-4BD78B53FF6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23.551492246520876</c:v>
              </c:pt>
              <c:pt idx="1">
                <c:v>21.452904881312126</c:v>
              </c:pt>
            </c:numLit>
          </c:xVal>
          <c:yVal>
            <c:numLit>
              <c:formatCode>General</c:formatCode>
              <c:ptCount val="2"/>
              <c:pt idx="0">
                <c:v>9.3299999999999998E-3</c:v>
              </c:pt>
              <c:pt idx="1">
                <c:v>9.3299999999999998E-3</c:v>
              </c:pt>
            </c:numLit>
          </c:yVal>
          <c:smooth val="0"/>
          <c:extLst>
            <c:ext xmlns:c16="http://schemas.microsoft.com/office/drawing/2014/chart" uri="{C3380CC4-5D6E-409C-BE32-E72D297353CC}">
              <c16:uniqueId val="{0000000D-F929-4AE7-9E23-4BD78B53FF64}"/>
            </c:ext>
          </c:extLst>
        </c:ser>
        <c:ser>
          <c:idx val="6"/>
          <c:order val="6"/>
          <c:tx>
            <c:v>冷房ドライコイル側仮想ライン</c:v>
          </c:tx>
          <c:spPr>
            <a:ln w="12700">
              <a:solidFill>
                <a:srgbClr val="000000"/>
              </a:solidFill>
              <a:prstDash val="sysDash"/>
            </a:ln>
          </c:spPr>
          <c:marker>
            <c:symbol val="circle"/>
            <c:size val="6"/>
            <c:spPr>
              <a:solidFill>
                <a:srgbClr val="FFFFFF"/>
              </a:solidFill>
              <a:ln>
                <a:solidFill>
                  <a:srgbClr val="000000"/>
                </a:solidFill>
                <a:prstDash val="solid"/>
              </a:ln>
            </c:spPr>
          </c:marker>
          <c:xVal>
            <c:numLit>
              <c:formatCode>General</c:formatCode>
              <c:ptCount val="2"/>
              <c:pt idx="0">
                <c:v>21.452904881312126</c:v>
              </c:pt>
              <c:pt idx="1">
                <c:v>21.173526661076036</c:v>
              </c:pt>
            </c:numLit>
          </c:xVal>
          <c:yVal>
            <c:numLit>
              <c:formatCode>General</c:formatCode>
              <c:ptCount val="2"/>
              <c:pt idx="0">
                <c:v>9.3299999999999998E-3</c:v>
              </c:pt>
              <c:pt idx="1">
                <c:v>9.329234799999999E-3</c:v>
              </c:pt>
            </c:numLit>
          </c:yVal>
          <c:smooth val="0"/>
          <c:extLst>
            <c:ext xmlns:c16="http://schemas.microsoft.com/office/drawing/2014/chart" uri="{C3380CC4-5D6E-409C-BE32-E72D297353CC}">
              <c16:uniqueId val="{00000010-F929-4AE7-9E23-4BD78B53FF64}"/>
            </c:ext>
          </c:extLst>
        </c:ser>
        <c:ser>
          <c:idx val="7"/>
          <c:order val="7"/>
          <c:tx>
            <c:v>冷房室内変化プロセス</c:v>
          </c:tx>
          <c:spPr>
            <a:ln w="12700">
              <a:solidFill>
                <a:srgbClr val="000000"/>
              </a:solidFill>
              <a:prstDash val="sysDash"/>
            </a:ln>
          </c:spPr>
          <c:marker>
            <c:symbol val="circle"/>
            <c:size val="6"/>
            <c:spPr>
              <a:solidFill>
                <a:srgbClr val="FFFFFF"/>
              </a:solidFill>
              <a:ln>
                <a:solidFill>
                  <a:srgbClr val="000000"/>
                </a:solidFill>
                <a:prstDash val="solid"/>
              </a:ln>
            </c:spPr>
          </c:marker>
          <c:xVal>
            <c:numLit>
              <c:formatCode>General</c:formatCode>
              <c:ptCount val="2"/>
              <c:pt idx="0">
                <c:v>21.173526661076036</c:v>
              </c:pt>
              <c:pt idx="1">
                <c:v>23.551492246520876</c:v>
              </c:pt>
            </c:numLit>
          </c:xVal>
          <c:yVal>
            <c:numLit>
              <c:formatCode>General</c:formatCode>
              <c:ptCount val="2"/>
              <c:pt idx="0">
                <c:v>9.329234799999999E-3</c:v>
              </c:pt>
              <c:pt idx="1">
                <c:v>9.3299999999999998E-3</c:v>
              </c:pt>
            </c:numLit>
          </c:yVal>
          <c:smooth val="0"/>
          <c:extLst>
            <c:ext xmlns:c16="http://schemas.microsoft.com/office/drawing/2014/chart" uri="{C3380CC4-5D6E-409C-BE32-E72D297353CC}">
              <c16:uniqueId val="{00000011-F929-4AE7-9E23-4BD78B53FF64}"/>
            </c:ext>
          </c:extLst>
        </c:ser>
        <c:ser>
          <c:idx val="8"/>
          <c:order val="8"/>
          <c:tx>
            <c:v>外気-外気ヒータ出口(暖房)</c:v>
          </c:tx>
          <c:spPr>
            <a:ln w="25400">
              <a:solidFill>
                <a:srgbClr val="FF0000"/>
              </a:solidFill>
              <a:prstDash val="solid"/>
            </a:ln>
          </c:spPr>
          <c:marker>
            <c:symbol val="circle"/>
            <c:size val="6"/>
            <c:spPr>
              <a:solidFill>
                <a:srgbClr val="FFFFFF"/>
              </a:solidFill>
              <a:ln>
                <a:solidFill>
                  <a:srgbClr val="000000"/>
                </a:solidFill>
                <a:prstDash val="solid"/>
              </a:ln>
            </c:spPr>
          </c:marker>
          <c:dLbls>
            <c:dLbl>
              <c:idx val="1"/>
              <c:layout>
                <c:manualLayout>
                  <c:x val="-2.2569444444444451E-2"/>
                  <c:y val="-1.645299145299161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⑦</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929-4AE7-9E23-4BD78B53FF64}"/>
                </c:ext>
              </c:extLst>
            </c:dLbl>
            <c:dLbl>
              <c:idx val="2"/>
              <c:layout>
                <c:manualLayout>
                  <c:x val="-2.2569444444444475E-2"/>
                  <c:y val="-1.645299145299161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⑧</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929-4AE7-9E23-4BD78B53FF6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3"/>
              <c:pt idx="0">
                <c:v>-7.0578041749502987</c:v>
              </c:pt>
              <c:pt idx="1">
                <c:v>-7.0578041749502987</c:v>
              </c:pt>
              <c:pt idx="2">
                <c:v>2.8696520874751492</c:v>
              </c:pt>
            </c:numLit>
          </c:xVal>
          <c:yVal>
            <c:numLit>
              <c:formatCode>General</c:formatCode>
              <c:ptCount val="3"/>
              <c:pt idx="0">
                <c:v>1.5E-3</c:v>
              </c:pt>
              <c:pt idx="1">
                <c:v>1.5E-3</c:v>
              </c:pt>
              <c:pt idx="2">
                <c:v>1.5E-3</c:v>
              </c:pt>
            </c:numLit>
          </c:yVal>
          <c:smooth val="0"/>
          <c:extLst>
            <c:ext xmlns:c16="http://schemas.microsoft.com/office/drawing/2014/chart" uri="{C3380CC4-5D6E-409C-BE32-E72D297353CC}">
              <c16:uniqueId val="{00000012-F929-4AE7-9E23-4BD78B53FF64}"/>
            </c:ext>
          </c:extLst>
        </c:ser>
        <c:ser>
          <c:idx val="9"/>
          <c:order val="9"/>
          <c:tx>
            <c:v>暖房外気処理ユニット空気線図</c:v>
          </c:tx>
          <c:spPr>
            <a:ln w="25400">
              <a:solidFill>
                <a:srgbClr val="FF6600"/>
              </a:solidFill>
              <a:prstDash val="solid"/>
            </a:ln>
          </c:spPr>
          <c:marker>
            <c:symbol val="circle"/>
            <c:size val="6"/>
            <c:spPr>
              <a:solidFill>
                <a:srgbClr val="FFFFFF"/>
              </a:solidFill>
              <a:ln>
                <a:solidFill>
                  <a:srgbClr val="000000"/>
                </a:solidFill>
                <a:prstDash val="solid"/>
              </a:ln>
            </c:spPr>
          </c:marker>
          <c:dLbls>
            <c:dLbl>
              <c:idx val="1"/>
              <c:layout>
                <c:manualLayout>
                  <c:x val="-8.6805555555556184E-3"/>
                  <c:y val="-1.5669334656024605E-16"/>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⑨</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929-4AE7-9E23-4BD78B53FF64}"/>
                </c:ext>
              </c:extLst>
            </c:dLbl>
            <c:dLbl>
              <c:idx val="2"/>
              <c:layout>
                <c:manualLayout>
                  <c:x val="-5.2083333333333972E-3"/>
                  <c:y val="-1.645299145299153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⑩</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929-4AE7-9E23-4BD78B53FF6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3"/>
              <c:pt idx="0">
                <c:v>2.8696520874751492</c:v>
              </c:pt>
              <c:pt idx="1">
                <c:v>22.91509155069582</c:v>
              </c:pt>
              <c:pt idx="2">
                <c:v>23.55101153081511</c:v>
              </c:pt>
            </c:numLit>
          </c:xVal>
          <c:yVal>
            <c:numLit>
              <c:formatCode>General</c:formatCode>
              <c:ptCount val="3"/>
              <c:pt idx="0">
                <c:v>1.5E-3</c:v>
              </c:pt>
              <c:pt idx="1">
                <c:v>1.5E-3</c:v>
              </c:pt>
              <c:pt idx="2">
                <c:v>9.3399999999999993E-3</c:v>
              </c:pt>
            </c:numLit>
          </c:yVal>
          <c:smooth val="0"/>
          <c:extLst>
            <c:ext xmlns:c16="http://schemas.microsoft.com/office/drawing/2014/chart" uri="{C3380CC4-5D6E-409C-BE32-E72D297353CC}">
              <c16:uniqueId val="{00000015-F929-4AE7-9E23-4BD78B53FF64}"/>
            </c:ext>
          </c:extLst>
        </c:ser>
        <c:ser>
          <c:idx val="10"/>
          <c:order val="10"/>
          <c:tx>
            <c:v>ドライコイル側還気-外気処理ユニット</c:v>
          </c:tx>
          <c:spPr>
            <a:ln w="12700">
              <a:solidFill>
                <a:srgbClr val="000000"/>
              </a:solidFill>
              <a:prstDash val="sysDash"/>
            </a:ln>
          </c:spPr>
          <c:marker>
            <c:symbol val="circle"/>
            <c:size val="6"/>
            <c:spPr>
              <a:solidFill>
                <a:srgbClr val="FFFFFF"/>
              </a:solidFill>
              <a:ln>
                <a:solidFill>
                  <a:srgbClr val="000000"/>
                </a:solidFill>
                <a:prstDash val="solid"/>
              </a:ln>
            </c:spPr>
          </c:marker>
          <c:dLbls>
            <c:dLbl>
              <c:idx val="0"/>
              <c:layout>
                <c:manualLayout>
                  <c:x val="1.2152777777777778E-2"/>
                  <c:y val="1.6452991452991454E-2"/>
                </c:manualLayout>
              </c:layout>
              <c:tx>
                <c:rich>
                  <a:bodyPr wrap="square" lIns="38100" tIns="19050" rIns="38100" bIns="19050" anchor="ctr">
                    <a:spAutoFit/>
                  </a:bodyPr>
                  <a:lstStyle/>
                  <a:p>
                    <a:pPr algn="ctr">
                      <a:defRPr altLang="ja-JP" sz="1000" b="1" i="0">
                        <a:solidFill>
                          <a:srgbClr val="000000"/>
                        </a:solidFill>
                        <a:latin typeface="ＭＳ Ｐゴシック"/>
                        <a:ea typeface="ＭＳ Ｐゴシック"/>
                        <a:cs typeface="ＭＳ Ｐゴシック"/>
                      </a:defRPr>
                    </a:pPr>
                    <a:r>
                      <a:rPr lang="en-US"/>
                      <a:t>⑪</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929-4AE7-9E23-4BD78B53FF6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Lit>
              <c:formatCode>General</c:formatCode>
              <c:ptCount val="2"/>
              <c:pt idx="0">
                <c:v>23.55101153081511</c:v>
              </c:pt>
              <c:pt idx="1">
                <c:v>23.55101153081511</c:v>
              </c:pt>
            </c:numLit>
          </c:xVal>
          <c:yVal>
            <c:numLit>
              <c:formatCode>General</c:formatCode>
              <c:ptCount val="2"/>
              <c:pt idx="0">
                <c:v>9.3399999999999993E-3</c:v>
              </c:pt>
              <c:pt idx="1">
                <c:v>9.3399999999999993E-3</c:v>
              </c:pt>
            </c:numLit>
          </c:yVal>
          <c:smooth val="0"/>
          <c:extLst>
            <c:ext xmlns:c16="http://schemas.microsoft.com/office/drawing/2014/chart" uri="{C3380CC4-5D6E-409C-BE32-E72D297353CC}">
              <c16:uniqueId val="{00000018-F929-4AE7-9E23-4BD78B53FF64}"/>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4567942910810799E-2"/>
          <c:y val="4.0336167555284561E-2"/>
          <c:w val="0.89259366873272172"/>
          <c:h val="0.92263947775758803"/>
        </c:manualLayout>
      </c:layout>
      <c:scatterChart>
        <c:scatterStyle val="lineMarker"/>
        <c:varyColors val="0"/>
        <c:ser>
          <c:idx val="0"/>
          <c:order val="0"/>
          <c:tx>
            <c:v>ｴﾝﾀﾙﾋﾟ表示文字</c:v>
          </c:tx>
          <c:spPr>
            <a:ln w="3175">
              <a:solidFill>
                <a:srgbClr val="FF0000"/>
              </a:solidFill>
              <a:prstDash val="solid"/>
            </a:ln>
          </c:spPr>
          <c:marker>
            <c:symbol val="none"/>
          </c:marker>
          <c:xVal>
            <c:numLit>
              <c:formatCode>General</c:formatCode>
              <c:ptCount val="2"/>
              <c:pt idx="0">
                <c:v>12.5</c:v>
              </c:pt>
              <c:pt idx="1">
                <c:v>12.5</c:v>
              </c:pt>
            </c:numLit>
          </c:xVal>
          <c:yVal>
            <c:numLit>
              <c:formatCode>General</c:formatCode>
              <c:ptCount val="2"/>
              <c:pt idx="0">
                <c:v>2.077E-2</c:v>
              </c:pt>
              <c:pt idx="1">
                <c:v>2.077E-2</c:v>
              </c:pt>
            </c:numLit>
          </c:yVal>
          <c:smooth val="0"/>
          <c:extLst>
            <c:ext xmlns:c16="http://schemas.microsoft.com/office/drawing/2014/chart" uri="{C3380CC4-5D6E-409C-BE32-E72D297353CC}">
              <c16:uniqueId val="{00000000-A402-42FC-9BD5-949CB9566FCD}"/>
            </c:ext>
          </c:extLst>
        </c:ser>
        <c:ser>
          <c:idx val="1"/>
          <c:order val="1"/>
          <c:tx>
            <c:v>比エンタルピ座標軸</c:v>
          </c:tx>
          <c:spPr>
            <a:ln w="3175">
              <a:solidFill>
                <a:srgbClr val="000000"/>
              </a:solidFill>
              <a:prstDash val="solid"/>
            </a:ln>
          </c:spPr>
          <c:marker>
            <c:symbol val="none"/>
          </c:marker>
          <c:xVal>
            <c:numLit>
              <c:formatCode>General</c:formatCode>
              <c:ptCount val="2"/>
              <c:pt idx="0">
                <c:v>-10.178169782224485</c:v>
              </c:pt>
              <c:pt idx="1">
                <c:v>26.408799999999999</c:v>
              </c:pt>
            </c:numLit>
          </c:xVal>
          <c:yVal>
            <c:numLit>
              <c:formatCode>General</c:formatCode>
              <c:ptCount val="2"/>
              <c:pt idx="0">
                <c:v>2.4560824455002899E-3</c:v>
              </c:pt>
              <c:pt idx="1">
                <c:v>3.4000000000000002E-2</c:v>
              </c:pt>
            </c:numLit>
          </c:yVal>
          <c:smooth val="0"/>
          <c:extLst>
            <c:ext xmlns:c16="http://schemas.microsoft.com/office/drawing/2014/chart" uri="{C3380CC4-5D6E-409C-BE32-E72D297353CC}">
              <c16:uniqueId val="{00000001-A402-42FC-9BD5-949CB9566FCD}"/>
            </c:ext>
          </c:extLst>
        </c:ser>
        <c:ser>
          <c:idx val="2"/>
          <c:order val="2"/>
          <c:tx>
            <c:v>比エンタルピ座標軸ラベル</c:v>
          </c:tx>
          <c:spPr>
            <a:ln w="3175">
              <a:solidFill>
                <a:srgbClr val="000000"/>
              </a:solidFill>
              <a:prstDash val="solid"/>
            </a:ln>
          </c:spPr>
          <c:marker>
            <c:symbol val="none"/>
          </c:marker>
          <c:dLbls>
            <c:dLbl>
              <c:idx val="0"/>
              <c:layout>
                <c:manualLayout>
                  <c:x val="-7.7204861111111106E-2"/>
                  <c:y val="-3.9173336640061513E-17"/>
                </c:manualLayout>
              </c:layout>
              <c:tx>
                <c:rich>
                  <a:bodyPr rot="-2940000" vertOverflow="overflow" horzOverflow="overflow" vert="horz" wrap="none" lIns="0" tIns="0" rIns="0" bIns="0" anchor="ctr">
                    <a:spAutoFit/>
                  </a:bodyPr>
                  <a:lstStyle/>
                  <a:p>
                    <a:pPr algn="ctr">
                      <a:defRPr altLang="en-US" sz="700" b="0" i="1">
                        <a:solidFill>
                          <a:srgbClr val="000000"/>
                        </a:solidFill>
                        <a:latin typeface="ＭＳ Ｐ明朝"/>
                        <a:ea typeface="ＭＳ Ｐ明朝"/>
                        <a:cs typeface="ＭＳ Ｐ明朝"/>
                      </a:defRPr>
                    </a:pPr>
                    <a:r>
                      <a:rPr lang="ja-JP" altLang="en-US"/>
                      <a:t>比エンタルピ </a:t>
                    </a:r>
                    <a:r>
                      <a:rPr lang="en-US"/>
                      <a:t>h [kJ/kg(DA)]
</a:t>
                    </a:r>
                  </a:p>
                </c:rich>
              </c:tx>
              <c:spPr>
                <a:solidFill>
                  <a:srgbClr val="FFFFFF">
                    <a:alpha val="0"/>
                  </a:srgbClr>
                </a:solidFill>
                <a:ln>
                  <a:noFill/>
                </a:ln>
                <a:effectLst/>
              </c:spPr>
              <c:dLblPos val="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2-A402-42FC-9BD5-949CB9566F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1"/>
              <c:pt idx="0">
                <c:v>11.774012087110206</c:v>
              </c:pt>
            </c:numLit>
          </c:xVal>
          <c:yVal>
            <c:numLit>
              <c:formatCode>General</c:formatCode>
              <c:ptCount val="1"/>
              <c:pt idx="0">
                <c:v>2.1382432978200118E-2</c:v>
              </c:pt>
            </c:numLit>
          </c:yVal>
          <c:smooth val="0"/>
          <c:extLst>
            <c:ext xmlns:c16="http://schemas.microsoft.com/office/drawing/2014/chart" uri="{C3380CC4-5D6E-409C-BE32-E72D297353CC}">
              <c16:uniqueId val="{00000003-A402-42FC-9BD5-949CB9566FCD}"/>
            </c:ext>
          </c:extLst>
        </c:ser>
        <c:ser>
          <c:idx val="3"/>
          <c:order val="3"/>
          <c:tx>
            <c:v>h=-9</c:v>
          </c:tx>
          <c:spPr>
            <a:ln w="3175">
              <a:solidFill>
                <a:srgbClr val="808080"/>
              </a:solidFill>
              <a:prstDash val="solid"/>
            </a:ln>
          </c:spPr>
          <c:marker>
            <c:symbol val="none"/>
          </c:marker>
          <c:xVal>
            <c:numLit>
              <c:formatCode>General</c:formatCode>
              <c:ptCount val="2"/>
              <c:pt idx="0">
                <c:v>-11.760874015442164</c:v>
              </c:pt>
              <c:pt idx="1">
                <c:v>-11.460874015442165</c:v>
              </c:pt>
            </c:numLit>
          </c:xVal>
          <c:yVal>
            <c:numLit>
              <c:formatCode>General</c:formatCode>
              <c:ptCount val="2"/>
              <c:pt idx="0">
                <c:v>1.0915340244929911E-3</c:v>
              </c:pt>
              <c:pt idx="1">
                <c:v>9.7292658151792533E-4</c:v>
              </c:pt>
            </c:numLit>
          </c:yVal>
          <c:smooth val="0"/>
          <c:extLst>
            <c:ext xmlns:c16="http://schemas.microsoft.com/office/drawing/2014/chart" uri="{C3380CC4-5D6E-409C-BE32-E72D297353CC}">
              <c16:uniqueId val="{00000004-A402-42FC-9BD5-949CB9566FCD}"/>
            </c:ext>
          </c:extLst>
        </c:ser>
        <c:ser>
          <c:idx val="4"/>
          <c:order val="4"/>
          <c:tx>
            <c:v>h=-8</c:v>
          </c:tx>
          <c:spPr>
            <a:ln w="3175">
              <a:solidFill>
                <a:srgbClr val="808080"/>
              </a:solidFill>
              <a:prstDash val="solid"/>
            </a:ln>
          </c:spPr>
          <c:marker>
            <c:symbol val="none"/>
          </c:marker>
          <c:xVal>
            <c:numLit>
              <c:formatCode>General</c:formatCode>
              <c:ptCount val="2"/>
              <c:pt idx="0">
                <c:v>-11.452465233740831</c:v>
              </c:pt>
              <c:pt idx="1">
                <c:v>-11.152465233740831</c:v>
              </c:pt>
            </c:numLit>
          </c:xVal>
          <c:yVal>
            <c:numLit>
              <c:formatCode>General</c:formatCode>
              <c:ptCount val="2"/>
              <c:pt idx="0">
                <c:v>1.3574325463158354E-3</c:v>
              </c:pt>
              <c:pt idx="1">
                <c:v>1.2394792183822454E-3</c:v>
              </c:pt>
            </c:numLit>
          </c:yVal>
          <c:smooth val="0"/>
          <c:extLst>
            <c:ext xmlns:c16="http://schemas.microsoft.com/office/drawing/2014/chart" uri="{C3380CC4-5D6E-409C-BE32-E72D297353CC}">
              <c16:uniqueId val="{00000005-A402-42FC-9BD5-949CB9566FCD}"/>
            </c:ext>
          </c:extLst>
        </c:ser>
        <c:ser>
          <c:idx val="5"/>
          <c:order val="5"/>
          <c:tx>
            <c:v>h=-7</c:v>
          </c:tx>
          <c:spPr>
            <a:ln w="3175">
              <a:solidFill>
                <a:srgbClr val="808080"/>
              </a:solidFill>
              <a:prstDash val="solid"/>
            </a:ln>
          </c:spPr>
          <c:marker>
            <c:symbol val="none"/>
          </c:marker>
          <c:xVal>
            <c:numLit>
              <c:formatCode>General</c:formatCode>
              <c:ptCount val="2"/>
              <c:pt idx="0">
                <c:v>-11.144056452039498</c:v>
              </c:pt>
              <c:pt idx="1">
                <c:v>-10.844056452039498</c:v>
              </c:pt>
            </c:numLit>
          </c:xVal>
          <c:yVal>
            <c:numLit>
              <c:formatCode>General</c:formatCode>
              <c:ptCount val="2"/>
              <c:pt idx="0">
                <c:v>1.6233310681386798E-3</c:v>
              </c:pt>
              <c:pt idx="1">
                <c:v>1.5058135279994939E-3</c:v>
              </c:pt>
            </c:numLit>
          </c:yVal>
          <c:smooth val="0"/>
          <c:extLst>
            <c:ext xmlns:c16="http://schemas.microsoft.com/office/drawing/2014/chart" uri="{C3380CC4-5D6E-409C-BE32-E72D297353CC}">
              <c16:uniqueId val="{00000006-A402-42FC-9BD5-949CB9566FCD}"/>
            </c:ext>
          </c:extLst>
        </c:ser>
        <c:ser>
          <c:idx val="6"/>
          <c:order val="6"/>
          <c:tx>
            <c:v>h=-6</c:v>
          </c:tx>
          <c:spPr>
            <a:ln w="3175">
              <a:solidFill>
                <a:srgbClr val="808080"/>
              </a:solidFill>
              <a:prstDash val="solid"/>
            </a:ln>
          </c:spPr>
          <c:marker>
            <c:symbol val="none"/>
          </c:marker>
          <c:xVal>
            <c:numLit>
              <c:formatCode>General</c:formatCode>
              <c:ptCount val="2"/>
              <c:pt idx="0">
                <c:v>-10.835647670338163</c:v>
              </c:pt>
              <c:pt idx="1">
                <c:v>-10.535647670338165</c:v>
              </c:pt>
            </c:numLit>
          </c:xVal>
          <c:yVal>
            <c:numLit>
              <c:formatCode>General</c:formatCode>
              <c:ptCount val="2"/>
              <c:pt idx="0">
                <c:v>1.8892295899615242E-3</c:v>
              </c:pt>
              <c:pt idx="1">
                <c:v>1.7720231854368492E-3</c:v>
              </c:pt>
            </c:numLit>
          </c:yVal>
          <c:smooth val="0"/>
          <c:extLst>
            <c:ext xmlns:c16="http://schemas.microsoft.com/office/drawing/2014/chart" uri="{C3380CC4-5D6E-409C-BE32-E72D297353CC}">
              <c16:uniqueId val="{00000007-A402-42FC-9BD5-949CB9566FCD}"/>
            </c:ext>
          </c:extLst>
        </c:ser>
        <c:ser>
          <c:idx val="7"/>
          <c:order val="7"/>
          <c:tx>
            <c:v>h=-5</c:v>
          </c:tx>
          <c:spPr>
            <a:ln w="3175">
              <a:solidFill>
                <a:srgbClr val="808080"/>
              </a:solidFill>
              <a:prstDash val="solid"/>
            </a:ln>
          </c:spPr>
          <c:marker>
            <c:symbol val="none"/>
          </c:marker>
          <c:dLbls>
            <c:dLbl>
              <c:idx val="0"/>
              <c:layout>
                <c:manualLayout>
                  <c:x val="-5.2083333333333296E-3"/>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402-42FC-9BD5-949CB9566F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-10.52723888863683</c:v>
              </c:pt>
              <c:pt idx="1">
                <c:v>-5</c:v>
              </c:pt>
            </c:numLit>
          </c:xVal>
          <c:yVal>
            <c:numLit>
              <c:formatCode>General</c:formatCode>
              <c:ptCount val="2"/>
              <c:pt idx="0">
                <c:v>2.1551281117843687E-3</c:v>
              </c:pt>
              <c:pt idx="1">
                <c:v>0</c:v>
              </c:pt>
            </c:numLit>
          </c:yVal>
          <c:smooth val="0"/>
          <c:extLst>
            <c:ext xmlns:c16="http://schemas.microsoft.com/office/drawing/2014/chart" uri="{C3380CC4-5D6E-409C-BE32-E72D297353CC}">
              <c16:uniqueId val="{00000009-A402-42FC-9BD5-949CB9566FCD}"/>
            </c:ext>
          </c:extLst>
        </c:ser>
        <c:ser>
          <c:idx val="8"/>
          <c:order val="8"/>
          <c:tx>
            <c:v>h=-4</c:v>
          </c:tx>
          <c:spPr>
            <a:ln w="3175">
              <a:solidFill>
                <a:srgbClr val="808080"/>
              </a:solidFill>
              <a:prstDash val="solid"/>
            </a:ln>
          </c:spPr>
          <c:marker>
            <c:symbol val="none"/>
          </c:marker>
          <c:xVal>
            <c:numLit>
              <c:formatCode>General</c:formatCode>
              <c:ptCount val="2"/>
              <c:pt idx="0">
                <c:v>-10.218830106935497</c:v>
              </c:pt>
              <c:pt idx="1">
                <c:v>-9.9188301069354967</c:v>
              </c:pt>
            </c:numLit>
          </c:xVal>
          <c:yVal>
            <c:numLit>
              <c:formatCode>General</c:formatCode>
              <c:ptCount val="2"/>
              <c:pt idx="0">
                <c:v>2.4210266336072133E-3</c:v>
              </c:pt>
              <c:pt idx="1">
                <c:v>2.3042348934257033E-3</c:v>
              </c:pt>
            </c:numLit>
          </c:yVal>
          <c:smooth val="0"/>
          <c:extLst>
            <c:ext xmlns:c16="http://schemas.microsoft.com/office/drawing/2014/chart" uri="{C3380CC4-5D6E-409C-BE32-E72D297353CC}">
              <c16:uniqueId val="{0000000A-A402-42FC-9BD5-949CB9566FCD}"/>
            </c:ext>
          </c:extLst>
        </c:ser>
        <c:ser>
          <c:idx val="9"/>
          <c:order val="9"/>
          <c:tx>
            <c:v>h=-3</c:v>
          </c:tx>
          <c:spPr>
            <a:ln w="3175">
              <a:solidFill>
                <a:srgbClr val="808080"/>
              </a:solidFill>
              <a:prstDash val="solid"/>
            </a:ln>
          </c:spPr>
          <c:marker>
            <c:symbol val="none"/>
          </c:marker>
          <c:xVal>
            <c:numLit>
              <c:formatCode>General</c:formatCode>
              <c:ptCount val="2"/>
              <c:pt idx="0">
                <c:v>-9.9104213252341626</c:v>
              </c:pt>
              <c:pt idx="1">
                <c:v>-9.6104213252341637</c:v>
              </c:pt>
            </c:numLit>
          </c:xVal>
          <c:yVal>
            <c:numLit>
              <c:formatCode>General</c:formatCode>
              <c:ptCount val="2"/>
              <c:pt idx="0">
                <c:v>2.6869251554300574E-3</c:v>
              </c:pt>
              <c:pt idx="1">
                <c:v>2.5702784983462792E-3</c:v>
              </c:pt>
            </c:numLit>
          </c:yVal>
          <c:smooth val="0"/>
          <c:extLst>
            <c:ext xmlns:c16="http://schemas.microsoft.com/office/drawing/2014/chart" uri="{C3380CC4-5D6E-409C-BE32-E72D297353CC}">
              <c16:uniqueId val="{0000000B-A402-42FC-9BD5-949CB9566FCD}"/>
            </c:ext>
          </c:extLst>
        </c:ser>
        <c:ser>
          <c:idx val="10"/>
          <c:order val="10"/>
          <c:tx>
            <c:v>h=-2</c:v>
          </c:tx>
          <c:spPr>
            <a:ln w="3175">
              <a:solidFill>
                <a:srgbClr val="808080"/>
              </a:solidFill>
              <a:prstDash val="solid"/>
            </a:ln>
          </c:spPr>
          <c:marker>
            <c:symbol val="none"/>
          </c:marker>
          <c:xVal>
            <c:numLit>
              <c:formatCode>General</c:formatCode>
              <c:ptCount val="2"/>
              <c:pt idx="0">
                <c:v>-9.6020125435328296</c:v>
              </c:pt>
              <c:pt idx="1">
                <c:v>-9.3020125435328289</c:v>
              </c:pt>
            </c:numLit>
          </c:xVal>
          <c:yVal>
            <c:numLit>
              <c:formatCode>General</c:formatCode>
              <c:ptCount val="2"/>
              <c:pt idx="0">
                <c:v>2.952823677252902E-3</c:v>
              </c:pt>
              <c:pt idx="1">
                <c:v>2.8362957054687095E-3</c:v>
              </c:pt>
            </c:numLit>
          </c:yVal>
          <c:smooth val="0"/>
          <c:extLst>
            <c:ext xmlns:c16="http://schemas.microsoft.com/office/drawing/2014/chart" uri="{C3380CC4-5D6E-409C-BE32-E72D297353CC}">
              <c16:uniqueId val="{0000000C-A402-42FC-9BD5-949CB9566FCD}"/>
            </c:ext>
          </c:extLst>
        </c:ser>
        <c:ser>
          <c:idx val="11"/>
          <c:order val="11"/>
          <c:tx>
            <c:v>h=-1</c:v>
          </c:tx>
          <c:spPr>
            <a:ln w="3175">
              <a:solidFill>
                <a:srgbClr val="808080"/>
              </a:solidFill>
              <a:prstDash val="solid"/>
            </a:ln>
          </c:spPr>
          <c:marker>
            <c:symbol val="none"/>
          </c:marker>
          <c:xVal>
            <c:numLit>
              <c:formatCode>General</c:formatCode>
              <c:ptCount val="2"/>
              <c:pt idx="0">
                <c:v>-9.2936037618314966</c:v>
              </c:pt>
              <c:pt idx="1">
                <c:v>-8.9936037618314959</c:v>
              </c:pt>
            </c:numLit>
          </c:xVal>
          <c:yVal>
            <c:numLit>
              <c:formatCode>General</c:formatCode>
              <c:ptCount val="2"/>
              <c:pt idx="0">
                <c:v>3.2187221990757462E-3</c:v>
              </c:pt>
              <c:pt idx="1">
                <c:v>3.102293118611757E-3</c:v>
              </c:pt>
            </c:numLit>
          </c:yVal>
          <c:smooth val="0"/>
          <c:extLst>
            <c:ext xmlns:c16="http://schemas.microsoft.com/office/drawing/2014/chart" uri="{C3380CC4-5D6E-409C-BE32-E72D297353CC}">
              <c16:uniqueId val="{0000000D-A402-42FC-9BD5-949CB9566FCD}"/>
            </c:ext>
          </c:extLst>
        </c:ser>
        <c:ser>
          <c:idx val="12"/>
          <c:order val="12"/>
          <c:tx>
            <c:v>h=0</c:v>
          </c:tx>
          <c:spPr>
            <a:ln w="3175">
              <a:solidFill>
                <a:srgbClr val="808080"/>
              </a:solidFill>
              <a:prstDash val="solid"/>
            </a:ln>
          </c:spPr>
          <c:marker>
            <c:symbol val="none"/>
          </c:marker>
          <c:dLbls>
            <c:dLbl>
              <c:idx val="0"/>
              <c:layout>
                <c:manualLayout>
                  <c:x val="-2.8094242125984253E-2"/>
                  <c:y val="-6.525674675281130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402-42FC-9BD5-949CB9566F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-8.9851949801301618</c:v>
              </c:pt>
              <c:pt idx="1">
                <c:v>0</c:v>
              </c:pt>
            </c:numLit>
          </c:xVal>
          <c:yVal>
            <c:numLit>
              <c:formatCode>General</c:formatCode>
              <c:ptCount val="2"/>
              <c:pt idx="0">
                <c:v>3.4846207208985907E-3</c:v>
              </c:pt>
              <c:pt idx="1">
                <c:v>0</c:v>
              </c:pt>
            </c:numLit>
          </c:yVal>
          <c:smooth val="0"/>
          <c:extLst>
            <c:ext xmlns:c16="http://schemas.microsoft.com/office/drawing/2014/chart" uri="{C3380CC4-5D6E-409C-BE32-E72D297353CC}">
              <c16:uniqueId val="{0000000F-A402-42FC-9BD5-949CB9566FCD}"/>
            </c:ext>
          </c:extLst>
        </c:ser>
        <c:ser>
          <c:idx val="13"/>
          <c:order val="13"/>
          <c:tx>
            <c:v>h=1</c:v>
          </c:tx>
          <c:spPr>
            <a:ln w="3175">
              <a:solidFill>
                <a:srgbClr val="808080"/>
              </a:solidFill>
              <a:prstDash val="solid"/>
            </a:ln>
          </c:spPr>
          <c:marker>
            <c:symbol val="none"/>
          </c:marker>
          <c:xVal>
            <c:numLit>
              <c:formatCode>General</c:formatCode>
              <c:ptCount val="2"/>
              <c:pt idx="0">
                <c:v>-8.6767861984288288</c:v>
              </c:pt>
              <c:pt idx="1">
                <c:v>-8.3767861984288281</c:v>
              </c:pt>
            </c:numLit>
          </c:xVal>
          <c:yVal>
            <c:numLit>
              <c:formatCode>General</c:formatCode>
              <c:ptCount val="2"/>
              <c:pt idx="0">
                <c:v>3.7505192427214353E-3</c:v>
              </c:pt>
              <c:pt idx="1">
                <c:v>3.6342455388548439E-3</c:v>
              </c:pt>
            </c:numLit>
          </c:yVal>
          <c:smooth val="0"/>
          <c:extLst>
            <c:ext xmlns:c16="http://schemas.microsoft.com/office/drawing/2014/chart" uri="{C3380CC4-5D6E-409C-BE32-E72D297353CC}">
              <c16:uniqueId val="{00000010-A402-42FC-9BD5-949CB9566FCD}"/>
            </c:ext>
          </c:extLst>
        </c:ser>
        <c:ser>
          <c:idx val="14"/>
          <c:order val="14"/>
          <c:tx>
            <c:v>h=2</c:v>
          </c:tx>
          <c:spPr>
            <a:ln w="3175">
              <a:solidFill>
                <a:srgbClr val="808080"/>
              </a:solidFill>
              <a:prstDash val="solid"/>
            </a:ln>
          </c:spPr>
          <c:marker>
            <c:symbol val="none"/>
          </c:marker>
          <c:xVal>
            <c:numLit>
              <c:formatCode>General</c:formatCode>
              <c:ptCount val="2"/>
              <c:pt idx="0">
                <c:v>-8.3683774167274958</c:v>
              </c:pt>
              <c:pt idx="1">
                <c:v>-8.0683774167274951</c:v>
              </c:pt>
            </c:numLit>
          </c:xVal>
          <c:yVal>
            <c:numLit>
              <c:formatCode>General</c:formatCode>
              <c:ptCount val="2"/>
              <c:pt idx="0">
                <c:v>4.0164177645442799E-3</c:v>
              </c:pt>
              <c:pt idx="1">
                <c:v>3.9002062030882552E-3</c:v>
              </c:pt>
            </c:numLit>
          </c:yVal>
          <c:smooth val="0"/>
          <c:extLst>
            <c:ext xmlns:c16="http://schemas.microsoft.com/office/drawing/2014/chart" uri="{C3380CC4-5D6E-409C-BE32-E72D297353CC}">
              <c16:uniqueId val="{00000011-A402-42FC-9BD5-949CB9566FCD}"/>
            </c:ext>
          </c:extLst>
        </c:ser>
        <c:ser>
          <c:idx val="15"/>
          <c:order val="15"/>
          <c:tx>
            <c:v>h=3</c:v>
          </c:tx>
          <c:spPr>
            <a:ln w="3175">
              <a:solidFill>
                <a:srgbClr val="808080"/>
              </a:solidFill>
              <a:prstDash val="solid"/>
            </a:ln>
          </c:spPr>
          <c:marker>
            <c:symbol val="none"/>
          </c:marker>
          <c:xVal>
            <c:numLit>
              <c:formatCode>General</c:formatCode>
              <c:ptCount val="2"/>
              <c:pt idx="0">
                <c:v>-8.059968635026161</c:v>
              </c:pt>
              <c:pt idx="1">
                <c:v>-7.7599686350261612</c:v>
              </c:pt>
            </c:numLit>
          </c:xVal>
          <c:yVal>
            <c:numLit>
              <c:formatCode>General</c:formatCode>
              <c:ptCount val="2"/>
              <c:pt idx="0">
                <c:v>4.282316286367124E-3</c:v>
              </c:pt>
              <c:pt idx="1">
                <c:v>4.1661590956639247E-3</c:v>
              </c:pt>
            </c:numLit>
          </c:yVal>
          <c:smooth val="0"/>
          <c:extLst>
            <c:ext xmlns:c16="http://schemas.microsoft.com/office/drawing/2014/chart" uri="{C3380CC4-5D6E-409C-BE32-E72D297353CC}">
              <c16:uniqueId val="{00000012-A402-42FC-9BD5-949CB9566FCD}"/>
            </c:ext>
          </c:extLst>
        </c:ser>
        <c:ser>
          <c:idx val="16"/>
          <c:order val="16"/>
          <c:tx>
            <c:v>h=4</c:v>
          </c:tx>
          <c:spPr>
            <a:ln w="3175">
              <a:solidFill>
                <a:srgbClr val="808080"/>
              </a:solidFill>
              <a:prstDash val="solid"/>
            </a:ln>
          </c:spPr>
          <c:marker>
            <c:symbol val="none"/>
          </c:marker>
          <c:xVal>
            <c:numLit>
              <c:formatCode>General</c:formatCode>
              <c:ptCount val="2"/>
              <c:pt idx="0">
                <c:v>-7.751559853324828</c:v>
              </c:pt>
              <c:pt idx="1">
                <c:v>-7.4515598533248282</c:v>
              </c:pt>
            </c:numLit>
          </c:xVal>
          <c:yVal>
            <c:numLit>
              <c:formatCode>General</c:formatCode>
              <c:ptCount val="2"/>
              <c:pt idx="0">
                <c:v>4.5482148081899682E-3</c:v>
              </c:pt>
              <c:pt idx="1">
                <c:v>4.4321055886916774E-3</c:v>
              </c:pt>
            </c:numLit>
          </c:yVal>
          <c:smooth val="0"/>
          <c:extLst>
            <c:ext xmlns:c16="http://schemas.microsoft.com/office/drawing/2014/chart" uri="{C3380CC4-5D6E-409C-BE32-E72D297353CC}">
              <c16:uniqueId val="{00000013-A402-42FC-9BD5-949CB9566FCD}"/>
            </c:ext>
          </c:extLst>
        </c:ser>
        <c:ser>
          <c:idx val="17"/>
          <c:order val="17"/>
          <c:tx>
            <c:v>h=5</c:v>
          </c:tx>
          <c:spPr>
            <a:ln w="3175">
              <a:solidFill>
                <a:srgbClr val="808080"/>
              </a:solidFill>
              <a:prstDash val="solid"/>
            </a:ln>
          </c:spPr>
          <c:marker>
            <c:symbol val="none"/>
          </c:marker>
          <c:dLbls>
            <c:dLbl>
              <c:idx val="0"/>
              <c:layout>
                <c:manualLayout>
                  <c:x val="-2.809424212598426E-2"/>
                  <c:y val="-6.525674675281130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402-42FC-9BD5-949CB9566F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-7.4431510716234941</c:v>
              </c:pt>
              <c:pt idx="1">
                <c:v>5</c:v>
              </c:pt>
            </c:numLit>
          </c:xVal>
          <c:yVal>
            <c:numLit>
              <c:formatCode>General</c:formatCode>
              <c:ptCount val="2"/>
              <c:pt idx="0">
                <c:v>4.8141133300128132E-3</c:v>
              </c:pt>
              <c:pt idx="1">
                <c:v>0</c:v>
              </c:pt>
            </c:numLit>
          </c:yVal>
          <c:smooth val="0"/>
          <c:extLst>
            <c:ext xmlns:c16="http://schemas.microsoft.com/office/drawing/2014/chart" uri="{C3380CC4-5D6E-409C-BE32-E72D297353CC}">
              <c16:uniqueId val="{00000015-A402-42FC-9BD5-949CB9566FCD}"/>
            </c:ext>
          </c:extLst>
        </c:ser>
        <c:ser>
          <c:idx val="18"/>
          <c:order val="18"/>
          <c:tx>
            <c:v>h=6</c:v>
          </c:tx>
          <c:spPr>
            <a:ln w="3175">
              <a:solidFill>
                <a:srgbClr val="808080"/>
              </a:solidFill>
              <a:prstDash val="solid"/>
            </a:ln>
          </c:spPr>
          <c:marker>
            <c:symbol val="none"/>
          </c:marker>
          <c:xVal>
            <c:numLit>
              <c:formatCode>General</c:formatCode>
              <c:ptCount val="2"/>
              <c:pt idx="0">
                <c:v>-7.1347422899221611</c:v>
              </c:pt>
              <c:pt idx="1">
                <c:v>-6.8347422899221613</c:v>
              </c:pt>
            </c:numLit>
          </c:xVal>
          <c:yVal>
            <c:numLit>
              <c:formatCode>General</c:formatCode>
              <c:ptCount val="2"/>
              <c:pt idx="0">
                <c:v>5.0800118518356573E-3</c:v>
              </c:pt>
              <c:pt idx="1">
                <c:v>4.9639834196128175E-3</c:v>
              </c:pt>
            </c:numLit>
          </c:yVal>
          <c:smooth val="0"/>
          <c:extLst>
            <c:ext xmlns:c16="http://schemas.microsoft.com/office/drawing/2014/chart" uri="{C3380CC4-5D6E-409C-BE32-E72D297353CC}">
              <c16:uniqueId val="{00000016-A402-42FC-9BD5-949CB9566FCD}"/>
            </c:ext>
          </c:extLst>
        </c:ser>
        <c:ser>
          <c:idx val="19"/>
          <c:order val="19"/>
          <c:tx>
            <c:v>h=7</c:v>
          </c:tx>
          <c:spPr>
            <a:ln w="3175">
              <a:solidFill>
                <a:srgbClr val="808080"/>
              </a:solidFill>
              <a:prstDash val="solid"/>
            </a:ln>
          </c:spPr>
          <c:marker>
            <c:symbol val="none"/>
          </c:marker>
          <c:xVal>
            <c:numLit>
              <c:formatCode>General</c:formatCode>
              <c:ptCount val="2"/>
              <c:pt idx="0">
                <c:v>-6.8263335082208272</c:v>
              </c:pt>
              <c:pt idx="1">
                <c:v>-6.5263335082208274</c:v>
              </c:pt>
            </c:numLit>
          </c:xVal>
          <c:yVal>
            <c:numLit>
              <c:formatCode>General</c:formatCode>
              <c:ptCount val="2"/>
              <c:pt idx="0">
                <c:v>5.3459103736585014E-3</c:v>
              </c:pt>
              <c:pt idx="1">
                <c:v>5.2299162736214972E-3</c:v>
              </c:pt>
            </c:numLit>
          </c:yVal>
          <c:smooth val="0"/>
          <c:extLst>
            <c:ext xmlns:c16="http://schemas.microsoft.com/office/drawing/2014/chart" uri="{C3380CC4-5D6E-409C-BE32-E72D297353CC}">
              <c16:uniqueId val="{00000017-A402-42FC-9BD5-949CB9566FCD}"/>
            </c:ext>
          </c:extLst>
        </c:ser>
        <c:ser>
          <c:idx val="20"/>
          <c:order val="20"/>
          <c:tx>
            <c:v>h=8</c:v>
          </c:tx>
          <c:spPr>
            <a:ln w="3175">
              <a:solidFill>
                <a:srgbClr val="808080"/>
              </a:solidFill>
              <a:prstDash val="solid"/>
            </a:ln>
          </c:spPr>
          <c:marker>
            <c:symbol val="none"/>
          </c:marker>
          <c:xVal>
            <c:numLit>
              <c:formatCode>General</c:formatCode>
              <c:ptCount val="2"/>
              <c:pt idx="0">
                <c:v>-6.5179247265194933</c:v>
              </c:pt>
              <c:pt idx="1">
                <c:v>-6.2179247265194935</c:v>
              </c:pt>
            </c:numLit>
          </c:xVal>
          <c:yVal>
            <c:numLit>
              <c:formatCode>General</c:formatCode>
              <c:ptCount val="2"/>
              <c:pt idx="0">
                <c:v>5.6118088954813464E-3</c:v>
              </c:pt>
              <c:pt idx="1">
                <c:v>5.4958458566615404E-3</c:v>
              </c:pt>
            </c:numLit>
          </c:yVal>
          <c:smooth val="0"/>
          <c:extLst>
            <c:ext xmlns:c16="http://schemas.microsoft.com/office/drawing/2014/chart" uri="{C3380CC4-5D6E-409C-BE32-E72D297353CC}">
              <c16:uniqueId val="{00000018-A402-42FC-9BD5-949CB9566FCD}"/>
            </c:ext>
          </c:extLst>
        </c:ser>
        <c:ser>
          <c:idx val="21"/>
          <c:order val="21"/>
          <c:tx>
            <c:v>h=9</c:v>
          </c:tx>
          <c:spPr>
            <a:ln w="3175">
              <a:solidFill>
                <a:srgbClr val="808080"/>
              </a:solidFill>
              <a:prstDash val="solid"/>
            </a:ln>
          </c:spPr>
          <c:marker>
            <c:symbol val="none"/>
          </c:marker>
          <c:xVal>
            <c:numLit>
              <c:formatCode>General</c:formatCode>
              <c:ptCount val="2"/>
              <c:pt idx="0">
                <c:v>-6.2095159448181603</c:v>
              </c:pt>
              <c:pt idx="1">
                <c:v>-5.9095159448181604</c:v>
              </c:pt>
            </c:numLit>
          </c:xVal>
          <c:yVal>
            <c:numLit>
              <c:formatCode>General</c:formatCode>
              <c:ptCount val="2"/>
              <c:pt idx="0">
                <c:v>5.8777074173041906E-3</c:v>
              </c:pt>
              <c:pt idx="1">
                <c:v>5.7617726149351506E-3</c:v>
              </c:pt>
            </c:numLit>
          </c:yVal>
          <c:smooth val="0"/>
          <c:extLst>
            <c:ext xmlns:c16="http://schemas.microsoft.com/office/drawing/2014/chart" uri="{C3380CC4-5D6E-409C-BE32-E72D297353CC}">
              <c16:uniqueId val="{00000019-A402-42FC-9BD5-949CB9566FCD}"/>
            </c:ext>
          </c:extLst>
        </c:ser>
        <c:ser>
          <c:idx val="22"/>
          <c:order val="22"/>
          <c:tx>
            <c:v>h=10</c:v>
          </c:tx>
          <c:spPr>
            <a:ln w="3175">
              <a:solidFill>
                <a:srgbClr val="808080"/>
              </a:solidFill>
              <a:prstDash val="solid"/>
            </a:ln>
          </c:spPr>
          <c:marker>
            <c:symbol val="none"/>
          </c:marker>
          <c:dLbls>
            <c:dLbl>
              <c:idx val="0"/>
              <c:layout>
                <c:manualLayout>
                  <c:x val="-3.0087489063867018E-2"/>
                  <c:y val="-9.347701729591650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402-42FC-9BD5-949CB9566F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-5.9011071631168264</c:v>
              </c:pt>
              <c:pt idx="1">
                <c:v>10</c:v>
              </c:pt>
            </c:numLit>
          </c:xVal>
          <c:yVal>
            <c:numLit>
              <c:formatCode>General</c:formatCode>
              <c:ptCount val="2"/>
              <c:pt idx="0">
                <c:v>6.1436059391270347E-3</c:v>
              </c:pt>
              <c:pt idx="1">
                <c:v>0</c:v>
              </c:pt>
            </c:numLit>
          </c:yVal>
          <c:smooth val="0"/>
          <c:extLst>
            <c:ext xmlns:c16="http://schemas.microsoft.com/office/drawing/2014/chart" uri="{C3380CC4-5D6E-409C-BE32-E72D297353CC}">
              <c16:uniqueId val="{0000001B-A402-42FC-9BD5-949CB9566FCD}"/>
            </c:ext>
          </c:extLst>
        </c:ser>
        <c:ser>
          <c:idx val="23"/>
          <c:order val="23"/>
          <c:tx>
            <c:v>h=11</c:v>
          </c:tx>
          <c:spPr>
            <a:ln w="3175">
              <a:solidFill>
                <a:srgbClr val="808080"/>
              </a:solidFill>
              <a:prstDash val="solid"/>
            </a:ln>
          </c:spPr>
          <c:marker>
            <c:symbol val="none"/>
          </c:marker>
          <c:xVal>
            <c:numLit>
              <c:formatCode>General</c:formatCode>
              <c:ptCount val="2"/>
              <c:pt idx="0">
                <c:v>-5.5926983814154925</c:v>
              </c:pt>
              <c:pt idx="1">
                <c:v>-5.2926983814154926</c:v>
              </c:pt>
            </c:numLit>
          </c:xVal>
          <c:yVal>
            <c:numLit>
              <c:formatCode>General</c:formatCode>
              <c:ptCount val="2"/>
              <c:pt idx="0">
                <c:v>6.4095044609498797E-3</c:v>
              </c:pt>
              <c:pt idx="1">
                <c:v>6.2936190700336779E-3</c:v>
              </c:pt>
            </c:numLit>
          </c:yVal>
          <c:smooth val="0"/>
          <c:extLst>
            <c:ext xmlns:c16="http://schemas.microsoft.com/office/drawing/2014/chart" uri="{C3380CC4-5D6E-409C-BE32-E72D297353CC}">
              <c16:uniqueId val="{0000001C-A402-42FC-9BD5-949CB9566FCD}"/>
            </c:ext>
          </c:extLst>
        </c:ser>
        <c:ser>
          <c:idx val="24"/>
          <c:order val="24"/>
          <c:tx>
            <c:v>h=12</c:v>
          </c:tx>
          <c:spPr>
            <a:ln w="3175">
              <a:solidFill>
                <a:srgbClr val="808080"/>
              </a:solidFill>
              <a:prstDash val="solid"/>
            </a:ln>
          </c:spPr>
          <c:marker>
            <c:symbol val="none"/>
          </c:marker>
          <c:xVal>
            <c:numLit>
              <c:formatCode>General</c:formatCode>
              <c:ptCount val="2"/>
              <c:pt idx="0">
                <c:v>-5.2842895997141595</c:v>
              </c:pt>
              <c:pt idx="1">
                <c:v>-4.9842895997141596</c:v>
              </c:pt>
            </c:numLit>
          </c:xVal>
          <c:yVal>
            <c:numLit>
              <c:formatCode>General</c:formatCode>
              <c:ptCount val="2"/>
              <c:pt idx="0">
                <c:v>6.6754029827727239E-3</c:v>
              </c:pt>
              <c:pt idx="1">
                <c:v>6.5595393319539518E-3</c:v>
              </c:pt>
            </c:numLit>
          </c:yVal>
          <c:smooth val="0"/>
          <c:extLst>
            <c:ext xmlns:c16="http://schemas.microsoft.com/office/drawing/2014/chart" uri="{C3380CC4-5D6E-409C-BE32-E72D297353CC}">
              <c16:uniqueId val="{0000001D-A402-42FC-9BD5-949CB9566FCD}"/>
            </c:ext>
          </c:extLst>
        </c:ser>
        <c:ser>
          <c:idx val="25"/>
          <c:order val="25"/>
          <c:tx>
            <c:v>h=13</c:v>
          </c:tx>
          <c:spPr>
            <a:ln w="3175">
              <a:solidFill>
                <a:srgbClr val="808080"/>
              </a:solidFill>
              <a:prstDash val="solid"/>
            </a:ln>
          </c:spPr>
          <c:marker>
            <c:symbol val="none"/>
          </c:marker>
          <c:xVal>
            <c:numLit>
              <c:formatCode>General</c:formatCode>
              <c:ptCount val="2"/>
              <c:pt idx="0">
                <c:v>-4.9758808180128256</c:v>
              </c:pt>
              <c:pt idx="1">
                <c:v>-4.6758808180128257</c:v>
              </c:pt>
            </c:numLit>
          </c:xVal>
          <c:yVal>
            <c:numLit>
              <c:formatCode>General</c:formatCode>
              <c:ptCount val="2"/>
              <c:pt idx="0">
                <c:v>6.941301504595568E-3</c:v>
              </c:pt>
              <c:pt idx="1">
                <c:v>6.8254579210482186E-3</c:v>
              </c:pt>
            </c:numLit>
          </c:yVal>
          <c:smooth val="0"/>
          <c:extLst>
            <c:ext xmlns:c16="http://schemas.microsoft.com/office/drawing/2014/chart" uri="{C3380CC4-5D6E-409C-BE32-E72D297353CC}">
              <c16:uniqueId val="{0000001E-A402-42FC-9BD5-949CB9566FCD}"/>
            </c:ext>
          </c:extLst>
        </c:ser>
        <c:ser>
          <c:idx val="26"/>
          <c:order val="26"/>
          <c:tx>
            <c:v>h=14</c:v>
          </c:tx>
          <c:spPr>
            <a:ln w="3175">
              <a:solidFill>
                <a:srgbClr val="808080"/>
              </a:solidFill>
              <a:prstDash val="solid"/>
            </a:ln>
          </c:spPr>
          <c:marker>
            <c:symbol val="none"/>
          </c:marker>
          <c:xVal>
            <c:numLit>
              <c:formatCode>General</c:formatCode>
              <c:ptCount val="2"/>
              <c:pt idx="0">
                <c:v>-4.6674720363114925</c:v>
              </c:pt>
              <c:pt idx="1">
                <c:v>-4.3674720363114918</c:v>
              </c:pt>
            </c:numLit>
          </c:xVal>
          <c:yVal>
            <c:numLit>
              <c:formatCode>General</c:formatCode>
              <c:ptCount val="2"/>
              <c:pt idx="0">
                <c:v>7.207200026418413E-3</c:v>
              </c:pt>
              <c:pt idx="1">
                <c:v>7.0913750232407067E-3</c:v>
              </c:pt>
            </c:numLit>
          </c:yVal>
          <c:smooth val="0"/>
          <c:extLst>
            <c:ext xmlns:c16="http://schemas.microsoft.com/office/drawing/2014/chart" uri="{C3380CC4-5D6E-409C-BE32-E72D297353CC}">
              <c16:uniqueId val="{0000001F-A402-42FC-9BD5-949CB9566FCD}"/>
            </c:ext>
          </c:extLst>
        </c:ser>
        <c:ser>
          <c:idx val="27"/>
          <c:order val="27"/>
          <c:tx>
            <c:v>h=15</c:v>
          </c:tx>
          <c:spPr>
            <a:ln w="3175">
              <a:solidFill>
                <a:srgbClr val="808080"/>
              </a:solidFill>
              <a:prstDash val="solid"/>
            </a:ln>
          </c:spPr>
          <c:marker>
            <c:symbol val="none"/>
          </c:marker>
          <c:dLbls>
            <c:dLbl>
              <c:idx val="0"/>
              <c:layout>
                <c:manualLayout>
                  <c:x val="-3.0087489063867032E-2"/>
                  <c:y val="-9.347701729591571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0-A402-42FC-9BD5-949CB9566F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-4.3590632546101586</c:v>
              </c:pt>
              <c:pt idx="1">
                <c:v>15</c:v>
              </c:pt>
            </c:numLit>
          </c:xVal>
          <c:yVal>
            <c:numLit>
              <c:formatCode>General</c:formatCode>
              <c:ptCount val="2"/>
              <c:pt idx="0">
                <c:v>7.4730985482412571E-3</c:v>
              </c:pt>
              <c:pt idx="1">
                <c:v>0</c:v>
              </c:pt>
            </c:numLit>
          </c:yVal>
          <c:smooth val="0"/>
          <c:extLst>
            <c:ext xmlns:c16="http://schemas.microsoft.com/office/drawing/2014/chart" uri="{C3380CC4-5D6E-409C-BE32-E72D297353CC}">
              <c16:uniqueId val="{00000021-A402-42FC-9BD5-949CB9566FCD}"/>
            </c:ext>
          </c:extLst>
        </c:ser>
        <c:ser>
          <c:idx val="28"/>
          <c:order val="28"/>
          <c:tx>
            <c:v>h=16</c:v>
          </c:tx>
          <c:spPr>
            <a:ln w="3175">
              <a:solidFill>
                <a:srgbClr val="808080"/>
              </a:solidFill>
              <a:prstDash val="solid"/>
            </a:ln>
          </c:spPr>
          <c:marker>
            <c:symbol val="none"/>
          </c:marker>
          <c:xVal>
            <c:numLit>
              <c:formatCode>General</c:formatCode>
              <c:ptCount val="2"/>
              <c:pt idx="0">
                <c:v>-4.0506544729088247</c:v>
              </c:pt>
              <c:pt idx="1">
                <c:v>-3.7506544729088249</c:v>
              </c:pt>
            </c:numLit>
          </c:xVal>
          <c:yVal>
            <c:numLit>
              <c:formatCode>General</c:formatCode>
              <c:ptCount val="2"/>
              <c:pt idx="0">
                <c:v>7.7389970700641013E-3</c:v>
              </c:pt>
              <c:pt idx="1">
                <c:v>7.6232053823585373E-3</c:v>
              </c:pt>
            </c:numLit>
          </c:yVal>
          <c:smooth val="0"/>
          <c:extLst>
            <c:ext xmlns:c16="http://schemas.microsoft.com/office/drawing/2014/chart" uri="{C3380CC4-5D6E-409C-BE32-E72D297353CC}">
              <c16:uniqueId val="{00000022-A402-42FC-9BD5-949CB9566FCD}"/>
            </c:ext>
          </c:extLst>
        </c:ser>
        <c:ser>
          <c:idx val="29"/>
          <c:order val="29"/>
          <c:tx>
            <c:v>h=17</c:v>
          </c:tx>
          <c:spPr>
            <a:ln w="3175">
              <a:solidFill>
                <a:srgbClr val="808080"/>
              </a:solidFill>
              <a:prstDash val="solid"/>
            </a:ln>
          </c:spPr>
          <c:marker>
            <c:symbol val="none"/>
          </c:marker>
          <c:xVal>
            <c:numLit>
              <c:formatCode>General</c:formatCode>
              <c:ptCount val="2"/>
              <c:pt idx="0">
                <c:v>-3.7422456912074913</c:v>
              </c:pt>
              <c:pt idx="1">
                <c:v>-3.4422456912074915</c:v>
              </c:pt>
            </c:numLit>
          </c:xVal>
          <c:yVal>
            <c:numLit>
              <c:formatCode>General</c:formatCode>
              <c:ptCount val="2"/>
              <c:pt idx="0">
                <c:v>8.0048955918869454E-3</c:v>
              </c:pt>
              <c:pt idx="1">
                <c:v>7.8891188957028839E-3</c:v>
              </c:pt>
            </c:numLit>
          </c:yVal>
          <c:smooth val="0"/>
          <c:extLst>
            <c:ext xmlns:c16="http://schemas.microsoft.com/office/drawing/2014/chart" uri="{C3380CC4-5D6E-409C-BE32-E72D297353CC}">
              <c16:uniqueId val="{00000023-A402-42FC-9BD5-949CB9566FCD}"/>
            </c:ext>
          </c:extLst>
        </c:ser>
        <c:ser>
          <c:idx val="30"/>
          <c:order val="30"/>
          <c:tx>
            <c:v>h=18</c:v>
          </c:tx>
          <c:spPr>
            <a:ln w="3175">
              <a:solidFill>
                <a:srgbClr val="808080"/>
              </a:solidFill>
              <a:prstDash val="solid"/>
            </a:ln>
          </c:spPr>
          <c:marker>
            <c:symbol val="none"/>
          </c:marker>
          <c:xVal>
            <c:numLit>
              <c:formatCode>General</c:formatCode>
              <c:ptCount val="2"/>
              <c:pt idx="0">
                <c:v>-3.4338369095061578</c:v>
              </c:pt>
              <c:pt idx="1">
                <c:v>-3.1338369095061576</c:v>
              </c:pt>
            </c:numLit>
          </c:xVal>
          <c:yVal>
            <c:numLit>
              <c:formatCode>General</c:formatCode>
              <c:ptCount val="2"/>
              <c:pt idx="0">
                <c:v>8.2707941137097896E-3</c:v>
              </c:pt>
              <c:pt idx="1">
                <c:v>8.1550314416045221E-3</c:v>
              </c:pt>
            </c:numLit>
          </c:yVal>
          <c:smooth val="0"/>
          <c:extLst>
            <c:ext xmlns:c16="http://schemas.microsoft.com/office/drawing/2014/chart" uri="{C3380CC4-5D6E-409C-BE32-E72D297353CC}">
              <c16:uniqueId val="{00000024-A402-42FC-9BD5-949CB9566FCD}"/>
            </c:ext>
          </c:extLst>
        </c:ser>
        <c:ser>
          <c:idx val="31"/>
          <c:order val="31"/>
          <c:tx>
            <c:v>h=19</c:v>
          </c:tx>
          <c:spPr>
            <a:ln w="3175">
              <a:solidFill>
                <a:srgbClr val="808080"/>
              </a:solidFill>
              <a:prstDash val="solid"/>
            </a:ln>
          </c:spPr>
          <c:marker>
            <c:symbol val="none"/>
          </c:marker>
          <c:xVal>
            <c:numLit>
              <c:formatCode>General</c:formatCode>
              <c:ptCount val="2"/>
              <c:pt idx="0">
                <c:v>-3.1254281278048244</c:v>
              </c:pt>
              <c:pt idx="1">
                <c:v>-2.8254281278048241</c:v>
              </c:pt>
            </c:numLit>
          </c:xVal>
          <c:yVal>
            <c:numLit>
              <c:formatCode>General</c:formatCode>
              <c:ptCount val="2"/>
              <c:pt idx="0">
                <c:v>8.5366926355326354E-3</c:v>
              </c:pt>
              <c:pt idx="1">
                <c:v>8.4209431107837157E-3</c:v>
              </c:pt>
            </c:numLit>
          </c:yVal>
          <c:smooth val="0"/>
          <c:extLst>
            <c:ext xmlns:c16="http://schemas.microsoft.com/office/drawing/2014/chart" uri="{C3380CC4-5D6E-409C-BE32-E72D297353CC}">
              <c16:uniqueId val="{00000025-A402-42FC-9BD5-949CB9566FCD}"/>
            </c:ext>
          </c:extLst>
        </c:ser>
        <c:ser>
          <c:idx val="32"/>
          <c:order val="32"/>
          <c:tx>
            <c:v>h=20</c:v>
          </c:tx>
          <c:spPr>
            <a:ln w="3175">
              <a:solidFill>
                <a:srgbClr val="808080"/>
              </a:solidFill>
              <a:prstDash val="solid"/>
            </a:ln>
          </c:spPr>
          <c:marker>
            <c:symbol val="none"/>
          </c:marker>
          <c:dLbls>
            <c:dLbl>
              <c:idx val="0"/>
              <c:layout>
                <c:manualLayout>
                  <c:x val="-3.0087489063867018E-2"/>
                  <c:y val="-9.347701729591650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20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6-A402-42FC-9BD5-949CB9566F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-2.8170193461034905</c:v>
              </c:pt>
              <c:pt idx="1">
                <c:v>20</c:v>
              </c:pt>
            </c:numLit>
          </c:xVal>
          <c:yVal>
            <c:numLit>
              <c:formatCode>General</c:formatCode>
              <c:ptCount val="2"/>
              <c:pt idx="0">
                <c:v>8.8025911573554796E-3</c:v>
              </c:pt>
              <c:pt idx="1">
                <c:v>0</c:v>
              </c:pt>
            </c:numLit>
          </c:yVal>
          <c:smooth val="0"/>
          <c:extLst>
            <c:ext xmlns:c16="http://schemas.microsoft.com/office/drawing/2014/chart" uri="{C3380CC4-5D6E-409C-BE32-E72D297353CC}">
              <c16:uniqueId val="{00000027-A402-42FC-9BD5-949CB9566FCD}"/>
            </c:ext>
          </c:extLst>
        </c:ser>
        <c:ser>
          <c:idx val="33"/>
          <c:order val="33"/>
          <c:tx>
            <c:v>h=21</c:v>
          </c:tx>
          <c:spPr>
            <a:ln w="3175">
              <a:solidFill>
                <a:srgbClr val="808080"/>
              </a:solidFill>
              <a:prstDash val="solid"/>
            </a:ln>
          </c:spPr>
          <c:marker>
            <c:symbol val="none"/>
          </c:marker>
          <c:xVal>
            <c:numLit>
              <c:formatCode>General</c:formatCode>
              <c:ptCount val="2"/>
              <c:pt idx="0">
                <c:v>-2.508610564402157</c:v>
              </c:pt>
              <c:pt idx="1">
                <c:v>-2.2086105644021572</c:v>
              </c:pt>
            </c:numLit>
          </c:xVal>
          <c:yVal>
            <c:numLit>
              <c:formatCode>General</c:formatCode>
              <c:ptCount val="2"/>
              <c:pt idx="0">
                <c:v>9.0684896791783237E-3</c:v>
              </c:pt>
              <c:pt idx="1">
                <c:v>8.952764128478485E-3</c:v>
              </c:pt>
            </c:numLit>
          </c:yVal>
          <c:smooth val="0"/>
          <c:extLst>
            <c:ext xmlns:c16="http://schemas.microsoft.com/office/drawing/2014/chart" uri="{C3380CC4-5D6E-409C-BE32-E72D297353CC}">
              <c16:uniqueId val="{00000028-A402-42FC-9BD5-949CB9566FCD}"/>
            </c:ext>
          </c:extLst>
        </c:ser>
        <c:ser>
          <c:idx val="34"/>
          <c:order val="34"/>
          <c:tx>
            <c:v>h=22</c:v>
          </c:tx>
          <c:spPr>
            <a:ln w="3175">
              <a:solidFill>
                <a:srgbClr val="808080"/>
              </a:solidFill>
              <a:prstDash val="solid"/>
            </a:ln>
          </c:spPr>
          <c:marker>
            <c:symbol val="none"/>
          </c:marker>
          <c:xVal>
            <c:numLit>
              <c:formatCode>General</c:formatCode>
              <c:ptCount val="2"/>
              <c:pt idx="0">
                <c:v>-2.2002017827008236</c:v>
              </c:pt>
              <c:pt idx="1">
                <c:v>-1.9002017827008235</c:v>
              </c:pt>
            </c:numLit>
          </c:xVal>
          <c:yVal>
            <c:numLit>
              <c:formatCode>General</c:formatCode>
              <c:ptCount val="2"/>
              <c:pt idx="0">
                <c:v>9.3343882010011679E-3</c:v>
              </c:pt>
              <c:pt idx="1">
                <c:v>9.2186736096335001E-3</c:v>
              </c:pt>
            </c:numLit>
          </c:yVal>
          <c:smooth val="0"/>
          <c:extLst>
            <c:ext xmlns:c16="http://schemas.microsoft.com/office/drawing/2014/chart" uri="{C3380CC4-5D6E-409C-BE32-E72D297353CC}">
              <c16:uniqueId val="{00000029-A402-42FC-9BD5-949CB9566FCD}"/>
            </c:ext>
          </c:extLst>
        </c:ser>
        <c:ser>
          <c:idx val="35"/>
          <c:order val="35"/>
          <c:tx>
            <c:v>h=23</c:v>
          </c:tx>
          <c:spPr>
            <a:ln w="3175">
              <a:solidFill>
                <a:srgbClr val="808080"/>
              </a:solidFill>
              <a:prstDash val="solid"/>
            </a:ln>
          </c:spPr>
          <c:marker>
            <c:symbol val="none"/>
          </c:marker>
          <c:xVal>
            <c:numLit>
              <c:formatCode>General</c:formatCode>
              <c:ptCount val="2"/>
              <c:pt idx="0">
                <c:v>-1.8917930009994899</c:v>
              </c:pt>
              <c:pt idx="1">
                <c:v>-1.5917930009994898</c:v>
              </c:pt>
            </c:numLit>
          </c:xVal>
          <c:yVal>
            <c:numLit>
              <c:formatCode>General</c:formatCode>
              <c:ptCount val="2"/>
              <c:pt idx="0">
                <c:v>9.600286722824012E-3</c:v>
              </c:pt>
              <c:pt idx="1">
                <c:v>9.484582481802421E-3</c:v>
              </c:pt>
            </c:numLit>
          </c:yVal>
          <c:smooth val="0"/>
          <c:extLst>
            <c:ext xmlns:c16="http://schemas.microsoft.com/office/drawing/2014/chart" uri="{C3380CC4-5D6E-409C-BE32-E72D297353CC}">
              <c16:uniqueId val="{0000002A-A402-42FC-9BD5-949CB9566FCD}"/>
            </c:ext>
          </c:extLst>
        </c:ser>
        <c:ser>
          <c:idx val="36"/>
          <c:order val="36"/>
          <c:tx>
            <c:v>h=24</c:v>
          </c:tx>
          <c:spPr>
            <a:ln w="3175">
              <a:solidFill>
                <a:srgbClr val="808080"/>
              </a:solidFill>
              <a:prstDash val="solid"/>
            </a:ln>
          </c:spPr>
          <c:marker>
            <c:symbol val="none"/>
          </c:marker>
          <c:xVal>
            <c:numLit>
              <c:formatCode>General</c:formatCode>
              <c:ptCount val="2"/>
              <c:pt idx="0">
                <c:v>-1.5833842192981562</c:v>
              </c:pt>
              <c:pt idx="1">
                <c:v>-1.2833842192981562</c:v>
              </c:pt>
            </c:numLit>
          </c:xVal>
          <c:yVal>
            <c:numLit>
              <c:formatCode>General</c:formatCode>
              <c:ptCount val="2"/>
              <c:pt idx="0">
                <c:v>9.8661852446468561E-3</c:v>
              </c:pt>
              <c:pt idx="1">
                <c:v>9.7504907943730974E-3</c:v>
              </c:pt>
            </c:numLit>
          </c:yVal>
          <c:smooth val="0"/>
          <c:extLst>
            <c:ext xmlns:c16="http://schemas.microsoft.com/office/drawing/2014/chart" uri="{C3380CC4-5D6E-409C-BE32-E72D297353CC}">
              <c16:uniqueId val="{0000002B-A402-42FC-9BD5-949CB9566FCD}"/>
            </c:ext>
          </c:extLst>
        </c:ser>
        <c:ser>
          <c:idx val="37"/>
          <c:order val="37"/>
          <c:tx>
            <c:v>h=25</c:v>
          </c:tx>
          <c:spPr>
            <a:ln w="3175">
              <a:solidFill>
                <a:srgbClr val="808080"/>
              </a:solidFill>
              <a:prstDash val="solid"/>
            </a:ln>
          </c:spPr>
          <c:marker>
            <c:symbol val="none"/>
          </c:marker>
          <c:dLbls>
            <c:dLbl>
              <c:idx val="0"/>
              <c:layout>
                <c:manualLayout>
                  <c:x val="-3.0087489063867018E-2"/>
                  <c:y val="-9.347701729591571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25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C-A402-42FC-9BD5-949CB9566F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-1.2749754375968227</c:v>
              </c:pt>
              <c:pt idx="1">
                <c:v>25</c:v>
              </c:pt>
            </c:numLit>
          </c:xVal>
          <c:yVal>
            <c:numLit>
              <c:formatCode>General</c:formatCode>
              <c:ptCount val="2"/>
              <c:pt idx="0">
                <c:v>1.0132083766469702E-2</c:v>
              </c:pt>
              <c:pt idx="1">
                <c:v>0</c:v>
              </c:pt>
            </c:numLit>
          </c:yVal>
          <c:smooth val="0"/>
          <c:extLst>
            <c:ext xmlns:c16="http://schemas.microsoft.com/office/drawing/2014/chart" uri="{C3380CC4-5D6E-409C-BE32-E72D297353CC}">
              <c16:uniqueId val="{0000002D-A402-42FC-9BD5-949CB9566FCD}"/>
            </c:ext>
          </c:extLst>
        </c:ser>
        <c:ser>
          <c:idx val="38"/>
          <c:order val="38"/>
          <c:tx>
            <c:v>h=26</c:v>
          </c:tx>
          <c:spPr>
            <a:ln w="3175">
              <a:solidFill>
                <a:srgbClr val="808080"/>
              </a:solidFill>
              <a:prstDash val="solid"/>
            </a:ln>
          </c:spPr>
          <c:marker>
            <c:symbol val="none"/>
          </c:marker>
          <c:xVal>
            <c:numLit>
              <c:formatCode>General</c:formatCode>
              <c:ptCount val="2"/>
              <c:pt idx="0">
                <c:v>-0.96656665589548907</c:v>
              </c:pt>
              <c:pt idx="1">
                <c:v>-0.66656665589548902</c:v>
              </c:pt>
            </c:numLit>
          </c:xVal>
          <c:yVal>
            <c:numLit>
              <c:formatCode>General</c:formatCode>
              <c:ptCount val="2"/>
              <c:pt idx="0">
                <c:v>1.0397982288292546E-2</c:v>
              </c:pt>
              <c:pt idx="1">
                <c:v>1.0282305912938853E-2</c:v>
              </c:pt>
            </c:numLit>
          </c:yVal>
          <c:smooth val="0"/>
          <c:extLst>
            <c:ext xmlns:c16="http://schemas.microsoft.com/office/drawing/2014/chart" uri="{C3380CC4-5D6E-409C-BE32-E72D297353CC}">
              <c16:uniqueId val="{0000002E-A402-42FC-9BD5-949CB9566FCD}"/>
            </c:ext>
          </c:extLst>
        </c:ser>
        <c:ser>
          <c:idx val="39"/>
          <c:order val="39"/>
          <c:tx>
            <c:v>h=27</c:v>
          </c:tx>
          <c:spPr>
            <a:ln w="3175">
              <a:solidFill>
                <a:srgbClr val="808080"/>
              </a:solidFill>
              <a:prstDash val="solid"/>
            </a:ln>
          </c:spPr>
          <c:marker>
            <c:symbol val="none"/>
          </c:marker>
          <c:xVal>
            <c:numLit>
              <c:formatCode>General</c:formatCode>
              <c:ptCount val="2"/>
              <c:pt idx="0">
                <c:v>-0.6581578741941555</c:v>
              </c:pt>
              <c:pt idx="1">
                <c:v>-0.35815787419415551</c:v>
              </c:pt>
            </c:numLit>
          </c:xVal>
          <c:yVal>
            <c:numLit>
              <c:formatCode>General</c:formatCode>
              <c:ptCount val="2"/>
              <c:pt idx="0">
                <c:v>1.066388081011539E-2</c:v>
              </c:pt>
              <c:pt idx="1">
                <c:v>1.0548212794277664E-2</c:v>
              </c:pt>
            </c:numLit>
          </c:yVal>
          <c:smooth val="0"/>
          <c:extLst>
            <c:ext xmlns:c16="http://schemas.microsoft.com/office/drawing/2014/chart" uri="{C3380CC4-5D6E-409C-BE32-E72D297353CC}">
              <c16:uniqueId val="{0000002F-A402-42FC-9BD5-949CB9566FCD}"/>
            </c:ext>
          </c:extLst>
        </c:ser>
        <c:ser>
          <c:idx val="40"/>
          <c:order val="40"/>
          <c:tx>
            <c:v>h=28</c:v>
          </c:tx>
          <c:spPr>
            <a:ln w="3175">
              <a:solidFill>
                <a:srgbClr val="808080"/>
              </a:solidFill>
              <a:prstDash val="solid"/>
            </a:ln>
          </c:spPr>
          <c:marker>
            <c:symbol val="none"/>
          </c:marker>
          <c:xVal>
            <c:numLit>
              <c:formatCode>General</c:formatCode>
              <c:ptCount val="2"/>
              <c:pt idx="0">
                <c:v>-0.34974909249282188</c:v>
              </c:pt>
              <c:pt idx="1">
                <c:v>-4.9749092492821903E-2</c:v>
              </c:pt>
            </c:numLit>
          </c:xVal>
          <c:yVal>
            <c:numLit>
              <c:formatCode>General</c:formatCode>
              <c:ptCount val="2"/>
              <c:pt idx="0">
                <c:v>1.0929779331938234E-2</c:v>
              </c:pt>
              <c:pt idx="1">
                <c:v>1.0814119267756229E-2</c:v>
              </c:pt>
            </c:numLit>
          </c:yVal>
          <c:smooth val="0"/>
          <c:extLst>
            <c:ext xmlns:c16="http://schemas.microsoft.com/office/drawing/2014/chart" uri="{C3380CC4-5D6E-409C-BE32-E72D297353CC}">
              <c16:uniqueId val="{00000030-A402-42FC-9BD5-949CB9566FCD}"/>
            </c:ext>
          </c:extLst>
        </c:ser>
        <c:ser>
          <c:idx val="41"/>
          <c:order val="41"/>
          <c:tx>
            <c:v>h=29</c:v>
          </c:tx>
          <c:spPr>
            <a:ln w="3175">
              <a:solidFill>
                <a:srgbClr val="808080"/>
              </a:solidFill>
              <a:prstDash val="solid"/>
            </a:ln>
          </c:spPr>
          <c:marker>
            <c:symbol val="none"/>
          </c:marker>
          <c:xVal>
            <c:numLit>
              <c:formatCode>General</c:formatCode>
              <c:ptCount val="2"/>
              <c:pt idx="0">
                <c:v>-4.1340310791488304E-2</c:v>
              </c:pt>
              <c:pt idx="1">
                <c:v>0.25865968920851168</c:v>
              </c:pt>
            </c:numLit>
          </c:xVal>
          <c:yVal>
            <c:numLit>
              <c:formatCode>General</c:formatCode>
              <c:ptCount val="2"/>
              <c:pt idx="0">
                <c:v>1.1195677853761079E-2</c:v>
              </c:pt>
              <c:pt idx="1">
                <c:v>1.108002536251293E-2</c:v>
              </c:pt>
            </c:numLit>
          </c:yVal>
          <c:smooth val="0"/>
          <c:extLst>
            <c:ext xmlns:c16="http://schemas.microsoft.com/office/drawing/2014/chart" uri="{C3380CC4-5D6E-409C-BE32-E72D297353CC}">
              <c16:uniqueId val="{00000031-A402-42FC-9BD5-949CB9566FCD}"/>
            </c:ext>
          </c:extLst>
        </c:ser>
        <c:ser>
          <c:idx val="42"/>
          <c:order val="42"/>
          <c:tx>
            <c:v>h=30</c:v>
          </c:tx>
          <c:spPr>
            <a:ln w="3175">
              <a:solidFill>
                <a:srgbClr val="808080"/>
              </a:solidFill>
              <a:prstDash val="solid"/>
            </a:ln>
          </c:spPr>
          <c:marker>
            <c:symbol val="none"/>
          </c:marker>
          <c:dLbls>
            <c:dLbl>
              <c:idx val="0"/>
              <c:layout>
                <c:manualLayout>
                  <c:x val="-3.0087489063867018E-2"/>
                  <c:y val="-9.347701729591571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30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2-A402-42FC-9BD5-949CB9566F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0.26706847090984531</c:v>
              </c:pt>
              <c:pt idx="1">
                <c:v>30</c:v>
              </c:pt>
            </c:numLit>
          </c:xVal>
          <c:yVal>
            <c:numLit>
              <c:formatCode>General</c:formatCode>
              <c:ptCount val="2"/>
              <c:pt idx="0">
                <c:v>1.1461576375583923E-2</c:v>
              </c:pt>
              <c:pt idx="1">
                <c:v>0</c:v>
              </c:pt>
            </c:numLit>
          </c:yVal>
          <c:smooth val="0"/>
          <c:extLst>
            <c:ext xmlns:c16="http://schemas.microsoft.com/office/drawing/2014/chart" uri="{C3380CC4-5D6E-409C-BE32-E72D297353CC}">
              <c16:uniqueId val="{00000033-A402-42FC-9BD5-949CB9566FCD}"/>
            </c:ext>
          </c:extLst>
        </c:ser>
        <c:ser>
          <c:idx val="43"/>
          <c:order val="43"/>
          <c:tx>
            <c:v>h=31</c:v>
          </c:tx>
          <c:spPr>
            <a:ln w="3175">
              <a:solidFill>
                <a:srgbClr val="808080"/>
              </a:solidFill>
              <a:prstDash val="solid"/>
            </a:ln>
          </c:spPr>
          <c:marker>
            <c:symbol val="none"/>
          </c:marker>
          <c:xVal>
            <c:numLit>
              <c:formatCode>General</c:formatCode>
              <c:ptCount val="2"/>
              <c:pt idx="0">
                <c:v>0.57547725261117888</c:v>
              </c:pt>
              <c:pt idx="1">
                <c:v>0.87547725261117881</c:v>
              </c:pt>
            </c:numLit>
          </c:xVal>
          <c:yVal>
            <c:numLit>
              <c:formatCode>General</c:formatCode>
              <c:ptCount val="2"/>
              <c:pt idx="0">
                <c:v>1.1727474897406769E-2</c:v>
              </c:pt>
              <c:pt idx="1">
                <c:v>1.1611836519167163E-2</c:v>
              </c:pt>
            </c:numLit>
          </c:yVal>
          <c:smooth val="0"/>
          <c:extLst>
            <c:ext xmlns:c16="http://schemas.microsoft.com/office/drawing/2014/chart" uri="{C3380CC4-5D6E-409C-BE32-E72D297353CC}">
              <c16:uniqueId val="{00000034-A402-42FC-9BD5-949CB9566FCD}"/>
            </c:ext>
          </c:extLst>
        </c:ser>
        <c:ser>
          <c:idx val="44"/>
          <c:order val="44"/>
          <c:tx>
            <c:v>h=32</c:v>
          </c:tx>
          <c:spPr>
            <a:ln w="3175">
              <a:solidFill>
                <a:srgbClr val="808080"/>
              </a:solidFill>
              <a:prstDash val="solid"/>
            </a:ln>
          </c:spPr>
          <c:marker>
            <c:symbol val="none"/>
          </c:marker>
          <c:xVal>
            <c:numLit>
              <c:formatCode>General</c:formatCode>
              <c:ptCount val="2"/>
              <c:pt idx="0">
                <c:v>0.88388603431251245</c:v>
              </c:pt>
              <c:pt idx="1">
                <c:v>1.1838860343125124</c:v>
              </c:pt>
            </c:numLit>
          </c:xVal>
          <c:yVal>
            <c:numLit>
              <c:formatCode>General</c:formatCode>
              <c:ptCount val="2"/>
              <c:pt idx="0">
                <c:v>1.1993373419229613E-2</c:v>
              </c:pt>
              <c:pt idx="1">
                <c:v>1.1877741626977646E-2</c:v>
              </c:pt>
            </c:numLit>
          </c:yVal>
          <c:smooth val="0"/>
          <c:extLst>
            <c:ext xmlns:c16="http://schemas.microsoft.com/office/drawing/2014/chart" uri="{C3380CC4-5D6E-409C-BE32-E72D297353CC}">
              <c16:uniqueId val="{00000035-A402-42FC-9BD5-949CB9566FCD}"/>
            </c:ext>
          </c:extLst>
        </c:ser>
        <c:ser>
          <c:idx val="45"/>
          <c:order val="45"/>
          <c:tx>
            <c:v>h=33</c:v>
          </c:tx>
          <c:spPr>
            <a:ln w="3175">
              <a:solidFill>
                <a:srgbClr val="808080"/>
              </a:solidFill>
              <a:prstDash val="solid"/>
            </a:ln>
          </c:spPr>
          <c:marker>
            <c:symbol val="none"/>
          </c:marker>
          <c:xVal>
            <c:numLit>
              <c:formatCode>General</c:formatCode>
              <c:ptCount val="2"/>
              <c:pt idx="0">
                <c:v>1.192294816013846</c:v>
              </c:pt>
              <c:pt idx="1">
                <c:v>1.4922948160138461</c:v>
              </c:pt>
            </c:numLit>
          </c:xVal>
          <c:yVal>
            <c:numLit>
              <c:formatCode>General</c:formatCode>
              <c:ptCount val="2"/>
              <c:pt idx="0">
                <c:v>1.2259271941052457E-2</c:v>
              </c:pt>
              <c:pt idx="1">
                <c:v>1.214364644839141E-2</c:v>
              </c:pt>
            </c:numLit>
          </c:yVal>
          <c:smooth val="0"/>
          <c:extLst>
            <c:ext xmlns:c16="http://schemas.microsoft.com/office/drawing/2014/chart" uri="{C3380CC4-5D6E-409C-BE32-E72D297353CC}">
              <c16:uniqueId val="{00000036-A402-42FC-9BD5-949CB9566FCD}"/>
            </c:ext>
          </c:extLst>
        </c:ser>
        <c:ser>
          <c:idx val="46"/>
          <c:order val="46"/>
          <c:tx>
            <c:v>h=34</c:v>
          </c:tx>
          <c:spPr>
            <a:ln w="3175">
              <a:solidFill>
                <a:srgbClr val="808080"/>
              </a:solidFill>
              <a:prstDash val="solid"/>
            </a:ln>
          </c:spPr>
          <c:marker>
            <c:symbol val="none"/>
          </c:marker>
          <c:xVal>
            <c:numLit>
              <c:formatCode>General</c:formatCode>
              <c:ptCount val="2"/>
              <c:pt idx="0">
                <c:v>1.5007035977151797</c:v>
              </c:pt>
              <c:pt idx="1">
                <c:v>1.8007035977151795</c:v>
              </c:pt>
            </c:numLit>
          </c:xVal>
          <c:yVal>
            <c:numLit>
              <c:formatCode>General</c:formatCode>
              <c:ptCount val="2"/>
              <c:pt idx="0">
                <c:v>1.2525170462875301E-2</c:v>
              </c:pt>
              <c:pt idx="1">
                <c:v>1.2409551001692184E-2</c:v>
              </c:pt>
            </c:numLit>
          </c:yVal>
          <c:smooth val="0"/>
          <c:extLst>
            <c:ext xmlns:c16="http://schemas.microsoft.com/office/drawing/2014/chart" uri="{C3380CC4-5D6E-409C-BE32-E72D297353CC}">
              <c16:uniqueId val="{00000037-A402-42FC-9BD5-949CB9566FCD}"/>
            </c:ext>
          </c:extLst>
        </c:ser>
        <c:ser>
          <c:idx val="47"/>
          <c:order val="47"/>
          <c:tx>
            <c:v>h=35</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35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8-A402-42FC-9BD5-949CB9566F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1.8091123794165131</c:v>
              </c:pt>
              <c:pt idx="1">
                <c:v>35</c:v>
              </c:pt>
            </c:numLit>
          </c:xVal>
          <c:yVal>
            <c:numLit>
              <c:formatCode>General</c:formatCode>
              <c:ptCount val="2"/>
              <c:pt idx="0">
                <c:v>1.2791068984698145E-2</c:v>
              </c:pt>
              <c:pt idx="1">
                <c:v>0</c:v>
              </c:pt>
            </c:numLit>
          </c:yVal>
          <c:smooth val="0"/>
          <c:extLst>
            <c:ext xmlns:c16="http://schemas.microsoft.com/office/drawing/2014/chart" uri="{C3380CC4-5D6E-409C-BE32-E72D297353CC}">
              <c16:uniqueId val="{00000039-A402-42FC-9BD5-949CB9566FCD}"/>
            </c:ext>
          </c:extLst>
        </c:ser>
        <c:ser>
          <c:idx val="48"/>
          <c:order val="48"/>
          <c:tx>
            <c:v>h=36</c:v>
          </c:tx>
          <c:spPr>
            <a:ln w="3175">
              <a:solidFill>
                <a:srgbClr val="808080"/>
              </a:solidFill>
              <a:prstDash val="solid"/>
            </a:ln>
          </c:spPr>
          <c:marker>
            <c:symbol val="none"/>
          </c:marker>
          <c:xVal>
            <c:numLit>
              <c:formatCode>General</c:formatCode>
              <c:ptCount val="2"/>
              <c:pt idx="0">
                <c:v>2.1175211611178466</c:v>
              </c:pt>
              <c:pt idx="1">
                <c:v>2.4175211611178469</c:v>
              </c:pt>
            </c:numLit>
          </c:xVal>
          <c:yVal>
            <c:numLit>
              <c:formatCode>General</c:formatCode>
              <c:ptCount val="2"/>
              <c:pt idx="0">
                <c:v>1.3056967506520989E-2</c:v>
              </c:pt>
              <c:pt idx="1">
                <c:v>1.2941359369625727E-2</c:v>
              </c:pt>
            </c:numLit>
          </c:yVal>
          <c:smooth val="0"/>
          <c:extLst>
            <c:ext xmlns:c16="http://schemas.microsoft.com/office/drawing/2014/chart" uri="{C3380CC4-5D6E-409C-BE32-E72D297353CC}">
              <c16:uniqueId val="{0000003A-A402-42FC-9BD5-949CB9566FCD}"/>
            </c:ext>
          </c:extLst>
        </c:ser>
        <c:ser>
          <c:idx val="49"/>
          <c:order val="49"/>
          <c:tx>
            <c:v>h=37</c:v>
          </c:tx>
          <c:spPr>
            <a:ln w="3175">
              <a:solidFill>
                <a:srgbClr val="808080"/>
              </a:solidFill>
              <a:prstDash val="solid"/>
            </a:ln>
          </c:spPr>
          <c:marker>
            <c:symbol val="none"/>
          </c:marker>
          <c:xVal>
            <c:numLit>
              <c:formatCode>General</c:formatCode>
              <c:ptCount val="2"/>
              <c:pt idx="0">
                <c:v>2.4259299428191805</c:v>
              </c:pt>
              <c:pt idx="1">
                <c:v>2.7259299428191803</c:v>
              </c:pt>
            </c:numLit>
          </c:xVal>
          <c:yVal>
            <c:numLit>
              <c:formatCode>General</c:formatCode>
              <c:ptCount val="2"/>
              <c:pt idx="0">
                <c:v>1.3322866028343833E-2</c:v>
              </c:pt>
              <c:pt idx="1">
                <c:v>1.3207263213809909E-2</c:v>
              </c:pt>
            </c:numLit>
          </c:yVal>
          <c:smooth val="0"/>
          <c:extLst>
            <c:ext xmlns:c16="http://schemas.microsoft.com/office/drawing/2014/chart" uri="{C3380CC4-5D6E-409C-BE32-E72D297353CC}">
              <c16:uniqueId val="{0000003B-A402-42FC-9BD5-949CB9566FCD}"/>
            </c:ext>
          </c:extLst>
        </c:ser>
        <c:ser>
          <c:idx val="50"/>
          <c:order val="50"/>
          <c:tx>
            <c:v>h=38</c:v>
          </c:tx>
          <c:spPr>
            <a:ln w="3175">
              <a:solidFill>
                <a:srgbClr val="808080"/>
              </a:solidFill>
              <a:prstDash val="solid"/>
            </a:ln>
          </c:spPr>
          <c:marker>
            <c:symbol val="none"/>
          </c:marker>
          <c:xVal>
            <c:numLit>
              <c:formatCode>General</c:formatCode>
              <c:ptCount val="2"/>
              <c:pt idx="0">
                <c:v>2.734338724520514</c:v>
              </c:pt>
              <c:pt idx="1">
                <c:v>3.0343387245205138</c:v>
              </c:pt>
            </c:numLit>
          </c:xVal>
          <c:yVal>
            <c:numLit>
              <c:formatCode>General</c:formatCode>
              <c:ptCount val="2"/>
              <c:pt idx="0">
                <c:v>1.3588764550166679E-2</c:v>
              </c:pt>
              <c:pt idx="1">
                <c:v>1.3473166849241543E-2</c:v>
              </c:pt>
            </c:numLit>
          </c:yVal>
          <c:smooth val="0"/>
          <c:extLst>
            <c:ext xmlns:c16="http://schemas.microsoft.com/office/drawing/2014/chart" uri="{C3380CC4-5D6E-409C-BE32-E72D297353CC}">
              <c16:uniqueId val="{0000003C-A402-42FC-9BD5-949CB9566FCD}"/>
            </c:ext>
          </c:extLst>
        </c:ser>
        <c:ser>
          <c:idx val="51"/>
          <c:order val="51"/>
          <c:tx>
            <c:v>h=39</c:v>
          </c:tx>
          <c:spPr>
            <a:ln w="3175">
              <a:solidFill>
                <a:srgbClr val="808080"/>
              </a:solidFill>
              <a:prstDash val="solid"/>
            </a:ln>
          </c:spPr>
          <c:marker>
            <c:symbol val="none"/>
          </c:marker>
          <c:xVal>
            <c:numLit>
              <c:formatCode>General</c:formatCode>
              <c:ptCount val="2"/>
              <c:pt idx="0">
                <c:v>3.0427475062218474</c:v>
              </c:pt>
              <c:pt idx="1">
                <c:v>3.3427475062218477</c:v>
              </c:pt>
            </c:numLit>
          </c:xVal>
          <c:yVal>
            <c:numLit>
              <c:formatCode>General</c:formatCode>
              <c:ptCount val="2"/>
              <c:pt idx="0">
                <c:v>1.3854663071989523E-2</c:v>
              </c:pt>
              <c:pt idx="1">
                <c:v>1.3739070287965881E-2</c:v>
              </c:pt>
            </c:numLit>
          </c:yVal>
          <c:smooth val="0"/>
          <c:extLst>
            <c:ext xmlns:c16="http://schemas.microsoft.com/office/drawing/2014/chart" uri="{C3380CC4-5D6E-409C-BE32-E72D297353CC}">
              <c16:uniqueId val="{0000003D-A402-42FC-9BD5-949CB9566FCD}"/>
            </c:ext>
          </c:extLst>
        </c:ser>
        <c:ser>
          <c:idx val="52"/>
          <c:order val="52"/>
          <c:tx>
            <c:v>h=40</c:v>
          </c:tx>
          <c:spPr>
            <a:ln w="3175">
              <a:solidFill>
                <a:srgbClr val="808080"/>
              </a:solidFill>
              <a:prstDash val="solid"/>
            </a:ln>
          </c:spPr>
          <c:marker>
            <c:symbol val="none"/>
          </c:marker>
          <c:dLbls>
            <c:dLbl>
              <c:idx val="0"/>
              <c:layout>
                <c:manualLayout>
                  <c:x val="-3.0087489063867049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40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E-A402-42FC-9BD5-949CB9566F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3.3511562879231813</c:v>
              </c:pt>
              <c:pt idx="1">
                <c:v>40</c:v>
              </c:pt>
            </c:numLit>
          </c:xVal>
          <c:yVal>
            <c:numLit>
              <c:formatCode>General</c:formatCode>
              <c:ptCount val="2"/>
              <c:pt idx="0">
                <c:v>1.4120561593812368E-2</c:v>
              </c:pt>
              <c:pt idx="1">
                <c:v>0</c:v>
              </c:pt>
            </c:numLit>
          </c:yVal>
          <c:smooth val="0"/>
          <c:extLst>
            <c:ext xmlns:c16="http://schemas.microsoft.com/office/drawing/2014/chart" uri="{C3380CC4-5D6E-409C-BE32-E72D297353CC}">
              <c16:uniqueId val="{0000003F-A402-42FC-9BD5-949CB9566FCD}"/>
            </c:ext>
          </c:extLst>
        </c:ser>
        <c:ser>
          <c:idx val="53"/>
          <c:order val="53"/>
          <c:tx>
            <c:v>h=41</c:v>
          </c:tx>
          <c:spPr>
            <a:ln w="3175">
              <a:solidFill>
                <a:srgbClr val="808080"/>
              </a:solidFill>
              <a:prstDash val="solid"/>
            </a:ln>
          </c:spPr>
          <c:marker>
            <c:symbol val="none"/>
          </c:marker>
          <c:xVal>
            <c:numLit>
              <c:formatCode>General</c:formatCode>
              <c:ptCount val="2"/>
              <c:pt idx="0">
                <c:v>3.6595650696245148</c:v>
              </c:pt>
              <c:pt idx="1">
                <c:v>3.9595650696245146</c:v>
              </c:pt>
            </c:numLit>
          </c:xVal>
          <c:yVal>
            <c:numLit>
              <c:formatCode>General</c:formatCode>
              <c:ptCount val="2"/>
              <c:pt idx="0">
                <c:v>1.4386460115635212E-2</c:v>
              </c:pt>
              <c:pt idx="1">
                <c:v>1.4270876619011833E-2</c:v>
              </c:pt>
            </c:numLit>
          </c:yVal>
          <c:smooth val="0"/>
          <c:extLst>
            <c:ext xmlns:c16="http://schemas.microsoft.com/office/drawing/2014/chart" uri="{C3380CC4-5D6E-409C-BE32-E72D297353CC}">
              <c16:uniqueId val="{00000040-A402-42FC-9BD5-949CB9566FCD}"/>
            </c:ext>
          </c:extLst>
        </c:ser>
        <c:ser>
          <c:idx val="54"/>
          <c:order val="54"/>
          <c:tx>
            <c:v>h=42</c:v>
          </c:tx>
          <c:spPr>
            <a:ln w="3175">
              <a:solidFill>
                <a:srgbClr val="808080"/>
              </a:solidFill>
              <a:prstDash val="solid"/>
            </a:ln>
          </c:spPr>
          <c:marker>
            <c:symbol val="none"/>
          </c:marker>
          <c:xVal>
            <c:numLit>
              <c:formatCode>General</c:formatCode>
              <c:ptCount val="2"/>
              <c:pt idx="0">
                <c:v>3.9679738513258482</c:v>
              </c:pt>
              <c:pt idx="1">
                <c:v>4.2679738513258485</c:v>
              </c:pt>
            </c:numLit>
          </c:xVal>
          <c:yVal>
            <c:numLit>
              <c:formatCode>General</c:formatCode>
              <c:ptCount val="2"/>
              <c:pt idx="0">
                <c:v>1.4652358637458056E-2</c:v>
              </c:pt>
              <c:pt idx="1">
                <c:v>1.4536779531205505E-2</c:v>
              </c:pt>
            </c:numLit>
          </c:yVal>
          <c:smooth val="0"/>
          <c:extLst>
            <c:ext xmlns:c16="http://schemas.microsoft.com/office/drawing/2014/chart" uri="{C3380CC4-5D6E-409C-BE32-E72D297353CC}">
              <c16:uniqueId val="{00000041-A402-42FC-9BD5-949CB9566FCD}"/>
            </c:ext>
          </c:extLst>
        </c:ser>
        <c:ser>
          <c:idx val="55"/>
          <c:order val="55"/>
          <c:tx>
            <c:v>h=43</c:v>
          </c:tx>
          <c:spPr>
            <a:ln w="3175">
              <a:solidFill>
                <a:srgbClr val="808080"/>
              </a:solidFill>
              <a:prstDash val="solid"/>
            </a:ln>
          </c:spPr>
          <c:marker>
            <c:symbol val="none"/>
          </c:marker>
          <c:xVal>
            <c:numLit>
              <c:formatCode>General</c:formatCode>
              <c:ptCount val="2"/>
              <c:pt idx="0">
                <c:v>4.2763826330271817</c:v>
              </c:pt>
              <c:pt idx="1">
                <c:v>4.5763826330271815</c:v>
              </c:pt>
            </c:numLit>
          </c:xVal>
          <c:yVal>
            <c:numLit>
              <c:formatCode>General</c:formatCode>
              <c:ptCount val="2"/>
              <c:pt idx="0">
                <c:v>1.49182571592809E-2</c:v>
              </c:pt>
              <c:pt idx="1">
                <c:v>1.4802682286577985E-2</c:v>
              </c:pt>
            </c:numLit>
          </c:yVal>
          <c:smooth val="0"/>
          <c:extLst>
            <c:ext xmlns:c16="http://schemas.microsoft.com/office/drawing/2014/chart" uri="{C3380CC4-5D6E-409C-BE32-E72D297353CC}">
              <c16:uniqueId val="{00000042-A402-42FC-9BD5-949CB9566FCD}"/>
            </c:ext>
          </c:extLst>
        </c:ser>
        <c:ser>
          <c:idx val="56"/>
          <c:order val="56"/>
          <c:tx>
            <c:v>h=44</c:v>
          </c:tx>
          <c:spPr>
            <a:ln w="3175">
              <a:solidFill>
                <a:srgbClr val="808080"/>
              </a:solidFill>
              <a:prstDash val="solid"/>
            </a:ln>
          </c:spPr>
          <c:marker>
            <c:symbol val="none"/>
          </c:marker>
          <c:xVal>
            <c:numLit>
              <c:formatCode>General</c:formatCode>
              <c:ptCount val="2"/>
              <c:pt idx="0">
                <c:v>4.5847914147285156</c:v>
              </c:pt>
              <c:pt idx="1">
                <c:v>4.8847914147285154</c:v>
              </c:pt>
            </c:numLit>
          </c:xVal>
          <c:yVal>
            <c:numLit>
              <c:formatCode>General</c:formatCode>
              <c:ptCount val="2"/>
              <c:pt idx="0">
                <c:v>1.5184155681103746E-2</c:v>
              </c:pt>
              <c:pt idx="1">
                <c:v>1.5068584893384172E-2</c:v>
              </c:pt>
            </c:numLit>
          </c:yVal>
          <c:smooth val="0"/>
          <c:extLst>
            <c:ext xmlns:c16="http://schemas.microsoft.com/office/drawing/2014/chart" uri="{C3380CC4-5D6E-409C-BE32-E72D297353CC}">
              <c16:uniqueId val="{00000043-A402-42FC-9BD5-949CB9566FCD}"/>
            </c:ext>
          </c:extLst>
        </c:ser>
        <c:ser>
          <c:idx val="57"/>
          <c:order val="57"/>
          <c:tx>
            <c:v>h=45</c:v>
          </c:tx>
          <c:spPr>
            <a:ln w="3175">
              <a:solidFill>
                <a:srgbClr val="808080"/>
              </a:solidFill>
              <a:prstDash val="solid"/>
            </a:ln>
          </c:spPr>
          <c:marker>
            <c:symbol val="none"/>
          </c:marker>
          <c:dLbls>
            <c:dLbl>
              <c:idx val="0"/>
              <c:layout>
                <c:manualLayout>
                  <c:x val="-3.0087489063867049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45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4-A402-42FC-9BD5-949CB9566F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4.8932001964298495</c:v>
              </c:pt>
              <c:pt idx="1">
                <c:v>45</c:v>
              </c:pt>
            </c:numLit>
          </c:xVal>
          <c:yVal>
            <c:numLit>
              <c:formatCode>General</c:formatCode>
              <c:ptCount val="2"/>
              <c:pt idx="0">
                <c:v>1.545005420292659E-2</c:v>
              </c:pt>
              <c:pt idx="1">
                <c:v>0</c:v>
              </c:pt>
            </c:numLit>
          </c:yVal>
          <c:smooth val="0"/>
          <c:extLst>
            <c:ext xmlns:c16="http://schemas.microsoft.com/office/drawing/2014/chart" uri="{C3380CC4-5D6E-409C-BE32-E72D297353CC}">
              <c16:uniqueId val="{00000045-A402-42FC-9BD5-949CB9566FCD}"/>
            </c:ext>
          </c:extLst>
        </c:ser>
        <c:ser>
          <c:idx val="58"/>
          <c:order val="58"/>
          <c:tx>
            <c:v>h=46</c:v>
          </c:tx>
          <c:spPr>
            <a:ln w="3175">
              <a:solidFill>
                <a:srgbClr val="808080"/>
              </a:solidFill>
              <a:prstDash val="solid"/>
            </a:ln>
          </c:spPr>
          <c:marker>
            <c:symbol val="none"/>
          </c:marker>
          <c:xVal>
            <c:numLit>
              <c:formatCode>General</c:formatCode>
              <c:ptCount val="2"/>
              <c:pt idx="0">
                <c:v>5.2016089781311825</c:v>
              </c:pt>
              <c:pt idx="1">
                <c:v>5.5016089781311823</c:v>
              </c:pt>
            </c:numLit>
          </c:xVal>
          <c:yVal>
            <c:numLit>
              <c:formatCode>General</c:formatCode>
              <c:ptCount val="2"/>
              <c:pt idx="0">
                <c:v>1.5715952724749432E-2</c:v>
              </c:pt>
              <c:pt idx="1">
                <c:v>1.5600389691518597E-2</c:v>
              </c:pt>
            </c:numLit>
          </c:yVal>
          <c:smooth val="0"/>
          <c:extLst>
            <c:ext xmlns:c16="http://schemas.microsoft.com/office/drawing/2014/chart" uri="{C3380CC4-5D6E-409C-BE32-E72D297353CC}">
              <c16:uniqueId val="{00000046-A402-42FC-9BD5-949CB9566FCD}"/>
            </c:ext>
          </c:extLst>
        </c:ser>
        <c:ser>
          <c:idx val="59"/>
          <c:order val="59"/>
          <c:tx>
            <c:v>h=47</c:v>
          </c:tx>
          <c:spPr>
            <a:ln w="3175">
              <a:solidFill>
                <a:srgbClr val="808080"/>
              </a:solidFill>
              <a:prstDash val="solid"/>
            </a:ln>
          </c:spPr>
          <c:marker>
            <c:symbol val="none"/>
          </c:marker>
          <c:xVal>
            <c:numLit>
              <c:formatCode>General</c:formatCode>
              <c:ptCount val="2"/>
              <c:pt idx="0">
                <c:v>5.5100177598325164</c:v>
              </c:pt>
              <c:pt idx="1">
                <c:v>5.8100177598325162</c:v>
              </c:pt>
            </c:numLit>
          </c:xVal>
          <c:yVal>
            <c:numLit>
              <c:formatCode>General</c:formatCode>
              <c:ptCount val="2"/>
              <c:pt idx="0">
                <c:v>1.5981851246572278E-2</c:v>
              </c:pt>
              <c:pt idx="1">
                <c:v>1.5866291896697939E-2</c:v>
              </c:pt>
            </c:numLit>
          </c:yVal>
          <c:smooth val="0"/>
          <c:extLst>
            <c:ext xmlns:c16="http://schemas.microsoft.com/office/drawing/2014/chart" uri="{C3380CC4-5D6E-409C-BE32-E72D297353CC}">
              <c16:uniqueId val="{00000047-A402-42FC-9BD5-949CB9566FCD}"/>
            </c:ext>
          </c:extLst>
        </c:ser>
        <c:ser>
          <c:idx val="60"/>
          <c:order val="60"/>
          <c:tx>
            <c:v>h=48</c:v>
          </c:tx>
          <c:spPr>
            <a:ln w="3175">
              <a:solidFill>
                <a:srgbClr val="808080"/>
              </a:solidFill>
              <a:prstDash val="solid"/>
            </a:ln>
          </c:spPr>
          <c:marker>
            <c:symbol val="none"/>
          </c:marker>
          <c:xVal>
            <c:numLit>
              <c:formatCode>General</c:formatCode>
              <c:ptCount val="2"/>
              <c:pt idx="0">
                <c:v>5.8184265415338503</c:v>
              </c:pt>
              <c:pt idx="1">
                <c:v>6.1184265415338501</c:v>
              </c:pt>
            </c:numLit>
          </c:xVal>
          <c:yVal>
            <c:numLit>
              <c:formatCode>General</c:formatCode>
              <c:ptCount val="2"/>
              <c:pt idx="0">
                <c:v>1.6247749768395124E-2</c:v>
              </c:pt>
              <c:pt idx="1">
                <c:v>1.613219398109577E-2</c:v>
              </c:pt>
            </c:numLit>
          </c:yVal>
          <c:smooth val="0"/>
          <c:extLst>
            <c:ext xmlns:c16="http://schemas.microsoft.com/office/drawing/2014/chart" uri="{C3380CC4-5D6E-409C-BE32-E72D297353CC}">
              <c16:uniqueId val="{00000048-A402-42FC-9BD5-949CB9566FCD}"/>
            </c:ext>
          </c:extLst>
        </c:ser>
        <c:ser>
          <c:idx val="61"/>
          <c:order val="61"/>
          <c:tx>
            <c:v>h=49</c:v>
          </c:tx>
          <c:spPr>
            <a:ln w="3175">
              <a:solidFill>
                <a:srgbClr val="808080"/>
              </a:solidFill>
              <a:prstDash val="solid"/>
            </a:ln>
          </c:spPr>
          <c:marker>
            <c:symbol val="none"/>
          </c:marker>
          <c:xVal>
            <c:numLit>
              <c:formatCode>General</c:formatCode>
              <c:ptCount val="2"/>
              <c:pt idx="0">
                <c:v>6.1268353232351833</c:v>
              </c:pt>
              <c:pt idx="1">
                <c:v>6.4268353232351831</c:v>
              </c:pt>
            </c:numLit>
          </c:xVal>
          <c:yVal>
            <c:numLit>
              <c:formatCode>General</c:formatCode>
              <c:ptCount val="2"/>
              <c:pt idx="0">
                <c:v>1.6513648290217967E-2</c:v>
              </c:pt>
              <c:pt idx="1">
                <c:v>1.639809595055711E-2</c:v>
              </c:pt>
            </c:numLit>
          </c:yVal>
          <c:smooth val="0"/>
          <c:extLst>
            <c:ext xmlns:c16="http://schemas.microsoft.com/office/drawing/2014/chart" uri="{C3380CC4-5D6E-409C-BE32-E72D297353CC}">
              <c16:uniqueId val="{00000049-A402-42FC-9BD5-949CB9566FCD}"/>
            </c:ext>
          </c:extLst>
        </c:ser>
        <c:ser>
          <c:idx val="62"/>
          <c:order val="62"/>
          <c:tx>
            <c:v>h=50</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50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4A-A402-42FC-9BD5-949CB9566F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6.4352441049365172</c:v>
              </c:pt>
              <c:pt idx="1">
                <c:v>50</c:v>
              </c:pt>
            </c:numLit>
          </c:xVal>
          <c:yVal>
            <c:numLit>
              <c:formatCode>General</c:formatCode>
              <c:ptCount val="2"/>
              <c:pt idx="0">
                <c:v>1.6779546812040812E-2</c:v>
              </c:pt>
              <c:pt idx="1">
                <c:v>0</c:v>
              </c:pt>
            </c:numLit>
          </c:yVal>
          <c:smooth val="0"/>
          <c:extLst>
            <c:ext xmlns:c16="http://schemas.microsoft.com/office/drawing/2014/chart" uri="{C3380CC4-5D6E-409C-BE32-E72D297353CC}">
              <c16:uniqueId val="{0000004B-A402-42FC-9BD5-949CB9566FCD}"/>
            </c:ext>
          </c:extLst>
        </c:ser>
        <c:ser>
          <c:idx val="63"/>
          <c:order val="63"/>
          <c:tx>
            <c:v>h=51</c:v>
          </c:tx>
          <c:spPr>
            <a:ln w="3175">
              <a:solidFill>
                <a:srgbClr val="808080"/>
              </a:solidFill>
              <a:prstDash val="solid"/>
            </a:ln>
          </c:spPr>
          <c:marker>
            <c:symbol val="none"/>
          </c:marker>
          <c:xVal>
            <c:numLit>
              <c:formatCode>General</c:formatCode>
              <c:ptCount val="2"/>
              <c:pt idx="0">
                <c:v>6.7436528866378502</c:v>
              </c:pt>
              <c:pt idx="1">
                <c:v>7.0436528866378509</c:v>
              </c:pt>
            </c:numLit>
          </c:xVal>
          <c:yVal>
            <c:numLit>
              <c:formatCode>General</c:formatCode>
              <c:ptCount val="2"/>
              <c:pt idx="0">
                <c:v>1.7045445333863655E-2</c:v>
              </c:pt>
              <c:pt idx="1">
                <c:v>1.692989956622358E-2</c:v>
              </c:pt>
            </c:numLit>
          </c:yVal>
          <c:smooth val="0"/>
          <c:extLst>
            <c:ext xmlns:c16="http://schemas.microsoft.com/office/drawing/2014/chart" uri="{C3380CC4-5D6E-409C-BE32-E72D297353CC}">
              <c16:uniqueId val="{0000004C-A402-42FC-9BD5-949CB9566FCD}"/>
            </c:ext>
          </c:extLst>
        </c:ser>
        <c:ser>
          <c:idx val="64"/>
          <c:order val="64"/>
          <c:tx>
            <c:v>h=52</c:v>
          </c:tx>
          <c:spPr>
            <a:ln w="3175">
              <a:solidFill>
                <a:srgbClr val="808080"/>
              </a:solidFill>
              <a:prstDash val="solid"/>
            </a:ln>
          </c:spPr>
          <c:marker>
            <c:symbol val="none"/>
          </c:marker>
          <c:xVal>
            <c:numLit>
              <c:formatCode>General</c:formatCode>
              <c:ptCount val="2"/>
              <c:pt idx="0">
                <c:v>7.0520616683391841</c:v>
              </c:pt>
              <c:pt idx="1">
                <c:v>7.352061668339184</c:v>
              </c:pt>
            </c:numLit>
          </c:xVal>
          <c:yVal>
            <c:numLit>
              <c:formatCode>General</c:formatCode>
              <c:ptCount val="2"/>
              <c:pt idx="0">
                <c:v>1.7311343855686501E-2</c:v>
              </c:pt>
              <c:pt idx="1">
                <c:v>1.719580122237627E-2</c:v>
              </c:pt>
            </c:numLit>
          </c:yVal>
          <c:smooth val="0"/>
          <c:extLst>
            <c:ext xmlns:c16="http://schemas.microsoft.com/office/drawing/2014/chart" uri="{C3380CC4-5D6E-409C-BE32-E72D297353CC}">
              <c16:uniqueId val="{0000004D-A402-42FC-9BD5-949CB9566FCD}"/>
            </c:ext>
          </c:extLst>
        </c:ser>
        <c:ser>
          <c:idx val="65"/>
          <c:order val="65"/>
          <c:tx>
            <c:v>h=53</c:v>
          </c:tx>
          <c:spPr>
            <a:ln w="3175">
              <a:solidFill>
                <a:srgbClr val="808080"/>
              </a:solidFill>
              <a:prstDash val="solid"/>
            </a:ln>
          </c:spPr>
          <c:marker>
            <c:symbol val="none"/>
          </c:marker>
          <c:xVal>
            <c:numLit>
              <c:formatCode>General</c:formatCode>
              <c:ptCount val="2"/>
              <c:pt idx="0">
                <c:v>7.360470450040518</c:v>
              </c:pt>
              <c:pt idx="1">
                <c:v>7.6604704500405179</c:v>
              </c:pt>
            </c:numLit>
          </c:xVal>
          <c:yVal>
            <c:numLit>
              <c:formatCode>General</c:formatCode>
              <c:ptCount val="2"/>
              <c:pt idx="0">
                <c:v>1.7577242377509347E-2</c:v>
              </c:pt>
              <c:pt idx="1">
                <c:v>1.7461702783537841E-2</c:v>
              </c:pt>
            </c:numLit>
          </c:yVal>
          <c:smooth val="0"/>
          <c:extLst>
            <c:ext xmlns:c16="http://schemas.microsoft.com/office/drawing/2014/chart" uri="{C3380CC4-5D6E-409C-BE32-E72D297353CC}">
              <c16:uniqueId val="{0000004E-A402-42FC-9BD5-949CB9566FCD}"/>
            </c:ext>
          </c:extLst>
        </c:ser>
        <c:ser>
          <c:idx val="66"/>
          <c:order val="66"/>
          <c:tx>
            <c:v>h=54</c:v>
          </c:tx>
          <c:spPr>
            <a:ln w="3175">
              <a:solidFill>
                <a:srgbClr val="808080"/>
              </a:solidFill>
              <a:prstDash val="solid"/>
            </a:ln>
          </c:spPr>
          <c:marker>
            <c:symbol val="none"/>
          </c:marker>
          <c:xVal>
            <c:numLit>
              <c:formatCode>General</c:formatCode>
              <c:ptCount val="2"/>
              <c:pt idx="0">
                <c:v>7.668879231741851</c:v>
              </c:pt>
              <c:pt idx="1">
                <c:v>7.9688792317418518</c:v>
              </c:pt>
            </c:numLit>
          </c:xVal>
          <c:yVal>
            <c:numLit>
              <c:formatCode>General</c:formatCode>
              <c:ptCount val="2"/>
              <c:pt idx="0">
                <c:v>1.7843140899332189E-2</c:v>
              </c:pt>
              <c:pt idx="1">
                <c:v>1.772760425396213E-2</c:v>
              </c:pt>
            </c:numLit>
          </c:yVal>
          <c:smooth val="0"/>
          <c:extLst>
            <c:ext xmlns:c16="http://schemas.microsoft.com/office/drawing/2014/chart" uri="{C3380CC4-5D6E-409C-BE32-E72D297353CC}">
              <c16:uniqueId val="{0000004F-A402-42FC-9BD5-949CB9566FCD}"/>
            </c:ext>
          </c:extLst>
        </c:ser>
        <c:ser>
          <c:idx val="67"/>
          <c:order val="67"/>
          <c:tx>
            <c:v>h=55</c:v>
          </c:tx>
          <c:spPr>
            <a:ln w="3175">
              <a:solidFill>
                <a:srgbClr val="808080"/>
              </a:solidFill>
              <a:prstDash val="solid"/>
            </a:ln>
          </c:spPr>
          <c:marker>
            <c:symbol val="none"/>
          </c:marker>
          <c:dLbls>
            <c:dLbl>
              <c:idx val="0"/>
              <c:layout>
                <c:manualLayout>
                  <c:x val="-3.0087489063867049E-2"/>
                  <c:y val="-9.347701729591571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55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0-A402-42FC-9BD5-949CB9566F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7.9772880134431849</c:v>
              </c:pt>
              <c:pt idx="1">
                <c:v>50</c:v>
              </c:pt>
            </c:numLit>
          </c:xVal>
          <c:yVal>
            <c:numLit>
              <c:formatCode>General</c:formatCode>
              <c:ptCount val="2"/>
              <c:pt idx="0">
                <c:v>1.8109039421155035E-2</c:v>
              </c:pt>
              <c:pt idx="1">
                <c:v>1.8118735543562064E-3</c:v>
              </c:pt>
            </c:numLit>
          </c:yVal>
          <c:smooth val="0"/>
          <c:extLst>
            <c:ext xmlns:c16="http://schemas.microsoft.com/office/drawing/2014/chart" uri="{C3380CC4-5D6E-409C-BE32-E72D297353CC}">
              <c16:uniqueId val="{00000051-A402-42FC-9BD5-949CB9566FCD}"/>
            </c:ext>
          </c:extLst>
        </c:ser>
        <c:ser>
          <c:idx val="68"/>
          <c:order val="68"/>
          <c:tx>
            <c:v>h=56</c:v>
          </c:tx>
          <c:spPr>
            <a:ln w="3175">
              <a:solidFill>
                <a:srgbClr val="808080"/>
              </a:solidFill>
              <a:prstDash val="solid"/>
            </a:ln>
          </c:spPr>
          <c:marker>
            <c:symbol val="none"/>
          </c:marker>
          <c:xVal>
            <c:numLit>
              <c:formatCode>General</c:formatCode>
              <c:ptCount val="2"/>
              <c:pt idx="0">
                <c:v>8.2856967951445188</c:v>
              </c:pt>
              <c:pt idx="1">
                <c:v>8.5856967951445178</c:v>
              </c:pt>
            </c:numLit>
          </c:xVal>
          <c:yVal>
            <c:numLit>
              <c:formatCode>General</c:formatCode>
              <c:ptCount val="2"/>
              <c:pt idx="0">
                <c:v>1.8374937942977877E-2</c:v>
              </c:pt>
              <c:pt idx="1">
                <c:v>1.8259406938381077E-2</c:v>
              </c:pt>
            </c:numLit>
          </c:yVal>
          <c:smooth val="0"/>
          <c:extLst>
            <c:ext xmlns:c16="http://schemas.microsoft.com/office/drawing/2014/chart" uri="{C3380CC4-5D6E-409C-BE32-E72D297353CC}">
              <c16:uniqueId val="{00000052-A402-42FC-9BD5-949CB9566FCD}"/>
            </c:ext>
          </c:extLst>
        </c:ser>
        <c:ser>
          <c:idx val="69"/>
          <c:order val="69"/>
          <c:tx>
            <c:v>h=57</c:v>
          </c:tx>
          <c:spPr>
            <a:ln w="3175">
              <a:solidFill>
                <a:srgbClr val="808080"/>
              </a:solidFill>
              <a:prstDash val="solid"/>
            </a:ln>
          </c:spPr>
          <c:marker>
            <c:symbol val="none"/>
          </c:marker>
          <c:xVal>
            <c:numLit>
              <c:formatCode>General</c:formatCode>
              <c:ptCount val="2"/>
              <c:pt idx="0">
                <c:v>8.5941055768458519</c:v>
              </c:pt>
              <c:pt idx="1">
                <c:v>8.8941055768458526</c:v>
              </c:pt>
            </c:numLit>
          </c:xVal>
          <c:yVal>
            <c:numLit>
              <c:formatCode>General</c:formatCode>
              <c:ptCount val="2"/>
              <c:pt idx="0">
                <c:v>1.8640836464800723E-2</c:v>
              </c:pt>
              <c:pt idx="1">
                <c:v>1.8525308159703126E-2</c:v>
              </c:pt>
            </c:numLit>
          </c:yVal>
          <c:smooth val="0"/>
          <c:extLst>
            <c:ext xmlns:c16="http://schemas.microsoft.com/office/drawing/2014/chart" uri="{C3380CC4-5D6E-409C-BE32-E72D297353CC}">
              <c16:uniqueId val="{00000053-A402-42FC-9BD5-949CB9566FCD}"/>
            </c:ext>
          </c:extLst>
        </c:ser>
        <c:ser>
          <c:idx val="70"/>
          <c:order val="70"/>
          <c:tx>
            <c:v>h=58</c:v>
          </c:tx>
          <c:spPr>
            <a:ln w="3175">
              <a:solidFill>
                <a:srgbClr val="808080"/>
              </a:solidFill>
              <a:prstDash val="solid"/>
            </a:ln>
          </c:spPr>
          <c:marker>
            <c:symbol val="none"/>
          </c:marker>
          <c:xVal>
            <c:numLit>
              <c:formatCode>General</c:formatCode>
              <c:ptCount val="2"/>
              <c:pt idx="0">
                <c:v>8.9025143585471849</c:v>
              </c:pt>
              <c:pt idx="1">
                <c:v>9.2025143585471856</c:v>
              </c:pt>
            </c:numLit>
          </c:xVal>
          <c:yVal>
            <c:numLit>
              <c:formatCode>General</c:formatCode>
              <c:ptCount val="2"/>
              <c:pt idx="0">
                <c:v>1.8906734986623566E-2</c:v>
              </c:pt>
              <c:pt idx="1">
                <c:v>1.8791209304974438E-2</c:v>
              </c:pt>
            </c:numLit>
          </c:yVal>
          <c:smooth val="0"/>
          <c:extLst>
            <c:ext xmlns:c16="http://schemas.microsoft.com/office/drawing/2014/chart" uri="{C3380CC4-5D6E-409C-BE32-E72D297353CC}">
              <c16:uniqueId val="{00000054-A402-42FC-9BD5-949CB9566FCD}"/>
            </c:ext>
          </c:extLst>
        </c:ser>
        <c:ser>
          <c:idx val="71"/>
          <c:order val="71"/>
          <c:tx>
            <c:v>h=59</c:v>
          </c:tx>
          <c:spPr>
            <a:ln w="3175">
              <a:solidFill>
                <a:srgbClr val="808080"/>
              </a:solidFill>
              <a:prstDash val="solid"/>
            </a:ln>
          </c:spPr>
          <c:marker>
            <c:symbol val="none"/>
          </c:marker>
          <c:xVal>
            <c:numLit>
              <c:formatCode>General</c:formatCode>
              <c:ptCount val="2"/>
              <c:pt idx="0">
                <c:v>9.2109231402485197</c:v>
              </c:pt>
              <c:pt idx="1">
                <c:v>9.5109231402485186</c:v>
              </c:pt>
            </c:numLit>
          </c:xVal>
          <c:yVal>
            <c:numLit>
              <c:formatCode>General</c:formatCode>
              <c:ptCount val="2"/>
              <c:pt idx="0">
                <c:v>1.9172633508446411E-2</c:v>
              </c:pt>
              <c:pt idx="1">
                <c:v>1.9057110377364149E-2</c:v>
              </c:pt>
            </c:numLit>
          </c:yVal>
          <c:smooth val="0"/>
          <c:extLst>
            <c:ext xmlns:c16="http://schemas.microsoft.com/office/drawing/2014/chart" uri="{C3380CC4-5D6E-409C-BE32-E72D297353CC}">
              <c16:uniqueId val="{00000055-A402-42FC-9BD5-949CB9566FCD}"/>
            </c:ext>
          </c:extLst>
        </c:ser>
        <c:ser>
          <c:idx val="72"/>
          <c:order val="72"/>
          <c:tx>
            <c:v>h=60</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60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6-A402-42FC-9BD5-949CB9566F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9.5193319219498527</c:v>
              </c:pt>
              <c:pt idx="1">
                <c:v>50</c:v>
              </c:pt>
            </c:numLit>
          </c:xVal>
          <c:yVal>
            <c:numLit>
              <c:formatCode>General</c:formatCode>
              <c:ptCount val="2"/>
              <c:pt idx="0">
                <c:v>1.9438532030269257E-2</c:v>
              </c:pt>
              <c:pt idx="1">
                <c:v>3.7393986121819585E-3</c:v>
              </c:pt>
            </c:numLit>
          </c:yVal>
          <c:smooth val="0"/>
          <c:extLst>
            <c:ext xmlns:c16="http://schemas.microsoft.com/office/drawing/2014/chart" uri="{C3380CC4-5D6E-409C-BE32-E72D297353CC}">
              <c16:uniqueId val="{00000057-A402-42FC-9BD5-949CB9566FCD}"/>
            </c:ext>
          </c:extLst>
        </c:ser>
        <c:ser>
          <c:idx val="73"/>
          <c:order val="73"/>
          <c:tx>
            <c:v>h=61</c:v>
          </c:tx>
          <c:spPr>
            <a:ln w="3175">
              <a:solidFill>
                <a:srgbClr val="808080"/>
              </a:solidFill>
              <a:prstDash val="solid"/>
            </a:ln>
          </c:spPr>
          <c:marker>
            <c:symbol val="none"/>
          </c:marker>
          <c:xVal>
            <c:numLit>
              <c:formatCode>General</c:formatCode>
              <c:ptCount val="2"/>
              <c:pt idx="0">
                <c:v>9.8277407036511857</c:v>
              </c:pt>
              <c:pt idx="1">
                <c:v>10.127740703651186</c:v>
              </c:pt>
            </c:numLit>
          </c:xVal>
          <c:yVal>
            <c:numLit>
              <c:formatCode>General</c:formatCode>
              <c:ptCount val="2"/>
              <c:pt idx="0">
                <c:v>1.97044305520921E-2</c:v>
              </c:pt>
              <c:pt idx="1">
                <c:v>1.9588912315318657E-2</c:v>
              </c:pt>
            </c:numLit>
          </c:yVal>
          <c:smooth val="0"/>
          <c:extLst>
            <c:ext xmlns:c16="http://schemas.microsoft.com/office/drawing/2014/chart" uri="{C3380CC4-5D6E-409C-BE32-E72D297353CC}">
              <c16:uniqueId val="{00000058-A402-42FC-9BD5-949CB9566FCD}"/>
            </c:ext>
          </c:extLst>
        </c:ser>
        <c:ser>
          <c:idx val="74"/>
          <c:order val="74"/>
          <c:tx>
            <c:v>h=62</c:v>
          </c:tx>
          <c:spPr>
            <a:ln w="3175">
              <a:solidFill>
                <a:srgbClr val="808080"/>
              </a:solidFill>
              <a:prstDash val="solid"/>
            </a:ln>
          </c:spPr>
          <c:marker>
            <c:symbol val="none"/>
          </c:marker>
          <c:xVal>
            <c:numLit>
              <c:formatCode>General</c:formatCode>
              <c:ptCount val="2"/>
              <c:pt idx="0">
                <c:v>10.13614948535252</c:v>
              </c:pt>
              <c:pt idx="1">
                <c:v>10.436149485352519</c:v>
              </c:pt>
            </c:numLit>
          </c:xVal>
          <c:yVal>
            <c:numLit>
              <c:formatCode>General</c:formatCode>
              <c:ptCount val="2"/>
              <c:pt idx="0">
                <c:v>1.9970329073914946E-2</c:v>
              </c:pt>
              <c:pt idx="1">
                <c:v>1.9854813186399374E-2</c:v>
              </c:pt>
            </c:numLit>
          </c:yVal>
          <c:smooth val="0"/>
          <c:extLst>
            <c:ext xmlns:c16="http://schemas.microsoft.com/office/drawing/2014/chart" uri="{C3380CC4-5D6E-409C-BE32-E72D297353CC}">
              <c16:uniqueId val="{00000059-A402-42FC-9BD5-949CB9566FCD}"/>
            </c:ext>
          </c:extLst>
        </c:ser>
        <c:ser>
          <c:idx val="75"/>
          <c:order val="75"/>
          <c:tx>
            <c:v>h=63</c:v>
          </c:tx>
          <c:spPr>
            <a:ln w="3175">
              <a:solidFill>
                <a:srgbClr val="808080"/>
              </a:solidFill>
              <a:prstDash val="solid"/>
            </a:ln>
          </c:spPr>
          <c:marker>
            <c:symbol val="none"/>
          </c:marker>
          <c:xVal>
            <c:numLit>
              <c:formatCode>General</c:formatCode>
              <c:ptCount val="2"/>
              <c:pt idx="0">
                <c:v>10.444558267053853</c:v>
              </c:pt>
              <c:pt idx="1">
                <c:v>10.744558267053854</c:v>
              </c:pt>
            </c:numLit>
          </c:xVal>
          <c:yVal>
            <c:numLit>
              <c:formatCode>General</c:formatCode>
              <c:ptCount val="2"/>
              <c:pt idx="0">
                <c:v>2.0236227595737788E-2</c:v>
              </c:pt>
              <c:pt idx="1">
                <c:v>2.012071399565105E-2</c:v>
              </c:pt>
            </c:numLit>
          </c:yVal>
          <c:smooth val="0"/>
          <c:extLst>
            <c:ext xmlns:c16="http://schemas.microsoft.com/office/drawing/2014/chart" uri="{C3380CC4-5D6E-409C-BE32-E72D297353CC}">
              <c16:uniqueId val="{0000005A-A402-42FC-9BD5-949CB9566FCD}"/>
            </c:ext>
          </c:extLst>
        </c:ser>
        <c:ser>
          <c:idx val="76"/>
          <c:order val="76"/>
          <c:tx>
            <c:v>h=64</c:v>
          </c:tx>
          <c:spPr>
            <a:ln w="3175">
              <a:solidFill>
                <a:srgbClr val="808080"/>
              </a:solidFill>
              <a:prstDash val="solid"/>
            </a:ln>
          </c:spPr>
          <c:marker>
            <c:symbol val="none"/>
          </c:marker>
          <c:xVal>
            <c:numLit>
              <c:formatCode>General</c:formatCode>
              <c:ptCount val="2"/>
              <c:pt idx="0">
                <c:v>10.752967048755186</c:v>
              </c:pt>
              <c:pt idx="1">
                <c:v>11.052967048755187</c:v>
              </c:pt>
            </c:numLit>
          </c:xVal>
          <c:yVal>
            <c:numLit>
              <c:formatCode>General</c:formatCode>
              <c:ptCount val="2"/>
              <c:pt idx="0">
                <c:v>2.0502126117560634E-2</c:v>
              </c:pt>
              <c:pt idx="1">
                <c:v>2.0386614745482871E-2</c:v>
              </c:pt>
            </c:numLit>
          </c:yVal>
          <c:smooth val="0"/>
          <c:extLst>
            <c:ext xmlns:c16="http://schemas.microsoft.com/office/drawing/2014/chart" uri="{C3380CC4-5D6E-409C-BE32-E72D297353CC}">
              <c16:uniqueId val="{0000005B-A402-42FC-9BD5-949CB9566FCD}"/>
            </c:ext>
          </c:extLst>
        </c:ser>
        <c:ser>
          <c:idx val="77"/>
          <c:order val="77"/>
          <c:tx>
            <c:v>h=65</c:v>
          </c:tx>
          <c:spPr>
            <a:ln w="3175">
              <a:solidFill>
                <a:srgbClr val="808080"/>
              </a:solidFill>
              <a:prstDash val="solid"/>
            </a:ln>
          </c:spPr>
          <c:marker>
            <c:symbol val="none"/>
          </c:marker>
          <c:dLbls>
            <c:dLbl>
              <c:idx val="0"/>
              <c:layout>
                <c:manualLayout>
                  <c:x val="-3.008748906386708E-2"/>
                  <c:y val="-9.347701729591532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65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5C-A402-42FC-9BD5-949CB9566F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11.061375830456521</c:v>
              </c:pt>
              <c:pt idx="1">
                <c:v>50</c:v>
              </c:pt>
            </c:numLit>
          </c:xVal>
          <c:yVal>
            <c:numLit>
              <c:formatCode>General</c:formatCode>
              <c:ptCount val="2"/>
              <c:pt idx="0">
                <c:v>2.0768024639383476E-2</c:v>
              </c:pt>
              <c:pt idx="1">
                <c:v>5.6669236700077098E-3</c:v>
              </c:pt>
            </c:numLit>
          </c:yVal>
          <c:smooth val="0"/>
          <c:extLst>
            <c:ext xmlns:c16="http://schemas.microsoft.com/office/drawing/2014/chart" uri="{C3380CC4-5D6E-409C-BE32-E72D297353CC}">
              <c16:uniqueId val="{0000005D-A402-42FC-9BD5-949CB9566FCD}"/>
            </c:ext>
          </c:extLst>
        </c:ser>
        <c:ser>
          <c:idx val="78"/>
          <c:order val="78"/>
          <c:tx>
            <c:v>h=66</c:v>
          </c:tx>
          <c:spPr>
            <a:ln w="3175">
              <a:solidFill>
                <a:srgbClr val="808080"/>
              </a:solidFill>
              <a:prstDash val="solid"/>
            </a:ln>
          </c:spPr>
          <c:marker>
            <c:symbol val="none"/>
          </c:marker>
          <c:xVal>
            <c:numLit>
              <c:formatCode>General</c:formatCode>
              <c:ptCount val="2"/>
              <c:pt idx="0">
                <c:v>11.369784612157854</c:v>
              </c:pt>
              <c:pt idx="1">
                <c:v>11.669784612157855</c:v>
              </c:pt>
            </c:numLit>
          </c:xVal>
          <c:yVal>
            <c:numLit>
              <c:formatCode>General</c:formatCode>
              <c:ptCount val="2"/>
              <c:pt idx="0">
                <c:v>2.1033923161206322E-2</c:v>
              </c:pt>
              <c:pt idx="1">
                <c:v>2.0918416075913625E-2</c:v>
              </c:pt>
            </c:numLit>
          </c:yVal>
          <c:smooth val="0"/>
          <c:extLst>
            <c:ext xmlns:c16="http://schemas.microsoft.com/office/drawing/2014/chart" uri="{C3380CC4-5D6E-409C-BE32-E72D297353CC}">
              <c16:uniqueId val="{0000005E-A402-42FC-9BD5-949CB9566FCD}"/>
            </c:ext>
          </c:extLst>
        </c:ser>
        <c:ser>
          <c:idx val="79"/>
          <c:order val="79"/>
          <c:tx>
            <c:v>h=67</c:v>
          </c:tx>
          <c:spPr>
            <a:ln w="3175">
              <a:solidFill>
                <a:srgbClr val="808080"/>
              </a:solidFill>
              <a:prstDash val="solid"/>
            </a:ln>
          </c:spPr>
          <c:marker>
            <c:symbol val="none"/>
          </c:marker>
          <c:xVal>
            <c:numLit>
              <c:formatCode>General</c:formatCode>
              <c:ptCount val="2"/>
              <c:pt idx="0">
                <c:v>11.678193393859187</c:v>
              </c:pt>
              <c:pt idx="1">
                <c:v>11.978193393859188</c:v>
              </c:pt>
            </c:numLit>
          </c:xVal>
          <c:yVal>
            <c:numLit>
              <c:formatCode>General</c:formatCode>
              <c:ptCount val="2"/>
              <c:pt idx="0">
                <c:v>2.1299821683029168E-2</c:v>
              </c:pt>
              <c:pt idx="1">
                <c:v>2.1184316660743805E-2</c:v>
              </c:pt>
            </c:numLit>
          </c:yVal>
          <c:smooth val="0"/>
          <c:extLst>
            <c:ext xmlns:c16="http://schemas.microsoft.com/office/drawing/2014/chart" uri="{C3380CC4-5D6E-409C-BE32-E72D297353CC}">
              <c16:uniqueId val="{0000005F-A402-42FC-9BD5-949CB9566FCD}"/>
            </c:ext>
          </c:extLst>
        </c:ser>
        <c:ser>
          <c:idx val="80"/>
          <c:order val="80"/>
          <c:tx>
            <c:v>h=68</c:v>
          </c:tx>
          <c:spPr>
            <a:ln w="3175">
              <a:solidFill>
                <a:srgbClr val="808080"/>
              </a:solidFill>
              <a:prstDash val="solid"/>
            </a:ln>
          </c:spPr>
          <c:marker>
            <c:symbol val="none"/>
          </c:marker>
          <c:xVal>
            <c:numLit>
              <c:formatCode>General</c:formatCode>
              <c:ptCount val="2"/>
              <c:pt idx="0">
                <c:v>11.986602175560522</c:v>
              </c:pt>
              <c:pt idx="1">
                <c:v>12.286602175560521</c:v>
              </c:pt>
            </c:numLit>
          </c:xVal>
          <c:yVal>
            <c:numLit>
              <c:formatCode>General</c:formatCode>
              <c:ptCount val="2"/>
              <c:pt idx="0">
                <c:v>2.156572020485201E-2</c:v>
              </c:pt>
              <c:pt idx="1">
                <c:v>2.1450217194630538E-2</c:v>
              </c:pt>
            </c:numLit>
          </c:yVal>
          <c:smooth val="0"/>
          <c:extLst>
            <c:ext xmlns:c16="http://schemas.microsoft.com/office/drawing/2014/chart" uri="{C3380CC4-5D6E-409C-BE32-E72D297353CC}">
              <c16:uniqueId val="{00000060-A402-42FC-9BD5-949CB9566FCD}"/>
            </c:ext>
          </c:extLst>
        </c:ser>
        <c:ser>
          <c:idx val="81"/>
          <c:order val="81"/>
          <c:tx>
            <c:v>h=69</c:v>
          </c:tx>
          <c:spPr>
            <a:ln w="3175">
              <a:solidFill>
                <a:srgbClr val="808080"/>
              </a:solidFill>
              <a:prstDash val="solid"/>
            </a:ln>
          </c:spPr>
          <c:marker>
            <c:symbol val="none"/>
          </c:marker>
          <c:xVal>
            <c:numLit>
              <c:formatCode>General</c:formatCode>
              <c:ptCount val="2"/>
              <c:pt idx="0">
                <c:v>12.295010957261855</c:v>
              </c:pt>
              <c:pt idx="1">
                <c:v>12.595010957261856</c:v>
              </c:pt>
            </c:numLit>
          </c:xVal>
          <c:yVal>
            <c:numLit>
              <c:formatCode>General</c:formatCode>
              <c:ptCount val="2"/>
              <c:pt idx="0">
                <c:v>2.1831618726674856E-2</c:v>
              </c:pt>
              <c:pt idx="1">
                <c:v>2.1716117679437794E-2</c:v>
              </c:pt>
            </c:numLit>
          </c:yVal>
          <c:smooth val="0"/>
          <c:extLst>
            <c:ext xmlns:c16="http://schemas.microsoft.com/office/drawing/2014/chart" uri="{C3380CC4-5D6E-409C-BE32-E72D297353CC}">
              <c16:uniqueId val="{00000061-A402-42FC-9BD5-949CB9566FCD}"/>
            </c:ext>
          </c:extLst>
        </c:ser>
        <c:ser>
          <c:idx val="82"/>
          <c:order val="82"/>
          <c:tx>
            <c:v>h=70</c:v>
          </c:tx>
          <c:spPr>
            <a:ln w="3175">
              <a:solidFill>
                <a:srgbClr val="808080"/>
              </a:solidFill>
              <a:prstDash val="solid"/>
            </a:ln>
          </c:spPr>
          <c:marker>
            <c:symbol val="none"/>
          </c:marker>
          <c:dLbls>
            <c:dLbl>
              <c:idx val="0"/>
              <c:layout>
                <c:manualLayout>
                  <c:x val="-3.00874890638670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70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2-A402-42FC-9BD5-949CB9566F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12.603419738963188</c:v>
              </c:pt>
              <c:pt idx="1">
                <c:v>50</c:v>
              </c:pt>
            </c:numLit>
          </c:xVal>
          <c:yVal>
            <c:numLit>
              <c:formatCode>General</c:formatCode>
              <c:ptCount val="2"/>
              <c:pt idx="0">
                <c:v>2.2097517248497699E-2</c:v>
              </c:pt>
              <c:pt idx="1">
                <c:v>7.5944487278334621E-3</c:v>
              </c:pt>
            </c:numLit>
          </c:yVal>
          <c:smooth val="0"/>
          <c:extLst>
            <c:ext xmlns:c16="http://schemas.microsoft.com/office/drawing/2014/chart" uri="{C3380CC4-5D6E-409C-BE32-E72D297353CC}">
              <c16:uniqueId val="{00000063-A402-42FC-9BD5-949CB9566FCD}"/>
            </c:ext>
          </c:extLst>
        </c:ser>
        <c:ser>
          <c:idx val="83"/>
          <c:order val="83"/>
          <c:tx>
            <c:v>h=71</c:v>
          </c:tx>
          <c:spPr>
            <a:ln w="3175">
              <a:solidFill>
                <a:srgbClr val="808080"/>
              </a:solidFill>
              <a:prstDash val="solid"/>
            </a:ln>
          </c:spPr>
          <c:marker>
            <c:symbol val="none"/>
          </c:marker>
          <c:xVal>
            <c:numLit>
              <c:formatCode>General</c:formatCode>
              <c:ptCount val="2"/>
              <c:pt idx="0">
                <c:v>12.911828520664523</c:v>
              </c:pt>
              <c:pt idx="1">
                <c:v>13.211828520664522</c:v>
              </c:pt>
            </c:numLit>
          </c:xVal>
          <c:yVal>
            <c:numLit>
              <c:formatCode>General</c:formatCode>
              <c:ptCount val="2"/>
              <c:pt idx="0">
                <c:v>2.2363415770320545E-2</c:v>
              </c:pt>
              <c:pt idx="1">
                <c:v>2.2247918508825872E-2</c:v>
              </c:pt>
            </c:numLit>
          </c:yVal>
          <c:smooth val="0"/>
          <c:extLst>
            <c:ext xmlns:c16="http://schemas.microsoft.com/office/drawing/2014/chart" uri="{C3380CC4-5D6E-409C-BE32-E72D297353CC}">
              <c16:uniqueId val="{00000064-A402-42FC-9BD5-949CB9566FCD}"/>
            </c:ext>
          </c:extLst>
        </c:ser>
        <c:ser>
          <c:idx val="84"/>
          <c:order val="84"/>
          <c:tx>
            <c:v>h=72</c:v>
          </c:tx>
          <c:spPr>
            <a:ln w="3175">
              <a:solidFill>
                <a:srgbClr val="808080"/>
              </a:solidFill>
              <a:prstDash val="solid"/>
            </a:ln>
          </c:spPr>
          <c:marker>
            <c:symbol val="none"/>
          </c:marker>
          <c:xVal>
            <c:numLit>
              <c:formatCode>General</c:formatCode>
              <c:ptCount val="2"/>
              <c:pt idx="0">
                <c:v>13.220237302365856</c:v>
              </c:pt>
              <c:pt idx="1">
                <c:v>13.520237302365857</c:v>
              </c:pt>
            </c:numLit>
          </c:xVal>
          <c:yVal>
            <c:numLit>
              <c:formatCode>General</c:formatCode>
              <c:ptCount val="2"/>
              <c:pt idx="0">
                <c:v>2.262931429214339E-2</c:v>
              </c:pt>
              <c:pt idx="1">
                <c:v>2.2513818856706454E-2</c:v>
              </c:pt>
            </c:numLit>
          </c:yVal>
          <c:smooth val="0"/>
          <c:extLst>
            <c:ext xmlns:c16="http://schemas.microsoft.com/office/drawing/2014/chart" uri="{C3380CC4-5D6E-409C-BE32-E72D297353CC}">
              <c16:uniqueId val="{00000065-A402-42FC-9BD5-949CB9566FCD}"/>
            </c:ext>
          </c:extLst>
        </c:ser>
        <c:ser>
          <c:idx val="85"/>
          <c:order val="85"/>
          <c:tx>
            <c:v>h=73</c:v>
          </c:tx>
          <c:spPr>
            <a:ln w="3175">
              <a:solidFill>
                <a:srgbClr val="808080"/>
              </a:solidFill>
              <a:prstDash val="solid"/>
            </a:ln>
          </c:spPr>
          <c:marker>
            <c:symbol val="none"/>
          </c:marker>
          <c:xVal>
            <c:numLit>
              <c:formatCode>General</c:formatCode>
              <c:ptCount val="2"/>
              <c:pt idx="0">
                <c:v>13.528646084067189</c:v>
              </c:pt>
              <c:pt idx="1">
                <c:v>13.82864608406719</c:v>
              </c:pt>
            </c:numLit>
          </c:xVal>
          <c:yVal>
            <c:numLit>
              <c:formatCode>General</c:formatCode>
              <c:ptCount val="2"/>
              <c:pt idx="0">
                <c:v>2.2895212813966233E-2</c:v>
              </c:pt>
              <c:pt idx="1">
                <c:v>2.2779719162116654E-2</c:v>
              </c:pt>
            </c:numLit>
          </c:yVal>
          <c:smooth val="0"/>
          <c:extLst>
            <c:ext xmlns:c16="http://schemas.microsoft.com/office/drawing/2014/chart" uri="{C3380CC4-5D6E-409C-BE32-E72D297353CC}">
              <c16:uniqueId val="{00000066-A402-42FC-9BD5-949CB9566FCD}"/>
            </c:ext>
          </c:extLst>
        </c:ser>
        <c:ser>
          <c:idx val="86"/>
          <c:order val="86"/>
          <c:tx>
            <c:v>h=74</c:v>
          </c:tx>
          <c:spPr>
            <a:ln w="3175">
              <a:solidFill>
                <a:srgbClr val="808080"/>
              </a:solidFill>
              <a:prstDash val="solid"/>
            </a:ln>
          </c:spPr>
          <c:marker>
            <c:symbol val="none"/>
          </c:marker>
          <c:xVal>
            <c:numLit>
              <c:formatCode>General</c:formatCode>
              <c:ptCount val="2"/>
              <c:pt idx="0">
                <c:v>13.837054865768524</c:v>
              </c:pt>
              <c:pt idx="1">
                <c:v>14.137054865768523</c:v>
              </c:pt>
            </c:numLit>
          </c:xVal>
          <c:yVal>
            <c:numLit>
              <c:formatCode>General</c:formatCode>
              <c:ptCount val="2"/>
              <c:pt idx="0">
                <c:v>2.3161111335789079E-2</c:v>
              </c:pt>
              <c:pt idx="1">
                <c:v>2.3045619426521106E-2</c:v>
              </c:pt>
            </c:numLit>
          </c:yVal>
          <c:smooth val="0"/>
          <c:extLst>
            <c:ext xmlns:c16="http://schemas.microsoft.com/office/drawing/2014/chart" uri="{C3380CC4-5D6E-409C-BE32-E72D297353CC}">
              <c16:uniqueId val="{00000067-A402-42FC-9BD5-949CB9566FCD}"/>
            </c:ext>
          </c:extLst>
        </c:ser>
        <c:ser>
          <c:idx val="87"/>
          <c:order val="87"/>
          <c:tx>
            <c:v>h=75</c:v>
          </c:tx>
          <c:spPr>
            <a:ln w="3175">
              <a:solidFill>
                <a:srgbClr val="808080"/>
              </a:solidFill>
              <a:prstDash val="solid"/>
            </a:ln>
          </c:spPr>
          <c:marker>
            <c:symbol val="none"/>
          </c:marker>
          <c:dLbls>
            <c:dLbl>
              <c:idx val="0"/>
              <c:layout>
                <c:manualLayout>
                  <c:x val="-3.0087489063867018E-2"/>
                  <c:y val="-9.3477017295915329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75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8-A402-42FC-9BD5-949CB9566F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14.145463647469857</c:v>
              </c:pt>
              <c:pt idx="1">
                <c:v>50</c:v>
              </c:pt>
            </c:numLit>
          </c:xVal>
          <c:yVal>
            <c:numLit>
              <c:formatCode>General</c:formatCode>
              <c:ptCount val="2"/>
              <c:pt idx="0">
                <c:v>2.3427009857611921E-2</c:v>
              </c:pt>
              <c:pt idx="1">
                <c:v>9.5219737856592126E-3</c:v>
              </c:pt>
            </c:numLit>
          </c:yVal>
          <c:smooth val="0"/>
          <c:extLst>
            <c:ext xmlns:c16="http://schemas.microsoft.com/office/drawing/2014/chart" uri="{C3380CC4-5D6E-409C-BE32-E72D297353CC}">
              <c16:uniqueId val="{00000069-A402-42FC-9BD5-949CB9566FCD}"/>
            </c:ext>
          </c:extLst>
        </c:ser>
        <c:ser>
          <c:idx val="88"/>
          <c:order val="88"/>
          <c:tx>
            <c:v>h=76</c:v>
          </c:tx>
          <c:spPr>
            <a:ln w="3175">
              <a:solidFill>
                <a:srgbClr val="808080"/>
              </a:solidFill>
              <a:prstDash val="solid"/>
            </a:ln>
          </c:spPr>
          <c:marker>
            <c:symbol val="none"/>
          </c:marker>
          <c:xVal>
            <c:numLit>
              <c:formatCode>General</c:formatCode>
              <c:ptCount val="2"/>
              <c:pt idx="0">
                <c:v>14.45387242917119</c:v>
              </c:pt>
              <c:pt idx="1">
                <c:v>14.75387242917119</c:v>
              </c:pt>
            </c:numLit>
          </c:xVal>
          <c:yVal>
            <c:numLit>
              <c:formatCode>General</c:formatCode>
              <c:ptCount val="2"/>
              <c:pt idx="0">
                <c:v>2.3692908379434767E-2</c:v>
              </c:pt>
              <c:pt idx="1">
                <c:v>2.3577419837842114E-2</c:v>
              </c:pt>
            </c:numLit>
          </c:yVal>
          <c:smooth val="0"/>
          <c:extLst>
            <c:ext xmlns:c16="http://schemas.microsoft.com/office/drawing/2014/chart" uri="{C3380CC4-5D6E-409C-BE32-E72D297353CC}">
              <c16:uniqueId val="{0000006A-A402-42FC-9BD5-949CB9566FCD}"/>
            </c:ext>
          </c:extLst>
        </c:ser>
        <c:ser>
          <c:idx val="89"/>
          <c:order val="89"/>
          <c:tx>
            <c:v>h=77</c:v>
          </c:tx>
          <c:spPr>
            <a:ln w="3175">
              <a:solidFill>
                <a:srgbClr val="808080"/>
              </a:solidFill>
              <a:prstDash val="solid"/>
            </a:ln>
          </c:spPr>
          <c:marker>
            <c:symbol val="none"/>
          </c:marker>
          <c:xVal>
            <c:numLit>
              <c:formatCode>General</c:formatCode>
              <c:ptCount val="2"/>
              <c:pt idx="0">
                <c:v>14.762281210872525</c:v>
              </c:pt>
              <c:pt idx="1">
                <c:v>15.062281210872523</c:v>
              </c:pt>
            </c:numLit>
          </c:xVal>
          <c:yVal>
            <c:numLit>
              <c:formatCode>General</c:formatCode>
              <c:ptCount val="2"/>
              <c:pt idx="0">
                <c:v>2.3958806901257609E-2</c:v>
              </c:pt>
              <c:pt idx="1">
                <c:v>2.3843319987369743E-2</c:v>
              </c:pt>
            </c:numLit>
          </c:yVal>
          <c:smooth val="0"/>
          <c:extLst>
            <c:ext xmlns:c16="http://schemas.microsoft.com/office/drawing/2014/chart" uri="{C3380CC4-5D6E-409C-BE32-E72D297353CC}">
              <c16:uniqueId val="{0000006B-A402-42FC-9BD5-949CB9566FCD}"/>
            </c:ext>
          </c:extLst>
        </c:ser>
        <c:ser>
          <c:idx val="90"/>
          <c:order val="90"/>
          <c:tx>
            <c:v>h=78</c:v>
          </c:tx>
          <c:spPr>
            <a:ln w="3175">
              <a:solidFill>
                <a:srgbClr val="808080"/>
              </a:solidFill>
              <a:prstDash val="solid"/>
            </a:ln>
          </c:spPr>
          <c:marker>
            <c:symbol val="none"/>
          </c:marker>
          <c:xVal>
            <c:numLit>
              <c:formatCode>General</c:formatCode>
              <c:ptCount val="2"/>
              <c:pt idx="0">
                <c:v>15.070689992573858</c:v>
              </c:pt>
              <c:pt idx="1">
                <c:v>15.370689992573858</c:v>
              </c:pt>
            </c:numLit>
          </c:xVal>
          <c:yVal>
            <c:numLit>
              <c:formatCode>General</c:formatCode>
              <c:ptCount val="2"/>
              <c:pt idx="0">
                <c:v>2.4224705423080455E-2</c:v>
              </c:pt>
              <c:pt idx="1">
                <c:v>2.4109220101120522E-2</c:v>
              </c:pt>
            </c:numLit>
          </c:yVal>
          <c:smooth val="0"/>
          <c:extLst>
            <c:ext xmlns:c16="http://schemas.microsoft.com/office/drawing/2014/chart" uri="{C3380CC4-5D6E-409C-BE32-E72D297353CC}">
              <c16:uniqueId val="{0000006C-A402-42FC-9BD5-949CB9566FCD}"/>
            </c:ext>
          </c:extLst>
        </c:ser>
        <c:ser>
          <c:idx val="91"/>
          <c:order val="91"/>
          <c:tx>
            <c:v>h=79</c:v>
          </c:tx>
          <c:spPr>
            <a:ln w="3175">
              <a:solidFill>
                <a:srgbClr val="808080"/>
              </a:solidFill>
              <a:prstDash val="solid"/>
            </a:ln>
          </c:spPr>
          <c:marker>
            <c:symbol val="none"/>
          </c:marker>
          <c:xVal>
            <c:numLit>
              <c:formatCode>General</c:formatCode>
              <c:ptCount val="2"/>
              <c:pt idx="0">
                <c:v>15.379098774275191</c:v>
              </c:pt>
              <c:pt idx="1">
                <c:v>15.679098774275191</c:v>
              </c:pt>
            </c:numLit>
          </c:xVal>
          <c:yVal>
            <c:numLit>
              <c:formatCode>General</c:formatCode>
              <c:ptCount val="2"/>
              <c:pt idx="0">
                <c:v>2.4490603944903301E-2</c:v>
              </c:pt>
              <c:pt idx="1">
                <c:v>2.4375120180261185E-2</c:v>
              </c:pt>
            </c:numLit>
          </c:yVal>
          <c:smooth val="0"/>
          <c:extLst>
            <c:ext xmlns:c16="http://schemas.microsoft.com/office/drawing/2014/chart" uri="{C3380CC4-5D6E-409C-BE32-E72D297353CC}">
              <c16:uniqueId val="{0000006D-A402-42FC-9BD5-949CB9566FCD}"/>
            </c:ext>
          </c:extLst>
        </c:ser>
        <c:ser>
          <c:idx val="92"/>
          <c:order val="92"/>
          <c:tx>
            <c:v>h=80</c:v>
          </c:tx>
          <c:spPr>
            <a:ln w="3175">
              <a:solidFill>
                <a:srgbClr val="808080"/>
              </a:solidFill>
              <a:prstDash val="solid"/>
            </a:ln>
          </c:spPr>
          <c:marker>
            <c:symbol val="none"/>
          </c:marker>
          <c:dLbls>
            <c:dLbl>
              <c:idx val="0"/>
              <c:layout>
                <c:manualLayout>
                  <c:x val="-3.00874890638670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80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6E-A402-42FC-9BD5-949CB9566F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15.687507555976525</c:v>
              </c:pt>
              <c:pt idx="1">
                <c:v>50</c:v>
              </c:pt>
            </c:numLit>
          </c:xVal>
          <c:yVal>
            <c:numLit>
              <c:formatCode>General</c:formatCode>
              <c:ptCount val="2"/>
              <c:pt idx="0">
                <c:v>2.4756502466726144E-2</c:v>
              </c:pt>
              <c:pt idx="1">
                <c:v>1.1449498843484965E-2</c:v>
              </c:pt>
            </c:numLit>
          </c:yVal>
          <c:smooth val="0"/>
          <c:extLst>
            <c:ext xmlns:c16="http://schemas.microsoft.com/office/drawing/2014/chart" uri="{C3380CC4-5D6E-409C-BE32-E72D297353CC}">
              <c16:uniqueId val="{0000006F-A402-42FC-9BD5-949CB9566FCD}"/>
            </c:ext>
          </c:extLst>
        </c:ser>
        <c:ser>
          <c:idx val="93"/>
          <c:order val="93"/>
          <c:tx>
            <c:v>h=81</c:v>
          </c:tx>
          <c:spPr>
            <a:ln w="3175">
              <a:solidFill>
                <a:srgbClr val="808080"/>
              </a:solidFill>
              <a:prstDash val="solid"/>
            </a:ln>
          </c:spPr>
          <c:marker>
            <c:symbol val="none"/>
          </c:marker>
          <c:xVal>
            <c:numLit>
              <c:formatCode>General</c:formatCode>
              <c:ptCount val="2"/>
              <c:pt idx="0">
                <c:v>15.995916337677858</c:v>
              </c:pt>
              <c:pt idx="1">
                <c:v>16.295916337677859</c:v>
              </c:pt>
            </c:numLit>
          </c:xVal>
          <c:yVal>
            <c:numLit>
              <c:formatCode>General</c:formatCode>
              <c:ptCount val="2"/>
              <c:pt idx="0">
                <c:v>2.5022400988548989E-2</c:v>
              </c:pt>
              <c:pt idx="1">
                <c:v>2.4906920239130846E-2</c:v>
              </c:pt>
            </c:numLit>
          </c:yVal>
          <c:smooth val="0"/>
          <c:extLst>
            <c:ext xmlns:c16="http://schemas.microsoft.com/office/drawing/2014/chart" uri="{C3380CC4-5D6E-409C-BE32-E72D297353CC}">
              <c16:uniqueId val="{00000070-A402-42FC-9BD5-949CB9566FCD}"/>
            </c:ext>
          </c:extLst>
        </c:ser>
        <c:ser>
          <c:idx val="94"/>
          <c:order val="94"/>
          <c:tx>
            <c:v>h=82</c:v>
          </c:tx>
          <c:spPr>
            <a:ln w="3175">
              <a:solidFill>
                <a:srgbClr val="808080"/>
              </a:solidFill>
              <a:prstDash val="solid"/>
            </a:ln>
          </c:spPr>
          <c:marker>
            <c:symbol val="none"/>
          </c:marker>
          <c:xVal>
            <c:numLit>
              <c:formatCode>General</c:formatCode>
              <c:ptCount val="2"/>
              <c:pt idx="0">
                <c:v>16.304325119379193</c:v>
              </c:pt>
              <c:pt idx="1">
                <c:v>16.60432511937919</c:v>
              </c:pt>
            </c:numLit>
          </c:xVal>
          <c:yVal>
            <c:numLit>
              <c:formatCode>General</c:formatCode>
              <c:ptCount val="2"/>
              <c:pt idx="0">
                <c:v>2.5288299510371832E-2</c:v>
              </c:pt>
              <c:pt idx="1">
                <c:v>2.5172820220952897E-2</c:v>
              </c:pt>
            </c:numLit>
          </c:yVal>
          <c:smooth val="0"/>
          <c:extLst>
            <c:ext xmlns:c16="http://schemas.microsoft.com/office/drawing/2014/chart" uri="{C3380CC4-5D6E-409C-BE32-E72D297353CC}">
              <c16:uniqueId val="{00000071-A402-42FC-9BD5-949CB9566FCD}"/>
            </c:ext>
          </c:extLst>
        </c:ser>
        <c:ser>
          <c:idx val="95"/>
          <c:order val="95"/>
          <c:tx>
            <c:v>h=83</c:v>
          </c:tx>
          <c:spPr>
            <a:ln w="3175">
              <a:solidFill>
                <a:srgbClr val="808080"/>
              </a:solidFill>
              <a:prstDash val="solid"/>
            </a:ln>
          </c:spPr>
          <c:marker>
            <c:symbol val="none"/>
          </c:marker>
          <c:xVal>
            <c:numLit>
              <c:formatCode>General</c:formatCode>
              <c:ptCount val="2"/>
              <c:pt idx="0">
                <c:v>16.612733901080524</c:v>
              </c:pt>
              <c:pt idx="1">
                <c:v>16.912733901080525</c:v>
              </c:pt>
            </c:numLit>
          </c:xVal>
          <c:yVal>
            <c:numLit>
              <c:formatCode>General</c:formatCode>
              <c:ptCount val="2"/>
              <c:pt idx="0">
                <c:v>2.5554198032194678E-2</c:v>
              </c:pt>
              <c:pt idx="1">
                <c:v>2.5438720172355784E-2</c:v>
              </c:pt>
            </c:numLit>
          </c:yVal>
          <c:smooth val="0"/>
          <c:extLst>
            <c:ext xmlns:c16="http://schemas.microsoft.com/office/drawing/2014/chart" uri="{C3380CC4-5D6E-409C-BE32-E72D297353CC}">
              <c16:uniqueId val="{00000072-A402-42FC-9BD5-949CB9566FCD}"/>
            </c:ext>
          </c:extLst>
        </c:ser>
        <c:ser>
          <c:idx val="96"/>
          <c:order val="96"/>
          <c:tx>
            <c:v>h=84</c:v>
          </c:tx>
          <c:spPr>
            <a:ln w="3175">
              <a:solidFill>
                <a:srgbClr val="808080"/>
              </a:solidFill>
              <a:prstDash val="solid"/>
            </a:ln>
          </c:spPr>
          <c:marker>
            <c:symbol val="none"/>
          </c:marker>
          <c:xVal>
            <c:numLit>
              <c:formatCode>General</c:formatCode>
              <c:ptCount val="2"/>
              <c:pt idx="0">
                <c:v>16.921142682781859</c:v>
              </c:pt>
              <c:pt idx="1">
                <c:v>17.22114268278186</c:v>
              </c:pt>
            </c:numLit>
          </c:xVal>
          <c:yVal>
            <c:numLit>
              <c:formatCode>General</c:formatCode>
              <c:ptCount val="2"/>
              <c:pt idx="0">
                <c:v>2.5820096554017524E-2</c:v>
              </c:pt>
              <c:pt idx="1">
                <c:v>2.570462009428038E-2</c:v>
              </c:pt>
            </c:numLit>
          </c:yVal>
          <c:smooth val="0"/>
          <c:extLst>
            <c:ext xmlns:c16="http://schemas.microsoft.com/office/drawing/2014/chart" uri="{C3380CC4-5D6E-409C-BE32-E72D297353CC}">
              <c16:uniqueId val="{00000073-A402-42FC-9BD5-949CB9566FCD}"/>
            </c:ext>
          </c:extLst>
        </c:ser>
        <c:ser>
          <c:idx val="97"/>
          <c:order val="97"/>
          <c:tx>
            <c:v>h=85</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85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4-A402-42FC-9BD5-949CB9566F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17.229551464483194</c:v>
              </c:pt>
              <c:pt idx="1">
                <c:v>50</c:v>
              </c:pt>
            </c:numLit>
          </c:xVal>
          <c:yVal>
            <c:numLit>
              <c:formatCode>General</c:formatCode>
              <c:ptCount val="2"/>
              <c:pt idx="0">
                <c:v>2.6085995075840366E-2</c:v>
              </c:pt>
              <c:pt idx="1">
                <c:v>1.3377023901310717E-2</c:v>
              </c:pt>
            </c:numLit>
          </c:yVal>
          <c:smooth val="0"/>
          <c:extLst>
            <c:ext xmlns:c16="http://schemas.microsoft.com/office/drawing/2014/chart" uri="{C3380CC4-5D6E-409C-BE32-E72D297353CC}">
              <c16:uniqueId val="{00000075-A402-42FC-9BD5-949CB9566FCD}"/>
            </c:ext>
          </c:extLst>
        </c:ser>
        <c:ser>
          <c:idx val="98"/>
          <c:order val="98"/>
          <c:tx>
            <c:v>h=86</c:v>
          </c:tx>
          <c:spPr>
            <a:ln w="3175">
              <a:solidFill>
                <a:srgbClr val="808080"/>
              </a:solidFill>
              <a:prstDash val="solid"/>
            </a:ln>
          </c:spPr>
          <c:marker>
            <c:symbol val="none"/>
          </c:marker>
          <c:xVal>
            <c:numLit>
              <c:formatCode>General</c:formatCode>
              <c:ptCount val="2"/>
              <c:pt idx="0">
                <c:v>17.537960246184525</c:v>
              </c:pt>
              <c:pt idx="1">
                <c:v>17.837960246184526</c:v>
              </c:pt>
            </c:numLit>
          </c:xVal>
          <c:yVal>
            <c:numLit>
              <c:formatCode>General</c:formatCode>
              <c:ptCount val="2"/>
              <c:pt idx="0">
                <c:v>2.6351893597663212E-2</c:v>
              </c:pt>
              <c:pt idx="1">
                <c:v>2.6236419853268116E-2</c:v>
              </c:pt>
            </c:numLit>
          </c:yVal>
          <c:smooth val="0"/>
          <c:extLst>
            <c:ext xmlns:c16="http://schemas.microsoft.com/office/drawing/2014/chart" uri="{C3380CC4-5D6E-409C-BE32-E72D297353CC}">
              <c16:uniqueId val="{00000076-A402-42FC-9BD5-949CB9566FCD}"/>
            </c:ext>
          </c:extLst>
        </c:ser>
        <c:ser>
          <c:idx val="99"/>
          <c:order val="99"/>
          <c:tx>
            <c:v>h=87</c:v>
          </c:tx>
          <c:spPr>
            <a:ln w="3175">
              <a:solidFill>
                <a:srgbClr val="808080"/>
              </a:solidFill>
              <a:prstDash val="solid"/>
            </a:ln>
          </c:spPr>
          <c:marker>
            <c:symbol val="none"/>
          </c:marker>
          <c:xVal>
            <c:numLit>
              <c:formatCode>General</c:formatCode>
              <c:ptCount val="2"/>
              <c:pt idx="0">
                <c:v>17.84636902788586</c:v>
              </c:pt>
              <c:pt idx="1">
                <c:v>18.146369027885861</c:v>
              </c:pt>
            </c:numLit>
          </c:xVal>
          <c:yVal>
            <c:numLit>
              <c:formatCode>General</c:formatCode>
              <c:ptCount val="2"/>
              <c:pt idx="0">
                <c:v>2.6617792119486054E-2</c:v>
              </c:pt>
              <c:pt idx="1">
                <c:v>2.6502319692028618E-2</c:v>
              </c:pt>
            </c:numLit>
          </c:yVal>
          <c:smooth val="0"/>
          <c:extLst>
            <c:ext xmlns:c16="http://schemas.microsoft.com/office/drawing/2014/chart" uri="{C3380CC4-5D6E-409C-BE32-E72D297353CC}">
              <c16:uniqueId val="{00000077-A402-42FC-9BD5-949CB9566FCD}"/>
            </c:ext>
          </c:extLst>
        </c:ser>
        <c:ser>
          <c:idx val="100"/>
          <c:order val="100"/>
          <c:tx>
            <c:v>h=88</c:v>
          </c:tx>
          <c:spPr>
            <a:ln w="3175">
              <a:solidFill>
                <a:srgbClr val="808080"/>
              </a:solidFill>
              <a:prstDash val="solid"/>
            </a:ln>
          </c:spPr>
          <c:marker>
            <c:symbol val="none"/>
          </c:marker>
          <c:xVal>
            <c:numLit>
              <c:formatCode>General</c:formatCode>
              <c:ptCount val="2"/>
              <c:pt idx="0">
                <c:v>18.154777809587195</c:v>
              </c:pt>
              <c:pt idx="1">
                <c:v>18.454777809587192</c:v>
              </c:pt>
            </c:numLit>
          </c:xVal>
          <c:yVal>
            <c:numLit>
              <c:formatCode>General</c:formatCode>
              <c:ptCount val="2"/>
              <c:pt idx="0">
                <c:v>2.68836906413089E-2</c:v>
              </c:pt>
              <c:pt idx="1">
                <c:v>2.6768219504709097E-2</c:v>
              </c:pt>
            </c:numLit>
          </c:yVal>
          <c:smooth val="0"/>
          <c:extLst>
            <c:ext xmlns:c16="http://schemas.microsoft.com/office/drawing/2014/chart" uri="{C3380CC4-5D6E-409C-BE32-E72D297353CC}">
              <c16:uniqueId val="{00000078-A402-42FC-9BD5-949CB9566FCD}"/>
            </c:ext>
          </c:extLst>
        </c:ser>
        <c:ser>
          <c:idx val="101"/>
          <c:order val="101"/>
          <c:tx>
            <c:v>h=89</c:v>
          </c:tx>
          <c:spPr>
            <a:ln w="3175">
              <a:solidFill>
                <a:srgbClr val="808080"/>
              </a:solidFill>
              <a:prstDash val="solid"/>
            </a:ln>
          </c:spPr>
          <c:marker>
            <c:symbol val="none"/>
          </c:marker>
          <c:xVal>
            <c:numLit>
              <c:formatCode>General</c:formatCode>
              <c:ptCount val="2"/>
              <c:pt idx="0">
                <c:v>18.463186591288526</c:v>
              </c:pt>
              <c:pt idx="1">
                <c:v>18.763186591288527</c:v>
              </c:pt>
            </c:numLit>
          </c:xVal>
          <c:yVal>
            <c:numLit>
              <c:formatCode>General</c:formatCode>
              <c:ptCount val="2"/>
              <c:pt idx="0">
                <c:v>2.7149589163131743E-2</c:v>
              </c:pt>
              <c:pt idx="1">
                <c:v>2.7034119292076671E-2</c:v>
              </c:pt>
            </c:numLit>
          </c:yVal>
          <c:smooth val="0"/>
          <c:extLst>
            <c:ext xmlns:c16="http://schemas.microsoft.com/office/drawing/2014/chart" uri="{C3380CC4-5D6E-409C-BE32-E72D297353CC}">
              <c16:uniqueId val="{00000079-A402-42FC-9BD5-949CB9566FCD}"/>
            </c:ext>
          </c:extLst>
        </c:ser>
        <c:ser>
          <c:idx val="102"/>
          <c:order val="102"/>
          <c:tx>
            <c:v>h=90</c:v>
          </c:tx>
          <c:spPr>
            <a:ln w="3175">
              <a:solidFill>
                <a:srgbClr val="808080"/>
              </a:solidFill>
              <a:prstDash val="solid"/>
            </a:ln>
          </c:spPr>
          <c:marker>
            <c:symbol val="none"/>
          </c:marker>
          <c:dLbls>
            <c:dLbl>
              <c:idx val="0"/>
              <c:layout>
                <c:manualLayout>
                  <c:x val="-3.0087489063867018E-2"/>
                  <c:y val="-9.347701729591493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90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7A-A402-42FC-9BD5-949CB9566F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18.771595372989861</c:v>
              </c:pt>
              <c:pt idx="1">
                <c:v>50</c:v>
              </c:pt>
            </c:numLit>
          </c:xVal>
          <c:yVal>
            <c:numLit>
              <c:formatCode>General</c:formatCode>
              <c:ptCount val="2"/>
              <c:pt idx="0">
                <c:v>2.7415487684954588E-2</c:v>
              </c:pt>
              <c:pt idx="1">
                <c:v>1.5304548959136469E-2</c:v>
              </c:pt>
            </c:numLit>
          </c:yVal>
          <c:smooth val="0"/>
          <c:extLst>
            <c:ext xmlns:c16="http://schemas.microsoft.com/office/drawing/2014/chart" uri="{C3380CC4-5D6E-409C-BE32-E72D297353CC}">
              <c16:uniqueId val="{0000007B-A402-42FC-9BD5-949CB9566FCD}"/>
            </c:ext>
          </c:extLst>
        </c:ser>
        <c:ser>
          <c:idx val="103"/>
          <c:order val="103"/>
          <c:tx>
            <c:v>h=91</c:v>
          </c:tx>
          <c:spPr>
            <a:ln w="3175">
              <a:solidFill>
                <a:srgbClr val="808080"/>
              </a:solidFill>
              <a:prstDash val="solid"/>
            </a:ln>
          </c:spPr>
          <c:marker>
            <c:symbol val="none"/>
          </c:marker>
          <c:xVal>
            <c:numLit>
              <c:formatCode>General</c:formatCode>
              <c:ptCount val="2"/>
              <c:pt idx="0">
                <c:v>19.080004154691196</c:v>
              </c:pt>
              <c:pt idx="1">
                <c:v>19.380004154691193</c:v>
              </c:pt>
            </c:numLit>
          </c:xVal>
          <c:yVal>
            <c:numLit>
              <c:formatCode>General</c:formatCode>
              <c:ptCount val="2"/>
              <c:pt idx="0">
                <c:v>2.7681386206777434E-2</c:v>
              </c:pt>
              <c:pt idx="1">
                <c:v>2.7565918793794053E-2</c:v>
              </c:pt>
            </c:numLit>
          </c:yVal>
          <c:smooth val="0"/>
          <c:extLst>
            <c:ext xmlns:c16="http://schemas.microsoft.com/office/drawing/2014/chart" uri="{C3380CC4-5D6E-409C-BE32-E72D297353CC}">
              <c16:uniqueId val="{0000007C-A402-42FC-9BD5-949CB9566FCD}"/>
            </c:ext>
          </c:extLst>
        </c:ser>
        <c:ser>
          <c:idx val="104"/>
          <c:order val="104"/>
          <c:tx>
            <c:v>h=92</c:v>
          </c:tx>
          <c:spPr>
            <a:ln w="3175">
              <a:solidFill>
                <a:srgbClr val="808080"/>
              </a:solidFill>
              <a:prstDash val="solid"/>
            </a:ln>
          </c:spPr>
          <c:marker>
            <c:symbol val="none"/>
          </c:marker>
          <c:xVal>
            <c:numLit>
              <c:formatCode>General</c:formatCode>
              <c:ptCount val="2"/>
              <c:pt idx="0">
                <c:v>19.388412936392527</c:v>
              </c:pt>
              <c:pt idx="1">
                <c:v>19.688412936392528</c:v>
              </c:pt>
            </c:numLit>
          </c:xVal>
          <c:yVal>
            <c:numLit>
              <c:formatCode>General</c:formatCode>
              <c:ptCount val="2"/>
              <c:pt idx="0">
                <c:v>2.7947284728600277E-2</c:v>
              </c:pt>
              <c:pt idx="1">
                <c:v>2.7831818509534777E-2</c:v>
              </c:pt>
            </c:numLit>
          </c:yVal>
          <c:smooth val="0"/>
          <c:extLst>
            <c:ext xmlns:c16="http://schemas.microsoft.com/office/drawing/2014/chart" uri="{C3380CC4-5D6E-409C-BE32-E72D297353CC}">
              <c16:uniqueId val="{0000007D-A402-42FC-9BD5-949CB9566FCD}"/>
            </c:ext>
          </c:extLst>
        </c:ser>
        <c:ser>
          <c:idx val="105"/>
          <c:order val="105"/>
          <c:tx>
            <c:v>h=93</c:v>
          </c:tx>
          <c:spPr>
            <a:ln w="3175">
              <a:solidFill>
                <a:srgbClr val="808080"/>
              </a:solidFill>
              <a:prstDash val="solid"/>
            </a:ln>
          </c:spPr>
          <c:marker>
            <c:symbol val="none"/>
          </c:marker>
          <c:xVal>
            <c:numLit>
              <c:formatCode>General</c:formatCode>
              <c:ptCount val="2"/>
              <c:pt idx="0">
                <c:v>19.696821718093862</c:v>
              </c:pt>
              <c:pt idx="1">
                <c:v>19.996821718093862</c:v>
              </c:pt>
            </c:numLit>
          </c:xVal>
          <c:yVal>
            <c:numLit>
              <c:formatCode>General</c:formatCode>
              <c:ptCount val="2"/>
              <c:pt idx="0">
                <c:v>2.8213183250423123E-2</c:v>
              </c:pt>
              <c:pt idx="1">
                <c:v>2.8097718202747063E-2</c:v>
              </c:pt>
            </c:numLit>
          </c:yVal>
          <c:smooth val="0"/>
          <c:extLst>
            <c:ext xmlns:c16="http://schemas.microsoft.com/office/drawing/2014/chart" uri="{C3380CC4-5D6E-409C-BE32-E72D297353CC}">
              <c16:uniqueId val="{0000007E-A402-42FC-9BD5-949CB9566FCD}"/>
            </c:ext>
          </c:extLst>
        </c:ser>
        <c:ser>
          <c:idx val="106"/>
          <c:order val="106"/>
          <c:tx>
            <c:v>h=94</c:v>
          </c:tx>
          <c:spPr>
            <a:ln w="3175">
              <a:solidFill>
                <a:srgbClr val="808080"/>
              </a:solidFill>
              <a:prstDash val="solid"/>
            </a:ln>
          </c:spPr>
          <c:marker>
            <c:symbol val="none"/>
          </c:marker>
          <c:xVal>
            <c:numLit>
              <c:formatCode>General</c:formatCode>
              <c:ptCount val="2"/>
              <c:pt idx="0">
                <c:v>20.005230499795196</c:v>
              </c:pt>
              <c:pt idx="1">
                <c:v>20.305230499795194</c:v>
              </c:pt>
            </c:numLit>
          </c:xVal>
          <c:yVal>
            <c:numLit>
              <c:formatCode>General</c:formatCode>
              <c:ptCount val="2"/>
              <c:pt idx="0">
                <c:v>2.8479081772245965E-2</c:v>
              </c:pt>
              <c:pt idx="1">
                <c:v>2.8363617874062594E-2</c:v>
              </c:pt>
            </c:numLit>
          </c:yVal>
          <c:smooth val="0"/>
          <c:extLst>
            <c:ext xmlns:c16="http://schemas.microsoft.com/office/drawing/2014/chart" uri="{C3380CC4-5D6E-409C-BE32-E72D297353CC}">
              <c16:uniqueId val="{0000007F-A402-42FC-9BD5-949CB9566FCD}"/>
            </c:ext>
          </c:extLst>
        </c:ser>
        <c:ser>
          <c:idx val="107"/>
          <c:order val="107"/>
          <c:tx>
            <c:v>h=95</c:v>
          </c:tx>
          <c:spPr>
            <a:ln w="3175">
              <a:solidFill>
                <a:srgbClr val="808080"/>
              </a:solidFill>
              <a:prstDash val="solid"/>
            </a:ln>
          </c:spPr>
          <c:marker>
            <c:symbol val="none"/>
          </c:marker>
          <c:dLbls>
            <c:dLbl>
              <c:idx val="0"/>
              <c:layout>
                <c:manualLayout>
                  <c:x val="-3.0087489063867018E-2"/>
                  <c:y val="-9.3477017295915121E-3"/>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95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0-A402-42FC-9BD5-949CB9566F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20.313639281496528</c:v>
              </c:pt>
              <c:pt idx="1">
                <c:v>50</c:v>
              </c:pt>
            </c:numLit>
          </c:xVal>
          <c:yVal>
            <c:numLit>
              <c:formatCode>General</c:formatCode>
              <c:ptCount val="2"/>
              <c:pt idx="0">
                <c:v>2.8744980294068811E-2</c:v>
              </c:pt>
              <c:pt idx="1">
                <c:v>1.723207401696222E-2</c:v>
              </c:pt>
            </c:numLit>
          </c:yVal>
          <c:smooth val="0"/>
          <c:extLst>
            <c:ext xmlns:c16="http://schemas.microsoft.com/office/drawing/2014/chart" uri="{C3380CC4-5D6E-409C-BE32-E72D297353CC}">
              <c16:uniqueId val="{00000081-A402-42FC-9BD5-949CB9566FCD}"/>
            </c:ext>
          </c:extLst>
        </c:ser>
        <c:ser>
          <c:idx val="108"/>
          <c:order val="108"/>
          <c:tx>
            <c:v>h=96</c:v>
          </c:tx>
          <c:spPr>
            <a:ln w="3175">
              <a:solidFill>
                <a:srgbClr val="808080"/>
              </a:solidFill>
              <a:prstDash val="solid"/>
            </a:ln>
          </c:spPr>
          <c:marker>
            <c:symbol val="none"/>
          </c:marker>
          <c:xVal>
            <c:numLit>
              <c:formatCode>General</c:formatCode>
              <c:ptCount val="2"/>
              <c:pt idx="0">
                <c:v>20.622048063197862</c:v>
              </c:pt>
              <c:pt idx="1">
                <c:v>20.922048063197863</c:v>
              </c:pt>
            </c:numLit>
          </c:xVal>
          <c:yVal>
            <c:numLit>
              <c:formatCode>General</c:formatCode>
              <c:ptCount val="2"/>
              <c:pt idx="0">
                <c:v>2.9010878815891653E-2</c:v>
              </c:pt>
              <c:pt idx="1">
                <c:v>2.8895417153414215E-2</c:v>
              </c:pt>
            </c:numLit>
          </c:yVal>
          <c:smooth val="0"/>
          <c:extLst>
            <c:ext xmlns:c16="http://schemas.microsoft.com/office/drawing/2014/chart" uri="{C3380CC4-5D6E-409C-BE32-E72D297353CC}">
              <c16:uniqueId val="{00000082-A402-42FC-9BD5-949CB9566FCD}"/>
            </c:ext>
          </c:extLst>
        </c:ser>
        <c:ser>
          <c:idx val="109"/>
          <c:order val="109"/>
          <c:tx>
            <c:v>h=97</c:v>
          </c:tx>
          <c:spPr>
            <a:ln w="3175">
              <a:solidFill>
                <a:srgbClr val="808080"/>
              </a:solidFill>
              <a:prstDash val="solid"/>
            </a:ln>
          </c:spPr>
          <c:marker>
            <c:symbol val="none"/>
          </c:marker>
          <c:xVal>
            <c:numLit>
              <c:formatCode>General</c:formatCode>
              <c:ptCount val="2"/>
              <c:pt idx="0">
                <c:v>20.930456844899197</c:v>
              </c:pt>
              <c:pt idx="1">
                <c:v>21.230456844899194</c:v>
              </c:pt>
            </c:numLit>
          </c:xVal>
          <c:yVal>
            <c:numLit>
              <c:formatCode>General</c:formatCode>
              <c:ptCount val="2"/>
              <c:pt idx="0">
                <c:v>2.9276777337714499E-2</c:v>
              </c:pt>
              <c:pt idx="1">
                <c:v>2.916131676260093E-2</c:v>
              </c:pt>
            </c:numLit>
          </c:yVal>
          <c:smooth val="0"/>
          <c:extLst>
            <c:ext xmlns:c16="http://schemas.microsoft.com/office/drawing/2014/chart" uri="{C3380CC4-5D6E-409C-BE32-E72D297353CC}">
              <c16:uniqueId val="{00000083-A402-42FC-9BD5-949CB9566FCD}"/>
            </c:ext>
          </c:extLst>
        </c:ser>
        <c:ser>
          <c:idx val="110"/>
          <c:order val="110"/>
          <c:tx>
            <c:v>h=98</c:v>
          </c:tx>
          <c:spPr>
            <a:ln w="3175">
              <a:solidFill>
                <a:srgbClr val="808080"/>
              </a:solidFill>
              <a:prstDash val="solid"/>
            </a:ln>
          </c:spPr>
          <c:marker>
            <c:symbol val="none"/>
          </c:marker>
          <c:xVal>
            <c:numLit>
              <c:formatCode>General</c:formatCode>
              <c:ptCount val="2"/>
              <c:pt idx="0">
                <c:v>21.238865626600528</c:v>
              </c:pt>
              <c:pt idx="1">
                <c:v>21.538865626600529</c:v>
              </c:pt>
            </c:numLit>
          </c:xVal>
          <c:yVal>
            <c:numLit>
              <c:formatCode>General</c:formatCode>
              <c:ptCount val="2"/>
              <c:pt idx="0">
                <c:v>2.9542675859537345E-2</c:v>
              </c:pt>
              <c:pt idx="1">
                <c:v>2.9427216352194103E-2</c:v>
              </c:pt>
            </c:numLit>
          </c:yVal>
          <c:smooth val="0"/>
          <c:extLst>
            <c:ext xmlns:c16="http://schemas.microsoft.com/office/drawing/2014/chart" uri="{C3380CC4-5D6E-409C-BE32-E72D297353CC}">
              <c16:uniqueId val="{00000084-A402-42FC-9BD5-949CB9566FCD}"/>
            </c:ext>
          </c:extLst>
        </c:ser>
        <c:ser>
          <c:idx val="111"/>
          <c:order val="111"/>
          <c:tx>
            <c:v>h=99</c:v>
          </c:tx>
          <c:spPr>
            <a:ln w="3175">
              <a:solidFill>
                <a:srgbClr val="808080"/>
              </a:solidFill>
              <a:prstDash val="solid"/>
            </a:ln>
          </c:spPr>
          <c:marker>
            <c:symbol val="none"/>
          </c:marker>
          <c:xVal>
            <c:numLit>
              <c:formatCode>General</c:formatCode>
              <c:ptCount val="2"/>
              <c:pt idx="0">
                <c:v>21.547274408301863</c:v>
              </c:pt>
              <c:pt idx="1">
                <c:v>21.847274408301864</c:v>
              </c:pt>
            </c:numLit>
          </c:xVal>
          <c:yVal>
            <c:numLit>
              <c:formatCode>General</c:formatCode>
              <c:ptCount val="2"/>
              <c:pt idx="0">
                <c:v>2.9808574381360187E-2</c:v>
              </c:pt>
              <c:pt idx="1">
                <c:v>2.9693115922718592E-2</c:v>
              </c:pt>
            </c:numLit>
          </c:yVal>
          <c:smooth val="0"/>
          <c:extLst>
            <c:ext xmlns:c16="http://schemas.microsoft.com/office/drawing/2014/chart" uri="{C3380CC4-5D6E-409C-BE32-E72D297353CC}">
              <c16:uniqueId val="{00000085-A402-42FC-9BD5-949CB9566FCD}"/>
            </c:ext>
          </c:extLst>
        </c:ser>
        <c:ser>
          <c:idx val="112"/>
          <c:order val="112"/>
          <c:tx>
            <c:v>h=100</c:v>
          </c:tx>
          <c:spPr>
            <a:ln w="3175">
              <a:solidFill>
                <a:srgbClr val="808080"/>
              </a:solidFill>
              <a:prstDash val="solid"/>
            </a:ln>
          </c:spPr>
          <c:marker>
            <c:symbol val="none"/>
          </c:marker>
          <c:dLbls>
            <c:dLbl>
              <c:idx val="0"/>
              <c:layout>
                <c:manualLayout>
                  <c:x val="-3.2080736001749779E-2"/>
                  <c:y val="-1.2169728783902031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100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6-A402-42FC-9BD5-949CB9566F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21.855683190003198</c:v>
              </c:pt>
              <c:pt idx="1">
                <c:v>49.999999999999993</c:v>
              </c:pt>
            </c:numLit>
          </c:xVal>
          <c:yVal>
            <c:numLit>
              <c:formatCode>General</c:formatCode>
              <c:ptCount val="2"/>
              <c:pt idx="0">
                <c:v>3.0074472903183033E-2</c:v>
              </c:pt>
              <c:pt idx="1">
                <c:v>1.9159599074787974E-2</c:v>
              </c:pt>
            </c:numLit>
          </c:yVal>
          <c:smooth val="0"/>
          <c:extLst>
            <c:ext xmlns:c16="http://schemas.microsoft.com/office/drawing/2014/chart" uri="{C3380CC4-5D6E-409C-BE32-E72D297353CC}">
              <c16:uniqueId val="{00000087-A402-42FC-9BD5-949CB9566FCD}"/>
            </c:ext>
          </c:extLst>
        </c:ser>
        <c:ser>
          <c:idx val="113"/>
          <c:order val="113"/>
          <c:tx>
            <c:v>h=101</c:v>
          </c:tx>
          <c:spPr>
            <a:ln w="3175">
              <a:solidFill>
                <a:srgbClr val="808080"/>
              </a:solidFill>
              <a:prstDash val="solid"/>
            </a:ln>
          </c:spPr>
          <c:marker>
            <c:symbol val="none"/>
          </c:marker>
          <c:xVal>
            <c:numLit>
              <c:formatCode>General</c:formatCode>
              <c:ptCount val="2"/>
              <c:pt idx="0">
                <c:v>22.164091971704529</c:v>
              </c:pt>
              <c:pt idx="1">
                <c:v>22.46409197170453</c:v>
              </c:pt>
            </c:numLit>
          </c:xVal>
          <c:yVal>
            <c:numLit>
              <c:formatCode>General</c:formatCode>
              <c:ptCount val="2"/>
              <c:pt idx="0">
                <c:v>3.0340371425005876E-2</c:v>
              </c:pt>
              <c:pt idx="1">
                <c:v>3.0224915008568904E-2</c:v>
              </c:pt>
            </c:numLit>
          </c:yVal>
          <c:smooth val="0"/>
          <c:extLst>
            <c:ext xmlns:c16="http://schemas.microsoft.com/office/drawing/2014/chart" uri="{C3380CC4-5D6E-409C-BE32-E72D297353CC}">
              <c16:uniqueId val="{00000088-A402-42FC-9BD5-949CB9566FCD}"/>
            </c:ext>
          </c:extLst>
        </c:ser>
        <c:ser>
          <c:idx val="114"/>
          <c:order val="114"/>
          <c:tx>
            <c:v>h=102</c:v>
          </c:tx>
          <c:spPr>
            <a:ln w="3175">
              <a:solidFill>
                <a:srgbClr val="808080"/>
              </a:solidFill>
              <a:prstDash val="solid"/>
            </a:ln>
          </c:spPr>
          <c:marker>
            <c:symbol val="none"/>
          </c:marker>
          <c:xVal>
            <c:numLit>
              <c:formatCode>General</c:formatCode>
              <c:ptCount val="2"/>
              <c:pt idx="0">
                <c:v>22.472500753405864</c:v>
              </c:pt>
              <c:pt idx="1">
                <c:v>22.772500753405865</c:v>
              </c:pt>
            </c:numLit>
          </c:xVal>
          <c:yVal>
            <c:numLit>
              <c:formatCode>General</c:formatCode>
              <c:ptCount val="2"/>
              <c:pt idx="0">
                <c:v>3.0606269946828722E-2</c:v>
              </c:pt>
              <c:pt idx="1">
                <c:v>3.0490814524854769E-2</c:v>
              </c:pt>
            </c:numLit>
          </c:yVal>
          <c:smooth val="0"/>
          <c:extLst>
            <c:ext xmlns:c16="http://schemas.microsoft.com/office/drawing/2014/chart" uri="{C3380CC4-5D6E-409C-BE32-E72D297353CC}">
              <c16:uniqueId val="{00000089-A402-42FC-9BD5-949CB9566FCD}"/>
            </c:ext>
          </c:extLst>
        </c:ser>
        <c:ser>
          <c:idx val="115"/>
          <c:order val="115"/>
          <c:tx>
            <c:v>h=103</c:v>
          </c:tx>
          <c:spPr>
            <a:ln w="3175">
              <a:solidFill>
                <a:srgbClr val="808080"/>
              </a:solidFill>
              <a:prstDash val="solid"/>
            </a:ln>
          </c:spPr>
          <c:marker>
            <c:symbol val="none"/>
          </c:marker>
          <c:xVal>
            <c:numLit>
              <c:formatCode>General</c:formatCode>
              <c:ptCount val="2"/>
              <c:pt idx="0">
                <c:v>22.780909535107199</c:v>
              </c:pt>
              <c:pt idx="1">
                <c:v>23.080909535107196</c:v>
              </c:pt>
            </c:numLit>
          </c:xVal>
          <c:yVal>
            <c:numLit>
              <c:formatCode>General</c:formatCode>
              <c:ptCount val="2"/>
              <c:pt idx="0">
                <c:v>3.0872168468651567E-2</c:v>
              </c:pt>
              <c:pt idx="1">
                <c:v>3.0756714023993551E-2</c:v>
              </c:pt>
            </c:numLit>
          </c:yVal>
          <c:smooth val="0"/>
          <c:extLst>
            <c:ext xmlns:c16="http://schemas.microsoft.com/office/drawing/2014/chart" uri="{C3380CC4-5D6E-409C-BE32-E72D297353CC}">
              <c16:uniqueId val="{0000008A-A402-42FC-9BD5-949CB9566FCD}"/>
            </c:ext>
          </c:extLst>
        </c:ser>
        <c:ser>
          <c:idx val="116"/>
          <c:order val="116"/>
          <c:tx>
            <c:v>h=104</c:v>
          </c:tx>
          <c:spPr>
            <a:ln w="3175">
              <a:solidFill>
                <a:srgbClr val="808080"/>
              </a:solidFill>
              <a:prstDash val="solid"/>
            </a:ln>
          </c:spPr>
          <c:marker>
            <c:symbol val="none"/>
          </c:marker>
          <c:xVal>
            <c:numLit>
              <c:formatCode>General</c:formatCode>
              <c:ptCount val="2"/>
              <c:pt idx="0">
                <c:v>23.08931831680853</c:v>
              </c:pt>
              <c:pt idx="1">
                <c:v>23.389318316808531</c:v>
              </c:pt>
            </c:numLit>
          </c:xVal>
          <c:yVal>
            <c:numLit>
              <c:formatCode>General</c:formatCode>
              <c:ptCount val="2"/>
              <c:pt idx="0">
                <c:v>3.113806699047441E-2</c:v>
              </c:pt>
              <c:pt idx="1">
                <c:v>3.1022613506424938E-2</c:v>
              </c:pt>
            </c:numLit>
          </c:yVal>
          <c:smooth val="0"/>
          <c:extLst>
            <c:ext xmlns:c16="http://schemas.microsoft.com/office/drawing/2014/chart" uri="{C3380CC4-5D6E-409C-BE32-E72D297353CC}">
              <c16:uniqueId val="{0000008B-A402-42FC-9BD5-949CB9566FCD}"/>
            </c:ext>
          </c:extLst>
        </c:ser>
        <c:ser>
          <c:idx val="117"/>
          <c:order val="117"/>
          <c:tx>
            <c:v>h=105</c:v>
          </c:tx>
          <c:spPr>
            <a:ln w="3175">
              <a:solidFill>
                <a:srgbClr val="808080"/>
              </a:solidFill>
              <a:prstDash val="solid"/>
            </a:ln>
          </c:spPr>
          <c:marker>
            <c:symbol val="none"/>
          </c:marker>
          <c:dLbls>
            <c:dLbl>
              <c:idx val="0"/>
              <c:layout>
                <c:manualLayout>
                  <c:x val="-3.2080736001749842E-2"/>
                  <c:y val="-1.2169728783902012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105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8C-A402-42FC-9BD5-949CB9566F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23.397727098509865</c:v>
              </c:pt>
              <c:pt idx="1">
                <c:v>50</c:v>
              </c:pt>
            </c:numLit>
          </c:xVal>
          <c:yVal>
            <c:numLit>
              <c:formatCode>General</c:formatCode>
              <c:ptCount val="2"/>
              <c:pt idx="0">
                <c:v>3.1403965512297252E-2</c:v>
              </c:pt>
              <c:pt idx="1">
                <c:v>2.1087124132613724E-2</c:v>
              </c:pt>
            </c:numLit>
          </c:yVal>
          <c:smooth val="0"/>
          <c:extLst>
            <c:ext xmlns:c16="http://schemas.microsoft.com/office/drawing/2014/chart" uri="{C3380CC4-5D6E-409C-BE32-E72D297353CC}">
              <c16:uniqueId val="{0000008D-A402-42FC-9BD5-949CB9566FCD}"/>
            </c:ext>
          </c:extLst>
        </c:ser>
        <c:ser>
          <c:idx val="118"/>
          <c:order val="118"/>
          <c:tx>
            <c:v>h=106</c:v>
          </c:tx>
          <c:spPr>
            <a:ln w="3175">
              <a:solidFill>
                <a:srgbClr val="808080"/>
              </a:solidFill>
              <a:prstDash val="solid"/>
            </a:ln>
          </c:spPr>
          <c:marker>
            <c:symbol val="none"/>
          </c:marker>
          <c:xVal>
            <c:numLit>
              <c:formatCode>General</c:formatCode>
              <c:ptCount val="2"/>
              <c:pt idx="0">
                <c:v>23.7061358802112</c:v>
              </c:pt>
              <c:pt idx="1">
                <c:v>24.006135880211197</c:v>
              </c:pt>
            </c:numLit>
          </c:xVal>
          <c:yVal>
            <c:numLit>
              <c:formatCode>General</c:formatCode>
              <c:ptCount val="2"/>
              <c:pt idx="0">
                <c:v>3.1669864034120102E-2</c:v>
              </c:pt>
              <c:pt idx="1">
                <c:v>3.1554412422850439E-2</c:v>
              </c:pt>
            </c:numLit>
          </c:yVal>
          <c:smooth val="0"/>
          <c:extLst>
            <c:ext xmlns:c16="http://schemas.microsoft.com/office/drawing/2014/chart" uri="{C3380CC4-5D6E-409C-BE32-E72D297353CC}">
              <c16:uniqueId val="{0000008E-A402-42FC-9BD5-949CB9566FCD}"/>
            </c:ext>
          </c:extLst>
        </c:ser>
        <c:ser>
          <c:idx val="119"/>
          <c:order val="119"/>
          <c:tx>
            <c:v>h=107</c:v>
          </c:tx>
          <c:spPr>
            <a:ln w="3175">
              <a:solidFill>
                <a:srgbClr val="808080"/>
              </a:solidFill>
              <a:prstDash val="solid"/>
            </a:ln>
          </c:spPr>
          <c:marker>
            <c:symbol val="none"/>
          </c:marker>
          <c:xVal>
            <c:numLit>
              <c:formatCode>General</c:formatCode>
              <c:ptCount val="2"/>
              <c:pt idx="0">
                <c:v>24.014544661912531</c:v>
              </c:pt>
              <c:pt idx="1">
                <c:v>24.314544661912532</c:v>
              </c:pt>
            </c:numLit>
          </c:xVal>
          <c:yVal>
            <c:numLit>
              <c:formatCode>General</c:formatCode>
              <c:ptCount val="2"/>
              <c:pt idx="0">
                <c:v>3.1935762555942944E-2</c:v>
              </c:pt>
              <c:pt idx="1">
                <c:v>3.1820311857651898E-2</c:v>
              </c:pt>
            </c:numLit>
          </c:yVal>
          <c:smooth val="0"/>
          <c:extLst>
            <c:ext xmlns:c16="http://schemas.microsoft.com/office/drawing/2014/chart" uri="{C3380CC4-5D6E-409C-BE32-E72D297353CC}">
              <c16:uniqueId val="{0000008F-A402-42FC-9BD5-949CB9566FCD}"/>
            </c:ext>
          </c:extLst>
        </c:ser>
        <c:ser>
          <c:idx val="120"/>
          <c:order val="120"/>
          <c:tx>
            <c:v>h=108</c:v>
          </c:tx>
          <c:spPr>
            <a:ln w="3175">
              <a:solidFill>
                <a:srgbClr val="808080"/>
              </a:solidFill>
              <a:prstDash val="solid"/>
            </a:ln>
          </c:spPr>
          <c:marker>
            <c:symbol val="none"/>
          </c:marker>
          <c:xVal>
            <c:numLit>
              <c:formatCode>General</c:formatCode>
              <c:ptCount val="2"/>
              <c:pt idx="0">
                <c:v>24.322953443613866</c:v>
              </c:pt>
              <c:pt idx="1">
                <c:v>24.622953443613866</c:v>
              </c:pt>
            </c:numLit>
          </c:xVal>
          <c:yVal>
            <c:numLit>
              <c:formatCode>General</c:formatCode>
              <c:ptCount val="2"/>
              <c:pt idx="0">
                <c:v>3.2201661077765786E-2</c:v>
              </c:pt>
              <c:pt idx="1">
                <c:v>3.2086211277361804E-2</c:v>
              </c:pt>
            </c:numLit>
          </c:yVal>
          <c:smooth val="0"/>
          <c:extLst>
            <c:ext xmlns:c16="http://schemas.microsoft.com/office/drawing/2014/chart" uri="{C3380CC4-5D6E-409C-BE32-E72D297353CC}">
              <c16:uniqueId val="{00000090-A402-42FC-9BD5-949CB9566FCD}"/>
            </c:ext>
          </c:extLst>
        </c:ser>
        <c:ser>
          <c:idx val="121"/>
          <c:order val="121"/>
          <c:tx>
            <c:v>h=109</c:v>
          </c:tx>
          <c:spPr>
            <a:ln w="3175">
              <a:solidFill>
                <a:srgbClr val="808080"/>
              </a:solidFill>
              <a:prstDash val="solid"/>
            </a:ln>
          </c:spPr>
          <c:marker>
            <c:symbol val="none"/>
          </c:marker>
          <c:xVal>
            <c:numLit>
              <c:formatCode>General</c:formatCode>
              <c:ptCount val="2"/>
              <c:pt idx="0">
                <c:v>24.6313622253152</c:v>
              </c:pt>
              <c:pt idx="1">
                <c:v>24.931362225315198</c:v>
              </c:pt>
            </c:numLit>
          </c:xVal>
          <c:yVal>
            <c:numLit>
              <c:formatCode>General</c:formatCode>
              <c:ptCount val="2"/>
              <c:pt idx="0">
                <c:v>3.2467559599588636E-2</c:v>
              </c:pt>
              <c:pt idx="1">
                <c:v>3.2352110682351297E-2</c:v>
              </c:pt>
            </c:numLit>
          </c:yVal>
          <c:smooth val="0"/>
          <c:extLst>
            <c:ext xmlns:c16="http://schemas.microsoft.com/office/drawing/2014/chart" uri="{C3380CC4-5D6E-409C-BE32-E72D297353CC}">
              <c16:uniqueId val="{00000091-A402-42FC-9BD5-949CB9566FCD}"/>
            </c:ext>
          </c:extLst>
        </c:ser>
        <c:ser>
          <c:idx val="122"/>
          <c:order val="122"/>
          <c:tx>
            <c:v>h=110</c:v>
          </c:tx>
          <c:spPr>
            <a:ln w="3175">
              <a:solidFill>
                <a:srgbClr val="808080"/>
              </a:solidFill>
              <a:prstDash val="solid"/>
            </a:ln>
          </c:spPr>
          <c:marker>
            <c:symbol val="none"/>
          </c:marker>
          <c:dLbls>
            <c:dLbl>
              <c:idx val="0"/>
              <c:layout>
                <c:manualLayout>
                  <c:x val="-3.2080736001749842E-2"/>
                  <c:y val="-1.2169728783902012E-2"/>
                </c:manualLayout>
              </c:layout>
              <c:tx>
                <c:rich>
                  <a:bodyPr rot="-294000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110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2-A402-42FC-9BD5-949CB9566F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24.939771007016532</c:v>
              </c:pt>
              <c:pt idx="1">
                <c:v>50</c:v>
              </c:pt>
            </c:numLit>
          </c:xVal>
          <c:yVal>
            <c:numLit>
              <c:formatCode>General</c:formatCode>
              <c:ptCount val="2"/>
              <c:pt idx="0">
                <c:v>3.2733458121411478E-2</c:v>
              </c:pt>
              <c:pt idx="1">
                <c:v>2.3014649190439475E-2</c:v>
              </c:pt>
            </c:numLit>
          </c:yVal>
          <c:smooth val="0"/>
          <c:extLst>
            <c:ext xmlns:c16="http://schemas.microsoft.com/office/drawing/2014/chart" uri="{C3380CC4-5D6E-409C-BE32-E72D297353CC}">
              <c16:uniqueId val="{00000093-A402-42FC-9BD5-949CB9566FCD}"/>
            </c:ext>
          </c:extLst>
        </c:ser>
        <c:ser>
          <c:idx val="123"/>
          <c:order val="123"/>
          <c:tx>
            <c:v>h=111</c:v>
          </c:tx>
          <c:spPr>
            <a:ln w="3175">
              <a:solidFill>
                <a:srgbClr val="808080"/>
              </a:solidFill>
              <a:prstDash val="solid"/>
            </a:ln>
          </c:spPr>
          <c:marker>
            <c:symbol val="none"/>
          </c:marker>
          <c:xVal>
            <c:numLit>
              <c:formatCode>General</c:formatCode>
              <c:ptCount val="2"/>
              <c:pt idx="0">
                <c:v>25.248179788717867</c:v>
              </c:pt>
              <c:pt idx="1">
                <c:v>25.548179788717867</c:v>
              </c:pt>
            </c:numLit>
          </c:xVal>
          <c:yVal>
            <c:numLit>
              <c:formatCode>General</c:formatCode>
              <c:ptCount val="2"/>
              <c:pt idx="0">
                <c:v>3.299935664323432E-2</c:v>
              </c:pt>
              <c:pt idx="1">
                <c:v>3.2883909449593671E-2</c:v>
              </c:pt>
            </c:numLit>
          </c:yVal>
          <c:smooth val="0"/>
          <c:extLst>
            <c:ext xmlns:c16="http://schemas.microsoft.com/office/drawing/2014/chart" uri="{C3380CC4-5D6E-409C-BE32-E72D297353CC}">
              <c16:uniqueId val="{00000094-A402-42FC-9BD5-949CB9566FCD}"/>
            </c:ext>
          </c:extLst>
        </c:ser>
        <c:ser>
          <c:idx val="124"/>
          <c:order val="124"/>
          <c:tx>
            <c:v>h=112</c:v>
          </c:tx>
          <c:spPr>
            <a:ln w="3175">
              <a:solidFill>
                <a:srgbClr val="808080"/>
              </a:solidFill>
              <a:prstDash val="solid"/>
            </a:ln>
          </c:spPr>
          <c:marker>
            <c:symbol val="none"/>
          </c:marker>
          <c:xVal>
            <c:numLit>
              <c:formatCode>General</c:formatCode>
              <c:ptCount val="2"/>
              <c:pt idx="0">
                <c:v>25.556588570419198</c:v>
              </c:pt>
              <c:pt idx="1">
                <c:v>25.856588570419198</c:v>
              </c:pt>
            </c:numLit>
          </c:xVal>
          <c:yVal>
            <c:numLit>
              <c:formatCode>General</c:formatCode>
              <c:ptCount val="2"/>
              <c:pt idx="0">
                <c:v>3.3265255165057163E-2</c:v>
              </c:pt>
              <c:pt idx="1">
                <c:v>3.3149808812530379E-2</c:v>
              </c:pt>
            </c:numLit>
          </c:yVal>
          <c:smooth val="0"/>
          <c:extLst>
            <c:ext xmlns:c16="http://schemas.microsoft.com/office/drawing/2014/chart" uri="{C3380CC4-5D6E-409C-BE32-E72D297353CC}">
              <c16:uniqueId val="{00000095-A402-42FC-9BD5-949CB9566FCD}"/>
            </c:ext>
          </c:extLst>
        </c:ser>
        <c:ser>
          <c:idx val="125"/>
          <c:order val="125"/>
          <c:tx>
            <c:v>h=113</c:v>
          </c:tx>
          <c:spPr>
            <a:ln w="3175">
              <a:solidFill>
                <a:srgbClr val="808080"/>
              </a:solidFill>
              <a:prstDash val="solid"/>
            </a:ln>
          </c:spPr>
          <c:marker>
            <c:symbol val="none"/>
          </c:marker>
          <c:xVal>
            <c:numLit>
              <c:formatCode>General</c:formatCode>
              <c:ptCount val="2"/>
              <c:pt idx="0">
                <c:v>25.864997352120533</c:v>
              </c:pt>
              <c:pt idx="1">
                <c:v>26.164997352120533</c:v>
              </c:pt>
            </c:numLit>
          </c:xVal>
          <c:yVal>
            <c:numLit>
              <c:formatCode>General</c:formatCode>
              <c:ptCount val="2"/>
              <c:pt idx="0">
                <c:v>3.3531153686880012E-2</c:v>
              </c:pt>
              <c:pt idx="1">
                <c:v>3.341570816211524E-2</c:v>
              </c:pt>
            </c:numLit>
          </c:yVal>
          <c:smooth val="0"/>
          <c:extLst>
            <c:ext xmlns:c16="http://schemas.microsoft.com/office/drawing/2014/chart" uri="{C3380CC4-5D6E-409C-BE32-E72D297353CC}">
              <c16:uniqueId val="{00000096-A402-42FC-9BD5-949CB9566FCD}"/>
            </c:ext>
          </c:extLst>
        </c:ser>
        <c:ser>
          <c:idx val="126"/>
          <c:order val="126"/>
          <c:tx>
            <c:v>h=114</c:v>
          </c:tx>
          <c:spPr>
            <a:ln w="3175">
              <a:solidFill>
                <a:srgbClr val="808080"/>
              </a:solidFill>
              <a:prstDash val="solid"/>
            </a:ln>
          </c:spPr>
          <c:marker>
            <c:symbol val="none"/>
          </c:marker>
          <c:xVal>
            <c:numLit>
              <c:formatCode>General</c:formatCode>
              <c:ptCount val="2"/>
              <c:pt idx="0">
                <c:v>26.173406133821867</c:v>
              </c:pt>
              <c:pt idx="1">
                <c:v>26.473406133821868</c:v>
              </c:pt>
            </c:numLit>
          </c:xVal>
          <c:yVal>
            <c:numLit>
              <c:formatCode>General</c:formatCode>
              <c:ptCount val="2"/>
              <c:pt idx="0">
                <c:v>3.3797052208702855E-2</c:v>
              </c:pt>
              <c:pt idx="1">
                <c:v>3.3681607498663661E-2</c:v>
              </c:pt>
            </c:numLit>
          </c:yVal>
          <c:smooth val="0"/>
          <c:extLst>
            <c:ext xmlns:c16="http://schemas.microsoft.com/office/drawing/2014/chart" uri="{C3380CC4-5D6E-409C-BE32-E72D297353CC}">
              <c16:uniqueId val="{00000097-A402-42FC-9BD5-949CB9566FCD}"/>
            </c:ext>
          </c:extLst>
        </c:ser>
        <c:ser>
          <c:idx val="127"/>
          <c:order val="127"/>
          <c:tx>
            <c:v>h=115</c:v>
          </c:tx>
          <c:spPr>
            <a:ln w="3175">
              <a:solidFill>
                <a:srgbClr val="808080"/>
              </a:solidFill>
              <a:prstDash val="solid"/>
            </a:ln>
          </c:spPr>
          <c:marker>
            <c:symbol val="none"/>
          </c:marker>
          <c:dLbls>
            <c:dLbl>
              <c:idx val="0"/>
              <c:layout>
                <c:manualLayout>
                  <c:x val="-2.9079861111111112E-2"/>
                  <c:y val="-3.3119658119658119E-3"/>
                </c:manualLayout>
              </c:layout>
              <c:tx>
                <c:rich>
                  <a:bodyPr rot="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115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8-A402-42FC-9BD5-949CB9566F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26.644135188866791</c:v>
              </c:pt>
              <c:pt idx="1">
                <c:v>49.999999999999993</c:v>
              </c:pt>
            </c:numLit>
          </c:xVal>
          <c:yVal>
            <c:numLit>
              <c:formatCode>General</c:formatCode>
              <c:ptCount val="2"/>
              <c:pt idx="0">
                <c:v>3.4000000000000002E-2</c:v>
              </c:pt>
              <c:pt idx="1">
                <c:v>2.4942174248265229E-2</c:v>
              </c:pt>
            </c:numLit>
          </c:yVal>
          <c:smooth val="0"/>
          <c:extLst>
            <c:ext xmlns:c16="http://schemas.microsoft.com/office/drawing/2014/chart" uri="{C3380CC4-5D6E-409C-BE32-E72D297353CC}">
              <c16:uniqueId val="{00000099-A402-42FC-9BD5-949CB9566FCD}"/>
            </c:ext>
          </c:extLst>
        </c:ser>
        <c:ser>
          <c:idx val="128"/>
          <c:order val="128"/>
          <c:tx>
            <c:v>h=116</c:v>
          </c:tx>
          <c:spPr>
            <a:ln w="3175">
              <a:solidFill>
                <a:srgbClr val="808080"/>
              </a:solidFill>
              <a:prstDash val="solid"/>
            </a:ln>
          </c:spPr>
          <c:marker>
            <c:symbol val="none"/>
          </c:marker>
          <c:xVal>
            <c:numLit>
              <c:formatCode>General</c:formatCode>
              <c:ptCount val="2"/>
              <c:pt idx="0">
                <c:v>27.638170974155063</c:v>
              </c:pt>
              <c:pt idx="1">
                <c:v>28.210329737551017</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9A-A402-42FC-9BD5-949CB9566FCD}"/>
            </c:ext>
          </c:extLst>
        </c:ser>
        <c:ser>
          <c:idx val="129"/>
          <c:order val="129"/>
          <c:tx>
            <c:v>h=117</c:v>
          </c:tx>
          <c:spPr>
            <a:ln w="3175">
              <a:solidFill>
                <a:srgbClr val="808080"/>
              </a:solidFill>
              <a:prstDash val="solid"/>
            </a:ln>
          </c:spPr>
          <c:marker>
            <c:symbol val="none"/>
          </c:marker>
          <c:xVal>
            <c:numLit>
              <c:formatCode>General</c:formatCode>
              <c:ptCount val="2"/>
              <c:pt idx="0">
                <c:v>28.632206759443335</c:v>
              </c:pt>
              <c:pt idx="1">
                <c:v>29.204365522839289</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9B-A402-42FC-9BD5-949CB9566FCD}"/>
            </c:ext>
          </c:extLst>
        </c:ser>
        <c:ser>
          <c:idx val="130"/>
          <c:order val="130"/>
          <c:tx>
            <c:v>h=118</c:v>
          </c:tx>
          <c:spPr>
            <a:ln w="3175">
              <a:solidFill>
                <a:srgbClr val="808080"/>
              </a:solidFill>
              <a:prstDash val="solid"/>
            </a:ln>
          </c:spPr>
          <c:marker>
            <c:symbol val="none"/>
          </c:marker>
          <c:xVal>
            <c:numLit>
              <c:formatCode>General</c:formatCode>
              <c:ptCount val="2"/>
              <c:pt idx="0">
                <c:v>29.626242544731603</c:v>
              </c:pt>
              <c:pt idx="1">
                <c:v>30.198401308127558</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9C-A402-42FC-9BD5-949CB9566FCD}"/>
            </c:ext>
          </c:extLst>
        </c:ser>
        <c:ser>
          <c:idx val="131"/>
          <c:order val="131"/>
          <c:tx>
            <c:v>h=119</c:v>
          </c:tx>
          <c:spPr>
            <a:ln w="3175">
              <a:solidFill>
                <a:srgbClr val="808080"/>
              </a:solidFill>
              <a:prstDash val="solid"/>
            </a:ln>
          </c:spPr>
          <c:marker>
            <c:symbol val="none"/>
          </c:marker>
          <c:xVal>
            <c:numLit>
              <c:formatCode>General</c:formatCode>
              <c:ptCount val="2"/>
              <c:pt idx="0">
                <c:v>30.620278330019875</c:v>
              </c:pt>
              <c:pt idx="1">
                <c:v>31.19243709341583</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9D-A402-42FC-9BD5-949CB9566FCD}"/>
            </c:ext>
          </c:extLst>
        </c:ser>
        <c:ser>
          <c:idx val="132"/>
          <c:order val="132"/>
          <c:tx>
            <c:v>h=120</c:v>
          </c:tx>
          <c:spPr>
            <a:ln w="3175">
              <a:solidFill>
                <a:srgbClr val="808080"/>
              </a:solidFill>
              <a:prstDash val="solid"/>
            </a:ln>
          </c:spPr>
          <c:marker>
            <c:symbol val="none"/>
          </c:marker>
          <c:dLbls>
            <c:dLbl>
              <c:idx val="0"/>
              <c:layout>
                <c:manualLayout>
                  <c:x val="-2.9079861111111112E-2"/>
                  <c:y val="-3.3119658119658119E-3"/>
                </c:manualLayout>
              </c:layout>
              <c:tx>
                <c:rich>
                  <a:bodyPr rot="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120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9E-A402-42FC-9BD5-949CB9566F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31.614314115308144</c:v>
              </c:pt>
              <c:pt idx="1">
                <c:v>50</c:v>
              </c:pt>
            </c:numLit>
          </c:xVal>
          <c:yVal>
            <c:numLit>
              <c:formatCode>General</c:formatCode>
              <c:ptCount val="2"/>
              <c:pt idx="0">
                <c:v>3.4000000000000002E-2</c:v>
              </c:pt>
              <c:pt idx="1">
                <c:v>2.6869699306090979E-2</c:v>
              </c:pt>
            </c:numLit>
          </c:yVal>
          <c:smooth val="0"/>
          <c:extLst>
            <c:ext xmlns:c16="http://schemas.microsoft.com/office/drawing/2014/chart" uri="{C3380CC4-5D6E-409C-BE32-E72D297353CC}">
              <c16:uniqueId val="{0000009F-A402-42FC-9BD5-949CB9566FCD}"/>
            </c:ext>
          </c:extLst>
        </c:ser>
        <c:ser>
          <c:idx val="133"/>
          <c:order val="133"/>
          <c:tx>
            <c:v>h=121</c:v>
          </c:tx>
          <c:spPr>
            <a:ln w="3175">
              <a:solidFill>
                <a:srgbClr val="808080"/>
              </a:solidFill>
              <a:prstDash val="solid"/>
            </a:ln>
          </c:spPr>
          <c:marker>
            <c:symbol val="none"/>
          </c:marker>
          <c:xVal>
            <c:numLit>
              <c:formatCode>General</c:formatCode>
              <c:ptCount val="2"/>
              <c:pt idx="0">
                <c:v>32.608349900596416</c:v>
              </c:pt>
              <c:pt idx="1">
                <c:v>33.18050866399237</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A0-A402-42FC-9BD5-949CB9566FCD}"/>
            </c:ext>
          </c:extLst>
        </c:ser>
        <c:ser>
          <c:idx val="134"/>
          <c:order val="134"/>
          <c:tx>
            <c:v>h=122</c:v>
          </c:tx>
          <c:spPr>
            <a:ln w="3175">
              <a:solidFill>
                <a:srgbClr val="808080"/>
              </a:solidFill>
              <a:prstDash val="solid"/>
            </a:ln>
          </c:spPr>
          <c:marker>
            <c:symbol val="none"/>
          </c:marker>
          <c:xVal>
            <c:numLit>
              <c:formatCode>General</c:formatCode>
              <c:ptCount val="2"/>
              <c:pt idx="0">
                <c:v>33.602385685884684</c:v>
              </c:pt>
              <c:pt idx="1">
                <c:v>34.174544449280639</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A1-A402-42FC-9BD5-949CB9566FCD}"/>
            </c:ext>
          </c:extLst>
        </c:ser>
        <c:ser>
          <c:idx val="135"/>
          <c:order val="135"/>
          <c:tx>
            <c:v>h=123</c:v>
          </c:tx>
          <c:spPr>
            <a:ln w="3175">
              <a:solidFill>
                <a:srgbClr val="808080"/>
              </a:solidFill>
              <a:prstDash val="solid"/>
            </a:ln>
          </c:spPr>
          <c:marker>
            <c:symbol val="none"/>
          </c:marker>
          <c:xVal>
            <c:numLit>
              <c:formatCode>General</c:formatCode>
              <c:ptCount val="2"/>
              <c:pt idx="0">
                <c:v>34.596421471172953</c:v>
              </c:pt>
              <c:pt idx="1">
                <c:v>35.168580234568914</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A2-A402-42FC-9BD5-949CB9566FCD}"/>
            </c:ext>
          </c:extLst>
        </c:ser>
        <c:ser>
          <c:idx val="136"/>
          <c:order val="136"/>
          <c:tx>
            <c:v>h=124</c:v>
          </c:tx>
          <c:spPr>
            <a:ln w="3175">
              <a:solidFill>
                <a:srgbClr val="808080"/>
              </a:solidFill>
              <a:prstDash val="solid"/>
            </a:ln>
          </c:spPr>
          <c:marker>
            <c:symbol val="none"/>
          </c:marker>
          <c:xVal>
            <c:numLit>
              <c:formatCode>General</c:formatCode>
              <c:ptCount val="2"/>
              <c:pt idx="0">
                <c:v>35.590457256461228</c:v>
              </c:pt>
              <c:pt idx="1">
                <c:v>36.162616019857182</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A3-A402-42FC-9BD5-949CB9566FCD}"/>
            </c:ext>
          </c:extLst>
        </c:ser>
        <c:ser>
          <c:idx val="137"/>
          <c:order val="137"/>
          <c:tx>
            <c:v>h=125</c:v>
          </c:tx>
          <c:spPr>
            <a:ln w="3175">
              <a:solidFill>
                <a:srgbClr val="808080"/>
              </a:solidFill>
              <a:prstDash val="solid"/>
            </a:ln>
          </c:spPr>
          <c:marker>
            <c:symbol val="none"/>
          </c:marker>
          <c:dLbls>
            <c:dLbl>
              <c:idx val="0"/>
              <c:layout>
                <c:manualLayout>
                  <c:x val="-2.9079861111111112E-2"/>
                  <c:y val="-3.3119658119658119E-3"/>
                </c:manualLayout>
              </c:layout>
              <c:tx>
                <c:rich>
                  <a:bodyPr rot="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125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4-A402-42FC-9BD5-949CB9566F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36.584493041749496</c:v>
              </c:pt>
              <c:pt idx="1">
                <c:v>50</c:v>
              </c:pt>
            </c:numLit>
          </c:xVal>
          <c:yVal>
            <c:numLit>
              <c:formatCode>General</c:formatCode>
              <c:ptCount val="2"/>
              <c:pt idx="0">
                <c:v>3.4000000000000002E-2</c:v>
              </c:pt>
              <c:pt idx="1">
                <c:v>2.879722436391673E-2</c:v>
              </c:pt>
            </c:numLit>
          </c:yVal>
          <c:smooth val="0"/>
          <c:extLst>
            <c:ext xmlns:c16="http://schemas.microsoft.com/office/drawing/2014/chart" uri="{C3380CC4-5D6E-409C-BE32-E72D297353CC}">
              <c16:uniqueId val="{000000A5-A402-42FC-9BD5-949CB9566FCD}"/>
            </c:ext>
          </c:extLst>
        </c:ser>
        <c:ser>
          <c:idx val="138"/>
          <c:order val="138"/>
          <c:tx>
            <c:v>h=126</c:v>
          </c:tx>
          <c:spPr>
            <a:ln w="3175">
              <a:solidFill>
                <a:srgbClr val="808080"/>
              </a:solidFill>
              <a:prstDash val="solid"/>
            </a:ln>
          </c:spPr>
          <c:marker>
            <c:symbol val="none"/>
          </c:marker>
          <c:xVal>
            <c:numLit>
              <c:formatCode>General</c:formatCode>
              <c:ptCount val="2"/>
              <c:pt idx="0">
                <c:v>37.578528827037765</c:v>
              </c:pt>
              <c:pt idx="1">
                <c:v>38.150687590433719</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A6-A402-42FC-9BD5-949CB9566FCD}"/>
            </c:ext>
          </c:extLst>
        </c:ser>
        <c:ser>
          <c:idx val="139"/>
          <c:order val="139"/>
          <c:tx>
            <c:v>h=127</c:v>
          </c:tx>
          <c:spPr>
            <a:ln w="3175">
              <a:solidFill>
                <a:srgbClr val="808080"/>
              </a:solidFill>
              <a:prstDash val="solid"/>
            </a:ln>
          </c:spPr>
          <c:marker>
            <c:symbol val="none"/>
          </c:marker>
          <c:xVal>
            <c:numLit>
              <c:formatCode>General</c:formatCode>
              <c:ptCount val="2"/>
              <c:pt idx="0">
                <c:v>38.57256461232604</c:v>
              </c:pt>
              <c:pt idx="1">
                <c:v>39.144723375721995</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A7-A402-42FC-9BD5-949CB9566FCD}"/>
            </c:ext>
          </c:extLst>
        </c:ser>
        <c:ser>
          <c:idx val="140"/>
          <c:order val="140"/>
          <c:tx>
            <c:v>h=128</c:v>
          </c:tx>
          <c:spPr>
            <a:ln w="3175">
              <a:solidFill>
                <a:srgbClr val="808080"/>
              </a:solidFill>
              <a:prstDash val="solid"/>
            </a:ln>
          </c:spPr>
          <c:marker>
            <c:symbol val="none"/>
          </c:marker>
          <c:xVal>
            <c:numLit>
              <c:formatCode>General</c:formatCode>
              <c:ptCount val="2"/>
              <c:pt idx="0">
                <c:v>39.566600397614309</c:v>
              </c:pt>
              <c:pt idx="1">
                <c:v>40.138759161010263</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A8-A402-42FC-9BD5-949CB9566FCD}"/>
            </c:ext>
          </c:extLst>
        </c:ser>
        <c:ser>
          <c:idx val="141"/>
          <c:order val="141"/>
          <c:tx>
            <c:v>h=129</c:v>
          </c:tx>
          <c:spPr>
            <a:ln w="3175">
              <a:solidFill>
                <a:srgbClr val="808080"/>
              </a:solidFill>
              <a:prstDash val="solid"/>
            </a:ln>
          </c:spPr>
          <c:marker>
            <c:symbol val="none"/>
          </c:marker>
          <c:xVal>
            <c:numLit>
              <c:formatCode>General</c:formatCode>
              <c:ptCount val="2"/>
              <c:pt idx="0">
                <c:v>40.560636182902577</c:v>
              </c:pt>
              <c:pt idx="1">
                <c:v>41.132794946298532</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A9-A402-42FC-9BD5-949CB9566FCD}"/>
            </c:ext>
          </c:extLst>
        </c:ser>
        <c:ser>
          <c:idx val="142"/>
          <c:order val="142"/>
          <c:tx>
            <c:v>h=130</c:v>
          </c:tx>
          <c:spPr>
            <a:ln w="3175">
              <a:solidFill>
                <a:srgbClr val="808080"/>
              </a:solidFill>
              <a:prstDash val="solid"/>
            </a:ln>
          </c:spPr>
          <c:marker>
            <c:symbol val="none"/>
          </c:marker>
          <c:dLbls>
            <c:dLbl>
              <c:idx val="0"/>
              <c:layout>
                <c:manualLayout>
                  <c:x val="-2.9079861111111237E-2"/>
                  <c:y val="-3.3119658119658119E-3"/>
                </c:manualLayout>
              </c:layout>
              <c:tx>
                <c:rich>
                  <a:bodyPr rot="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130</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AA-A402-42FC-9BD5-949CB9566F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41.554671968190846</c:v>
              </c:pt>
              <c:pt idx="1">
                <c:v>50</c:v>
              </c:pt>
            </c:numLit>
          </c:xVal>
          <c:yVal>
            <c:numLit>
              <c:formatCode>General</c:formatCode>
              <c:ptCount val="2"/>
              <c:pt idx="0">
                <c:v>3.4000000000000002E-2</c:v>
              </c:pt>
              <c:pt idx="1">
                <c:v>3.0724749421742484E-2</c:v>
              </c:pt>
            </c:numLit>
          </c:yVal>
          <c:smooth val="0"/>
          <c:extLst>
            <c:ext xmlns:c16="http://schemas.microsoft.com/office/drawing/2014/chart" uri="{C3380CC4-5D6E-409C-BE32-E72D297353CC}">
              <c16:uniqueId val="{000000AB-A402-42FC-9BD5-949CB9566FCD}"/>
            </c:ext>
          </c:extLst>
        </c:ser>
        <c:ser>
          <c:idx val="143"/>
          <c:order val="143"/>
          <c:tx>
            <c:v>h=131</c:v>
          </c:tx>
          <c:spPr>
            <a:ln w="3175">
              <a:solidFill>
                <a:srgbClr val="808080"/>
              </a:solidFill>
              <a:prstDash val="solid"/>
            </a:ln>
          </c:spPr>
          <c:marker>
            <c:symbol val="none"/>
          </c:marker>
          <c:xVal>
            <c:numLit>
              <c:formatCode>General</c:formatCode>
              <c:ptCount val="2"/>
              <c:pt idx="0">
                <c:v>42.548707753479121</c:v>
              </c:pt>
              <c:pt idx="1">
                <c:v>43.120866516875076</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AC-A402-42FC-9BD5-949CB9566FCD}"/>
            </c:ext>
          </c:extLst>
        </c:ser>
        <c:ser>
          <c:idx val="144"/>
          <c:order val="144"/>
          <c:tx>
            <c:v>h=132</c:v>
          </c:tx>
          <c:spPr>
            <a:ln w="3175">
              <a:solidFill>
                <a:srgbClr val="808080"/>
              </a:solidFill>
              <a:prstDash val="solid"/>
            </a:ln>
          </c:spPr>
          <c:marker>
            <c:symbol val="none"/>
          </c:marker>
          <c:xVal>
            <c:numLit>
              <c:formatCode>General</c:formatCode>
              <c:ptCount val="2"/>
              <c:pt idx="0">
                <c:v>43.54274353876739</c:v>
              </c:pt>
              <c:pt idx="1">
                <c:v>44.114902302163344</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AD-A402-42FC-9BD5-949CB9566FCD}"/>
            </c:ext>
          </c:extLst>
        </c:ser>
        <c:ser>
          <c:idx val="145"/>
          <c:order val="145"/>
          <c:tx>
            <c:v>h=133</c:v>
          </c:tx>
          <c:spPr>
            <a:ln w="3175">
              <a:solidFill>
                <a:srgbClr val="808080"/>
              </a:solidFill>
              <a:prstDash val="solid"/>
            </a:ln>
          </c:spPr>
          <c:marker>
            <c:symbol val="none"/>
          </c:marker>
          <c:xVal>
            <c:numLit>
              <c:formatCode>General</c:formatCode>
              <c:ptCount val="2"/>
              <c:pt idx="0">
                <c:v>44.536779324055658</c:v>
              </c:pt>
              <c:pt idx="1">
                <c:v>45.108938087451612</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AE-A402-42FC-9BD5-949CB9566FCD}"/>
            </c:ext>
          </c:extLst>
        </c:ser>
        <c:ser>
          <c:idx val="146"/>
          <c:order val="146"/>
          <c:tx>
            <c:v>h=134</c:v>
          </c:tx>
          <c:spPr>
            <a:ln w="3175">
              <a:solidFill>
                <a:srgbClr val="808080"/>
              </a:solidFill>
              <a:prstDash val="solid"/>
            </a:ln>
          </c:spPr>
          <c:marker>
            <c:symbol val="none"/>
          </c:marker>
          <c:xVal>
            <c:numLit>
              <c:formatCode>General</c:formatCode>
              <c:ptCount val="2"/>
              <c:pt idx="0">
                <c:v>45.530815109343926</c:v>
              </c:pt>
              <c:pt idx="1">
                <c:v>46.102973872739888</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AF-A402-42FC-9BD5-949CB9566FCD}"/>
            </c:ext>
          </c:extLst>
        </c:ser>
        <c:ser>
          <c:idx val="147"/>
          <c:order val="147"/>
          <c:tx>
            <c:v>h=135</c:v>
          </c:tx>
          <c:spPr>
            <a:ln w="3175">
              <a:solidFill>
                <a:srgbClr val="808080"/>
              </a:solidFill>
              <a:prstDash val="solid"/>
            </a:ln>
          </c:spPr>
          <c:marker>
            <c:symbol val="none"/>
          </c:marker>
          <c:dLbls>
            <c:dLbl>
              <c:idx val="0"/>
              <c:layout>
                <c:manualLayout>
                  <c:x val="-2.9079861111111112E-2"/>
                  <c:y val="-3.3119658119658119E-3"/>
                </c:manualLayout>
              </c:layout>
              <c:tx>
                <c:rich>
                  <a:bodyPr rot="0" vert="horz" wrap="square" lIns="38100" tIns="19050" rIns="38100" bIns="19050" anchor="ctr">
                    <a:spAutoFit/>
                  </a:bodyPr>
                  <a:lstStyle/>
                  <a:p>
                    <a:pPr algn="ctr">
                      <a:defRPr altLang="ja-JP" sz="700" u="none" strike="noStrike" baseline="0">
                        <a:solidFill>
                          <a:srgbClr val="000000"/>
                        </a:solidFill>
                        <a:latin typeface="ＭＳ Ｐ明朝"/>
                        <a:ea typeface="ＭＳ Ｐ明朝"/>
                        <a:cs typeface="ＭＳ Ｐ明朝"/>
                      </a:defRPr>
                    </a:pPr>
                    <a:r>
                      <a:rPr lang="en-US"/>
                      <a:t>135</a:t>
                    </a:r>
                    <a:endParaRPr lang="en-US" altLang="ja-JP"/>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B0-A402-42FC-9BD5-949CB9566FC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noFill/>
                      <a:prstDash val="solid"/>
                      <a:round/>
                    </a:ln>
                    <a:effectLst/>
                    <a:extLst>
                      <a:ext uri="{91240B29-F687-4F45-9708-019B960494DF}">
                        <a14:hiddenLine xmlns:a14="http://schemas.microsoft.com/office/drawing/2010/main" w="6350" cap="flat" cmpd="sng" algn="ctr">
                          <a:solidFill>
                            <a:sysClr val="windowText" lastClr="000000"/>
                          </a:solidFill>
                          <a:prstDash val="solid"/>
                          <a:round/>
                        </a14:hiddenLine>
                      </a:ext>
                    </a:extLst>
                  </c:spPr>
                </c15:leaderLines>
              </c:ext>
            </c:extLst>
          </c:dLbls>
          <c:xVal>
            <c:numLit>
              <c:formatCode>General</c:formatCode>
              <c:ptCount val="2"/>
              <c:pt idx="0">
                <c:v>46.524850894632202</c:v>
              </c:pt>
              <c:pt idx="1">
                <c:v>50</c:v>
              </c:pt>
            </c:numLit>
          </c:xVal>
          <c:yVal>
            <c:numLit>
              <c:formatCode>General</c:formatCode>
              <c:ptCount val="2"/>
              <c:pt idx="0">
                <c:v>3.4000000000000002E-2</c:v>
              </c:pt>
              <c:pt idx="1">
                <c:v>3.2652274479568234E-2</c:v>
              </c:pt>
            </c:numLit>
          </c:yVal>
          <c:smooth val="0"/>
          <c:extLst>
            <c:ext xmlns:c16="http://schemas.microsoft.com/office/drawing/2014/chart" uri="{C3380CC4-5D6E-409C-BE32-E72D297353CC}">
              <c16:uniqueId val="{000000B1-A402-42FC-9BD5-949CB9566FCD}"/>
            </c:ext>
          </c:extLst>
        </c:ser>
        <c:ser>
          <c:idx val="148"/>
          <c:order val="148"/>
          <c:tx>
            <c:v>h=136</c:v>
          </c:tx>
          <c:spPr>
            <a:ln w="3175">
              <a:solidFill>
                <a:srgbClr val="808080"/>
              </a:solidFill>
              <a:prstDash val="solid"/>
            </a:ln>
          </c:spPr>
          <c:marker>
            <c:symbol val="none"/>
          </c:marker>
          <c:xVal>
            <c:numLit>
              <c:formatCode>General</c:formatCode>
              <c:ptCount val="2"/>
              <c:pt idx="0">
                <c:v>47.51888667992047</c:v>
              </c:pt>
              <c:pt idx="1">
                <c:v>48.091045443316425</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B2-A402-42FC-9BD5-949CB9566FCD}"/>
            </c:ext>
          </c:extLst>
        </c:ser>
        <c:ser>
          <c:idx val="149"/>
          <c:order val="149"/>
          <c:tx>
            <c:v>h=137</c:v>
          </c:tx>
          <c:spPr>
            <a:ln w="3175">
              <a:solidFill>
                <a:srgbClr val="808080"/>
              </a:solidFill>
              <a:prstDash val="solid"/>
            </a:ln>
          </c:spPr>
          <c:marker>
            <c:symbol val="none"/>
          </c:marker>
          <c:xVal>
            <c:numLit>
              <c:formatCode>General</c:formatCode>
              <c:ptCount val="2"/>
              <c:pt idx="0">
                <c:v>48.512922465208739</c:v>
              </c:pt>
              <c:pt idx="1">
                <c:v>49.085081228604693</c:v>
              </c:pt>
            </c:numLit>
          </c:xVal>
          <c:yVal>
            <c:numLit>
              <c:formatCode>General</c:formatCode>
              <c:ptCount val="2"/>
              <c:pt idx="0">
                <c:v>3.4000000000000002E-2</c:v>
              </c:pt>
              <c:pt idx="1">
                <c:v>3.3778106508875742E-2</c:v>
              </c:pt>
            </c:numLit>
          </c:yVal>
          <c:smooth val="0"/>
          <c:extLst>
            <c:ext xmlns:c16="http://schemas.microsoft.com/office/drawing/2014/chart" uri="{C3380CC4-5D6E-409C-BE32-E72D297353CC}">
              <c16:uniqueId val="{000000B3-A402-42FC-9BD5-949CB9566FCD}"/>
            </c:ext>
          </c:extLst>
        </c:ser>
        <c:dLbls>
          <c:showLegendKey val="0"/>
          <c:showVal val="0"/>
          <c:showCatName val="0"/>
          <c:showSerName val="0"/>
          <c:showPercent val="0"/>
          <c:showBubbleSize val="0"/>
        </c:dLbls>
        <c:axId val="358253584"/>
        <c:axId val="358251624"/>
      </c:scatterChart>
      <c:valAx>
        <c:axId val="358253584"/>
        <c:scaling>
          <c:orientation val="minMax"/>
          <c:max val="50.8"/>
          <c:min val="-10.178000000000001"/>
        </c:scaling>
        <c:delete val="0"/>
        <c:axPos val="b"/>
        <c:numFmt formatCode="#,##0_ "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1624"/>
        <c:crossesAt val="0"/>
        <c:crossBetween val="midCat"/>
        <c:majorUnit val="2"/>
        <c:minorUnit val="2"/>
      </c:valAx>
      <c:valAx>
        <c:axId val="358251624"/>
        <c:scaling>
          <c:orientation val="minMax"/>
          <c:max val="3.4000000000000002E-2"/>
          <c:min val="-2E-3"/>
        </c:scaling>
        <c:delete val="0"/>
        <c:axPos val="l"/>
        <c:numFmt formatCode="0.000" sourceLinked="0"/>
        <c:majorTickMark val="none"/>
        <c:minorTickMark val="none"/>
        <c:tickLblPos val="none"/>
        <c:spPr>
          <a:noFill/>
          <a:ln w="12700" cap="flat" cmpd="sng" algn="ctr">
            <a:noFill/>
            <a:prstDash val="solid"/>
            <a:round/>
          </a:ln>
          <a:effectLst/>
          <a:extLst>
            <a:ext uri="{91240B29-F687-4F45-9708-019B960494DF}">
              <a14:hiddenLine xmlns:a14="http://schemas.microsoft.com/office/drawing/2010/main" w="12700" cap="flat" cmpd="sng" algn="ctr">
                <a:solidFill>
                  <a:srgbClr val="000000"/>
                </a:solidFill>
                <a:prstDash val="solid"/>
                <a:round/>
              </a14:hiddenLine>
            </a:ext>
          </a:extLst>
        </c:spPr>
        <c:txPr>
          <a:bodyPr rot="0" vert="horz"/>
          <a:lstStyle/>
          <a:p>
            <a:pPr>
              <a:defRPr/>
            </a:pPr>
            <a:endParaRPr lang="ja-JP"/>
          </a:p>
        </c:txPr>
        <c:crossAx val="358253584"/>
        <c:crossesAt val="-10.178000000000001"/>
        <c:crossBetween val="midCat"/>
        <c:majorUnit val="1E-3"/>
        <c:minorUnit val="5.0000000000000001E-4"/>
      </c:valAx>
      <c:spPr>
        <a:noFill/>
        <a:ln w="25400">
          <a:noFill/>
        </a:ln>
      </c:spPr>
    </c:plotArea>
    <c:plotVisOnly val="0"/>
    <c:dispBlanksAs val="gap"/>
    <c:showDLblsOverMax val="0"/>
  </c:chart>
  <c:spPr>
    <a:noFill/>
    <a:ln w="12700">
      <a:gradFill>
        <a:gsLst>
          <a:gs pos="0">
            <a:srgbClr val="DDDDDD"/>
          </a:gs>
          <a:gs pos="74000">
            <a:srgbClr val="C0C0C0"/>
          </a:gs>
          <a:gs pos="100000">
            <a:srgbClr val="808080"/>
          </a:gs>
          <a:gs pos="100000">
            <a:schemeClr val="accent1">
              <a:lumMod val="30000"/>
              <a:lumOff val="70000"/>
            </a:schemeClr>
          </a:gs>
        </a:gsLst>
        <a:lin ang="5400000" scaled="1"/>
      </a:gradFill>
      <a:prstDash val="solid"/>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ＭＳ 明朝"/>
        </a:defRPr>
      </a:pPr>
      <a:endParaRPr lang="ja-JP"/>
    </a:p>
  </c:txPr>
  <c:printSettings>
    <c:headerFooter alignWithMargins="0"/>
    <c:pageMargins b="1" l="0.75" r="0.75" t="1" header="0.51200000000000001" footer="0.51200000000000001"/>
    <c:pageSetup paperSize="9" orientation="landscape" horizontalDpi="360" verticalDpi="360"/>
  </c:printSettings>
</c:chartSpace>
</file>

<file path=xl/drawings/_rels/drawing10.xml.rels><?xml version="1.0" encoding="UTF-8" standalone="yes"?>
<Relationships xmlns="http://schemas.openxmlformats.org/package/2006/relationships"><Relationship Id="rId8" Type="http://schemas.openxmlformats.org/officeDocument/2006/relationships/chart" Target="../charts/chart16.xml"/><Relationship Id="rId3" Type="http://schemas.openxmlformats.org/officeDocument/2006/relationships/chart" Target="../charts/chart11.xml"/><Relationship Id="rId7" Type="http://schemas.openxmlformats.org/officeDocument/2006/relationships/chart" Target="../charts/chart15.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1314450</xdr:colOff>
      <xdr:row>4</xdr:row>
      <xdr:rowOff>228600</xdr:rowOff>
    </xdr:from>
    <xdr:ext cx="4090626" cy="868956"/>
    <xdr:sp macro="" textlink="">
      <xdr:nvSpPr>
        <xdr:cNvPr id="2" name="Text Box 1">
          <a:extLst>
            <a:ext uri="{FF2B5EF4-FFF2-40B4-BE49-F238E27FC236}">
              <a16:creationId xmlns:a16="http://schemas.microsoft.com/office/drawing/2014/main" id="{912375E3-E090-4AE6-85D4-6FB3DDB31D31}"/>
            </a:ext>
          </a:extLst>
        </xdr:cNvPr>
        <xdr:cNvSpPr txBox="1">
          <a:spLocks noChangeArrowheads="1"/>
        </xdr:cNvSpPr>
      </xdr:nvSpPr>
      <xdr:spPr bwMode="auto">
        <a:xfrm>
          <a:off x="533400" y="857250"/>
          <a:ext cx="4090626" cy="868956"/>
        </a:xfrm>
        <a:prstGeom prst="rect">
          <a:avLst/>
        </a:prstGeom>
        <a:pattFill prst="ltHorz">
          <a:fgClr>
            <a:srgbClr val="DDDDDD"/>
          </a:fgClr>
          <a:bgClr>
            <a:schemeClr val="bg1"/>
          </a:bgClr>
        </a:pattFill>
        <a:ln w="9525">
          <a:solidFill>
            <a:srgbClr xmlns:mc="http://schemas.openxmlformats.org/markup-compatibility/2006" xmlns:a14="http://schemas.microsoft.com/office/drawing/2010/main" val="000000" mc:Ignorable="a14" a14:legacySpreadsheetColorIndex="64"/>
          </a:solidFill>
          <a:miter lim="800000"/>
          <a:headEnd/>
          <a:tailEnd/>
        </a:ln>
        <a:effectLst>
          <a:outerShdw blurRad="50800" dist="38100" dir="2700000" algn="tl" rotWithShape="0">
            <a:prstClr val="black">
              <a:alpha val="40000"/>
            </a:prstClr>
          </a:outerShdw>
        </a:effectLst>
      </xdr:spPr>
      <xdr:txBody>
        <a:bodyPr wrap="none" lIns="180000" tIns="18288" rIns="180000" bIns="0" anchor="ctr" anchorCtr="0" upright="1">
          <a:spAutoFit/>
        </a:bodyPr>
        <a:lstStyle/>
        <a:p>
          <a:pPr algn="l" rtl="0">
            <a:lnSpc>
              <a:spcPts val="1500"/>
            </a:lnSpc>
            <a:defRPr sz="1000"/>
          </a:pPr>
          <a:r>
            <a:rPr lang="ja-JP" altLang="en-US" sz="1100" b="0" i="0" u="none" strike="noStrike" baseline="0">
              <a:solidFill>
                <a:srgbClr val="1C1C1C"/>
              </a:solidFill>
              <a:latin typeface="Meiryo UI" panose="020B0604030504040204" pitchFamily="50" charset="-128"/>
              <a:ea typeface="Meiryo UI" panose="020B0604030504040204" pitchFamily="50" charset="-128"/>
            </a:rPr>
            <a:t>印刷するときはまず最初に表紙だけを選択して印刷し、</a:t>
          </a:r>
        </a:p>
        <a:p>
          <a:pPr algn="l" rtl="0">
            <a:lnSpc>
              <a:spcPts val="1500"/>
            </a:lnSpc>
            <a:defRPr sz="1000"/>
          </a:pPr>
          <a:r>
            <a:rPr lang="ja-JP" altLang="en-US" sz="1100" b="0" i="0" u="none" strike="noStrike" baseline="0">
              <a:solidFill>
                <a:srgbClr val="1C1C1C"/>
              </a:solidFill>
              <a:latin typeface="Meiryo UI" panose="020B0604030504040204" pitchFamily="50" charset="-128"/>
              <a:ea typeface="Meiryo UI" panose="020B0604030504040204" pitchFamily="50" charset="-128"/>
            </a:rPr>
            <a:t>次に表紙以外のすべてのシートをまとめて選択して印刷してください。</a:t>
          </a:r>
        </a:p>
        <a:p>
          <a:pPr algn="l" rtl="0">
            <a:defRPr sz="1000"/>
          </a:pPr>
          <a:r>
            <a:rPr lang="ja-JP" altLang="en-US" sz="1100" b="0" i="0" u="none" strike="noStrike" baseline="0">
              <a:solidFill>
                <a:srgbClr val="1C1C1C"/>
              </a:solidFill>
              <a:latin typeface="Meiryo UI" panose="020B0604030504040204" pitchFamily="50" charset="-128"/>
              <a:ea typeface="Meiryo UI" panose="020B0604030504040204" pitchFamily="50" charset="-128"/>
            </a:rPr>
            <a:t>この様にすると、表紙はﾍﾟｰｼﾞ数から除外できます。</a:t>
          </a:r>
        </a:p>
        <a:p>
          <a:pPr algn="l" rtl="0">
            <a:defRPr sz="1000"/>
          </a:pPr>
          <a:r>
            <a:rPr lang="ja-JP" altLang="en-US" sz="1100" b="0" i="0" u="none" strike="noStrike" baseline="0">
              <a:solidFill>
                <a:srgbClr val="1C1C1C"/>
              </a:solidFill>
              <a:latin typeface="Meiryo UI" panose="020B0604030504040204" pitchFamily="50" charset="-128"/>
              <a:ea typeface="Meiryo UI" panose="020B0604030504040204" pitchFamily="50" charset="-128"/>
            </a:rPr>
            <a:t>また、この注釈は印刷されません。</a:t>
          </a:r>
        </a:p>
      </xdr:txBody>
    </xdr:sp>
    <xdr:clientData fPrintsWithSheet="0"/>
  </xdr:one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0</xdr:rowOff>
    </xdr:from>
    <xdr:to>
      <xdr:col>12</xdr:col>
      <xdr:colOff>0</xdr:colOff>
      <xdr:row>28</xdr:row>
      <xdr:rowOff>0</xdr:rowOff>
    </xdr:to>
    <xdr:grpSp>
      <xdr:nvGrpSpPr>
        <xdr:cNvPr id="2" name="グループ化 1">
          <a:extLst>
            <a:ext uri="{FF2B5EF4-FFF2-40B4-BE49-F238E27FC236}">
              <a16:creationId xmlns:a16="http://schemas.microsoft.com/office/drawing/2014/main" id="{4A24E8CC-DE4E-4FD9-B0CC-08654932D498}"/>
            </a:ext>
          </a:extLst>
        </xdr:cNvPr>
        <xdr:cNvGrpSpPr/>
      </xdr:nvGrpSpPr>
      <xdr:grpSpPr>
        <a:xfrm>
          <a:off x="0" y="352425"/>
          <a:ext cx="7315200" cy="5943600"/>
          <a:chOff x="0" y="352425"/>
          <a:chExt cx="7315200" cy="5943600"/>
        </a:xfrm>
      </xdr:grpSpPr>
      <xdr:graphicFrame macro="">
        <xdr:nvGraphicFramePr>
          <xdr:cNvPr id="3" name="HXC_V1_LA7">
            <a:extLst>
              <a:ext uri="{FF2B5EF4-FFF2-40B4-BE49-F238E27FC236}">
                <a16:creationId xmlns:a16="http://schemas.microsoft.com/office/drawing/2014/main" id="{979A5D43-E9FF-4B37-8FBA-F554D4C41CD8}"/>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HXC_V1_LA6">
            <a:extLst>
              <a:ext uri="{FF2B5EF4-FFF2-40B4-BE49-F238E27FC236}">
                <a16:creationId xmlns:a16="http://schemas.microsoft.com/office/drawing/2014/main" id="{75560BC9-7B26-4680-BAA1-6738E7C6A643}"/>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HXC_V1_LA5">
            <a:extLst>
              <a:ext uri="{FF2B5EF4-FFF2-40B4-BE49-F238E27FC236}">
                <a16:creationId xmlns:a16="http://schemas.microsoft.com/office/drawing/2014/main" id="{FA79D2E6-1C52-4510-B014-007726575B0D}"/>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HXC_V1_LA4">
            <a:extLst>
              <a:ext uri="{FF2B5EF4-FFF2-40B4-BE49-F238E27FC236}">
                <a16:creationId xmlns:a16="http://schemas.microsoft.com/office/drawing/2014/main" id="{AAA9538B-09B4-4E58-8DCA-915D7ED013ED}"/>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7" name="HXC_V1_LA3">
            <a:extLst>
              <a:ext uri="{FF2B5EF4-FFF2-40B4-BE49-F238E27FC236}">
                <a16:creationId xmlns:a16="http://schemas.microsoft.com/office/drawing/2014/main" id="{A24AA0B5-0CE5-4F42-82E1-7805FCEA909C}"/>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8" name="HXC_V1_LA2">
            <a:extLst>
              <a:ext uri="{FF2B5EF4-FFF2-40B4-BE49-F238E27FC236}">
                <a16:creationId xmlns:a16="http://schemas.microsoft.com/office/drawing/2014/main" id="{2A513127-D669-4613-B5E3-ED0EE51EEBCE}"/>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9" name="HXC_V1_LA1">
            <a:extLst>
              <a:ext uri="{FF2B5EF4-FFF2-40B4-BE49-F238E27FC236}">
                <a16:creationId xmlns:a16="http://schemas.microsoft.com/office/drawing/2014/main" id="{74479B79-7BC2-429E-9B55-EFB1F4BEF249}"/>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 name="HXC_V1_LA0">
            <a:extLst>
              <a:ext uri="{FF2B5EF4-FFF2-40B4-BE49-F238E27FC236}">
                <a16:creationId xmlns:a16="http://schemas.microsoft.com/office/drawing/2014/main" id="{0711D896-2903-4BAC-8174-F03703CB5674}"/>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0</xdr:colOff>
      <xdr:row>9</xdr:row>
      <xdr:rowOff>0</xdr:rowOff>
    </xdr:from>
    <xdr:ext cx="4433455" cy="3013364"/>
    <xdr:sp macro="" textlink="">
      <xdr:nvSpPr>
        <xdr:cNvPr id="2" name="建屋1">
          <a:extLst>
            <a:ext uri="{FF2B5EF4-FFF2-40B4-BE49-F238E27FC236}">
              <a16:creationId xmlns:a16="http://schemas.microsoft.com/office/drawing/2014/main" id="{FC7FDBBC-75C8-416C-BFAD-459B56C27B1D}"/>
            </a:ext>
          </a:extLst>
        </xdr:cNvPr>
        <xdr:cNvSpPr>
          <a:spLocks noChangeArrowheads="1"/>
        </xdr:cNvSpPr>
      </xdr:nvSpPr>
      <xdr:spPr bwMode="auto">
        <a:xfrm rot="900000">
          <a:off x="1714500" y="2381250"/>
          <a:ext cx="4433455" cy="3013364"/>
        </a:xfrm>
        <a:prstGeom prst="rect">
          <a:avLst/>
        </a:prstGeom>
        <a:gradFill flip="none" rotWithShape="1">
          <a:gsLst>
            <a:gs pos="91500">
              <a:srgbClr val="EAEAEA"/>
            </a:gs>
            <a:gs pos="68000">
              <a:srgbClr val="DDDDDD"/>
            </a:gs>
            <a:gs pos="99000">
              <a:srgbClr val="F8F8F8"/>
            </a:gs>
          </a:gsLst>
          <a:path path="circle">
            <a:fillToRect r="100000" b="100000"/>
          </a:path>
          <a:tileRect l="-100000" t="-100000"/>
        </a:gradFill>
        <a:ln w="19050">
          <a:solidFill>
            <a:srgbClr val="5F5F5F"/>
          </a:solidFill>
          <a:miter lim="800000"/>
          <a:headEnd/>
          <a:tailEnd/>
        </a:ln>
        <a:effectLst>
          <a:outerShdw blurRad="50800" dist="38100" algn="l" rotWithShape="0">
            <a:prstClr val="black">
              <a:alpha val="0"/>
            </a:prstClr>
          </a:outerShdw>
        </a:effectLst>
        <a:scene3d>
          <a:camera prst="orthographicFront"/>
          <a:lightRig rig="threePt" dir="t"/>
        </a:scene3d>
        <a:sp3d>
          <a:bevelT prst="slope"/>
        </a:sp3d>
        <a:extLst/>
      </xdr:spPr>
    </xdr:sp>
    <xdr:clientData/>
  </xdr:oneCellAnchor>
  <xdr:oneCellAnchor>
    <xdr:from>
      <xdr:col>6</xdr:col>
      <xdr:colOff>420553</xdr:colOff>
      <xdr:row>7</xdr:row>
      <xdr:rowOff>121189</xdr:rowOff>
    </xdr:from>
    <xdr:ext cx="401782" cy="171450"/>
    <xdr:sp macro="" textlink="">
      <xdr:nvSpPr>
        <xdr:cNvPr id="3" name="北面1">
          <a:extLst>
            <a:ext uri="{FF2B5EF4-FFF2-40B4-BE49-F238E27FC236}">
              <a16:creationId xmlns:a16="http://schemas.microsoft.com/office/drawing/2014/main" id="{230B9E49-F44F-4017-ABA4-9BF6E2E5979B}"/>
            </a:ext>
          </a:extLst>
        </xdr:cNvPr>
        <xdr:cNvSpPr txBox="1">
          <a:spLocks noChangeArrowheads="1"/>
        </xdr:cNvSpPr>
      </xdr:nvSpPr>
      <xdr:spPr bwMode="auto">
        <a:xfrm>
          <a:off x="3792403" y="2007139"/>
          <a:ext cx="401782"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N</a:t>
          </a:r>
          <a:endParaRPr lang="ja-JP" altLang="en-US" sz="1200" b="1"/>
        </a:p>
      </xdr:txBody>
    </xdr:sp>
    <xdr:clientData/>
  </xdr:oneCellAnchor>
  <xdr:oneCellAnchor>
    <xdr:from>
      <xdr:col>11</xdr:col>
      <xdr:colOff>192322</xdr:colOff>
      <xdr:row>16</xdr:row>
      <xdr:rowOff>44949</xdr:rowOff>
    </xdr:from>
    <xdr:ext cx="400050" cy="174914"/>
    <xdr:sp macro="" textlink="">
      <xdr:nvSpPr>
        <xdr:cNvPr id="4" name="東面1">
          <a:extLst>
            <a:ext uri="{FF2B5EF4-FFF2-40B4-BE49-F238E27FC236}">
              <a16:creationId xmlns:a16="http://schemas.microsoft.com/office/drawing/2014/main" id="{0224C679-420C-4F5A-849D-1DC2E7708726}"/>
            </a:ext>
          </a:extLst>
        </xdr:cNvPr>
        <xdr:cNvSpPr txBox="1">
          <a:spLocks noChangeArrowheads="1"/>
        </xdr:cNvSpPr>
      </xdr:nvSpPr>
      <xdr:spPr bwMode="auto">
        <a:xfrm>
          <a:off x="6326422" y="4159749"/>
          <a:ext cx="400050" cy="17491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E</a:t>
          </a:r>
          <a:endParaRPr lang="ja-JP" altLang="en-US" sz="1200" b="1"/>
        </a:p>
      </xdr:txBody>
    </xdr:sp>
    <xdr:clientData/>
  </xdr:oneCellAnchor>
  <xdr:oneCellAnchor>
    <xdr:from>
      <xdr:col>6</xdr:col>
      <xdr:colOff>296420</xdr:colOff>
      <xdr:row>21</xdr:row>
      <xdr:rowOff>244225</xdr:rowOff>
    </xdr:from>
    <xdr:ext cx="400050" cy="174913"/>
    <xdr:sp macro="" textlink="">
      <xdr:nvSpPr>
        <xdr:cNvPr id="5" name="南面1">
          <a:extLst>
            <a:ext uri="{FF2B5EF4-FFF2-40B4-BE49-F238E27FC236}">
              <a16:creationId xmlns:a16="http://schemas.microsoft.com/office/drawing/2014/main" id="{FAA4B6B9-E756-4825-ADFA-2F54989652E2}"/>
            </a:ext>
          </a:extLst>
        </xdr:cNvPr>
        <xdr:cNvSpPr txBox="1">
          <a:spLocks noChangeArrowheads="1"/>
        </xdr:cNvSpPr>
      </xdr:nvSpPr>
      <xdr:spPr bwMode="auto">
        <a:xfrm>
          <a:off x="3668270" y="5597275"/>
          <a:ext cx="400050" cy="17491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S</a:t>
          </a:r>
          <a:endParaRPr lang="ja-JP" altLang="en-US" sz="1200" b="1"/>
        </a:p>
      </xdr:txBody>
    </xdr:sp>
    <xdr:clientData/>
  </xdr:oneCellAnchor>
  <xdr:oneCellAnchor>
    <xdr:from>
      <xdr:col>1</xdr:col>
      <xdr:colOff>524651</xdr:colOff>
      <xdr:row>13</xdr:row>
      <xdr:rowOff>69350</xdr:rowOff>
    </xdr:from>
    <xdr:ext cx="401782" cy="171450"/>
    <xdr:sp macro="" textlink="">
      <xdr:nvSpPr>
        <xdr:cNvPr id="6" name="西面1">
          <a:extLst>
            <a:ext uri="{FF2B5EF4-FFF2-40B4-BE49-F238E27FC236}">
              <a16:creationId xmlns:a16="http://schemas.microsoft.com/office/drawing/2014/main" id="{87E23EE7-A6A1-43FA-BD06-5A2B6C9B15E7}"/>
            </a:ext>
          </a:extLst>
        </xdr:cNvPr>
        <xdr:cNvSpPr txBox="1">
          <a:spLocks noChangeArrowheads="1"/>
        </xdr:cNvSpPr>
      </xdr:nvSpPr>
      <xdr:spPr bwMode="auto">
        <a:xfrm>
          <a:off x="1134251" y="3441200"/>
          <a:ext cx="401782"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W</a:t>
          </a:r>
        </a:p>
      </xdr:txBody>
    </xdr:sp>
    <xdr:clientData/>
  </xdr:oneCellAnchor>
  <xdr:oneCellAnchor>
    <xdr:from>
      <xdr:col>7</xdr:col>
      <xdr:colOff>0</xdr:colOff>
      <xdr:row>8</xdr:row>
      <xdr:rowOff>0</xdr:rowOff>
    </xdr:from>
    <xdr:ext cx="0" cy="3515591"/>
    <xdr:sp macro="" textlink="">
      <xdr:nvSpPr>
        <xdr:cNvPr id="7" name="垂直線21">
          <a:extLst>
            <a:ext uri="{FF2B5EF4-FFF2-40B4-BE49-F238E27FC236}">
              <a16:creationId xmlns:a16="http://schemas.microsoft.com/office/drawing/2014/main" id="{AB3C0AB4-CF6A-482A-8961-54F1640F06E0}"/>
            </a:ext>
          </a:extLst>
        </xdr:cNvPr>
        <xdr:cNvSpPr>
          <a:spLocks noChangeShapeType="1"/>
        </xdr:cNvSpPr>
      </xdr:nvSpPr>
      <xdr:spPr bwMode="auto">
        <a:xfrm rot="900000" flipV="1">
          <a:off x="3924300" y="2133600"/>
          <a:ext cx="0" cy="3515591"/>
        </a:xfrm>
        <a:prstGeom prst="line">
          <a:avLst/>
        </a:prstGeom>
        <a:noFill/>
        <a:ln w="9525">
          <a:solidFill>
            <a:srgbClr val="0000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xdr:col>
      <xdr:colOff>0</xdr:colOff>
      <xdr:row>15</xdr:row>
      <xdr:rowOff>0</xdr:rowOff>
    </xdr:from>
    <xdr:ext cx="5541818" cy="0"/>
    <xdr:sp macro="" textlink="">
      <xdr:nvSpPr>
        <xdr:cNvPr id="8" name="水平線21">
          <a:extLst>
            <a:ext uri="{FF2B5EF4-FFF2-40B4-BE49-F238E27FC236}">
              <a16:creationId xmlns:a16="http://schemas.microsoft.com/office/drawing/2014/main" id="{B74C6218-498F-4712-9DE6-99F568D668BC}"/>
            </a:ext>
          </a:extLst>
        </xdr:cNvPr>
        <xdr:cNvSpPr>
          <a:spLocks noChangeShapeType="1"/>
        </xdr:cNvSpPr>
      </xdr:nvSpPr>
      <xdr:spPr bwMode="auto">
        <a:xfrm rot="900000">
          <a:off x="1162050" y="3867150"/>
          <a:ext cx="5541818" cy="0"/>
        </a:xfrm>
        <a:prstGeom prst="line">
          <a:avLst/>
        </a:prstGeom>
        <a:noFill/>
        <a:ln w="9525">
          <a:solidFill>
            <a:srgbClr val="0000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16</xdr:col>
      <xdr:colOff>507276</xdr:colOff>
      <xdr:row>9</xdr:row>
      <xdr:rowOff>0</xdr:rowOff>
    </xdr:from>
    <xdr:ext cx="4419600" cy="2971800"/>
    <xdr:sp macro="" textlink="">
      <xdr:nvSpPr>
        <xdr:cNvPr id="9" name="建屋2">
          <a:extLst>
            <a:ext uri="{FF2B5EF4-FFF2-40B4-BE49-F238E27FC236}">
              <a16:creationId xmlns:a16="http://schemas.microsoft.com/office/drawing/2014/main" id="{24A7B3E6-BC63-4410-ADBB-9F0FA931AA22}"/>
            </a:ext>
          </a:extLst>
        </xdr:cNvPr>
        <xdr:cNvSpPr>
          <a:spLocks noChangeArrowheads="1"/>
        </xdr:cNvSpPr>
      </xdr:nvSpPr>
      <xdr:spPr bwMode="auto">
        <a:xfrm rot="900000">
          <a:off x="9517926" y="2381250"/>
          <a:ext cx="4419600" cy="2971800"/>
        </a:xfrm>
        <a:prstGeom prst="rect">
          <a:avLst/>
        </a:prstGeom>
        <a:gradFill flip="none" rotWithShape="1">
          <a:gsLst>
            <a:gs pos="91500">
              <a:srgbClr val="EAEAEA"/>
            </a:gs>
            <a:gs pos="68000">
              <a:srgbClr val="DDDDDD"/>
            </a:gs>
            <a:gs pos="99000">
              <a:srgbClr val="F8F8F8"/>
            </a:gs>
          </a:gsLst>
          <a:path path="circle">
            <a:fillToRect r="100000" b="100000"/>
          </a:path>
          <a:tileRect l="-100000" t="-100000"/>
        </a:gradFill>
        <a:ln w="19050">
          <a:solidFill>
            <a:srgbClr val="5F5F5F"/>
          </a:solidFill>
          <a:miter lim="800000"/>
          <a:headEnd/>
          <a:tailEnd/>
        </a:ln>
        <a:effectLst>
          <a:outerShdw blurRad="50800" dist="38100" algn="l" rotWithShape="0">
            <a:prstClr val="black">
              <a:alpha val="0"/>
            </a:prstClr>
          </a:outerShdw>
        </a:effectLst>
        <a:scene3d>
          <a:camera prst="orthographicFront"/>
          <a:lightRig rig="threePt" dir="t"/>
        </a:scene3d>
        <a:sp3d>
          <a:bevelT prst="slope"/>
        </a:sp3d>
        <a:extLst/>
      </xdr:spPr>
    </xdr:sp>
    <xdr:clientData/>
  </xdr:oneCellAnchor>
  <xdr:oneCellAnchor>
    <xdr:from>
      <xdr:col>20</xdr:col>
      <xdr:colOff>364806</xdr:colOff>
      <xdr:row>7</xdr:row>
      <xdr:rowOff>120481</xdr:rowOff>
    </xdr:from>
    <xdr:ext cx="400050" cy="171450"/>
    <xdr:sp macro="" textlink="">
      <xdr:nvSpPr>
        <xdr:cNvPr id="10" name="北面2">
          <a:extLst>
            <a:ext uri="{FF2B5EF4-FFF2-40B4-BE49-F238E27FC236}">
              <a16:creationId xmlns:a16="http://schemas.microsoft.com/office/drawing/2014/main" id="{79922487-0895-461A-8A14-1BEBFCCC56D3}"/>
            </a:ext>
          </a:extLst>
        </xdr:cNvPr>
        <xdr:cNvSpPr txBox="1">
          <a:spLocks noChangeArrowheads="1"/>
        </xdr:cNvSpPr>
      </xdr:nvSpPr>
      <xdr:spPr bwMode="auto">
        <a:xfrm>
          <a:off x="11585256" y="2006431"/>
          <a:ext cx="40005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a:latin typeface="ＭＳ Ｐゴシック" panose="020B0600070205080204" pitchFamily="50" charset="-128"/>
              <a:ea typeface="ＭＳ Ｐゴシック" panose="020B0600070205080204" pitchFamily="50" charset="-128"/>
            </a:rPr>
            <a:t>N</a:t>
          </a:r>
          <a:endParaRPr lang="ja-JP" altLang="en-US" sz="1200" b="1">
            <a:latin typeface="ＭＳ Ｐゴシック" panose="020B0600070205080204" pitchFamily="50" charset="-128"/>
            <a:ea typeface="ＭＳ Ｐゴシック" panose="020B0600070205080204" pitchFamily="50" charset="-128"/>
          </a:endParaRPr>
        </a:p>
      </xdr:txBody>
    </xdr:sp>
    <xdr:clientData/>
  </xdr:oneCellAnchor>
  <xdr:oneCellAnchor>
    <xdr:from>
      <xdr:col>20</xdr:col>
      <xdr:colOff>249697</xdr:colOff>
      <xdr:row>21</xdr:row>
      <xdr:rowOff>203369</xdr:rowOff>
    </xdr:from>
    <xdr:ext cx="400050" cy="171450"/>
    <xdr:sp macro="" textlink="">
      <xdr:nvSpPr>
        <xdr:cNvPr id="11" name="南面2">
          <a:extLst>
            <a:ext uri="{FF2B5EF4-FFF2-40B4-BE49-F238E27FC236}">
              <a16:creationId xmlns:a16="http://schemas.microsoft.com/office/drawing/2014/main" id="{C9E9A782-CCBD-4589-8DEE-BB59589CB3EE}"/>
            </a:ext>
          </a:extLst>
        </xdr:cNvPr>
        <xdr:cNvSpPr txBox="1">
          <a:spLocks noChangeArrowheads="1"/>
        </xdr:cNvSpPr>
      </xdr:nvSpPr>
      <xdr:spPr bwMode="auto">
        <a:xfrm>
          <a:off x="11470147" y="5556419"/>
          <a:ext cx="40005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S</a:t>
          </a:r>
          <a:endParaRPr lang="ja-JP" altLang="en-US" sz="1200" b="1"/>
        </a:p>
      </xdr:txBody>
    </xdr:sp>
    <xdr:clientData/>
  </xdr:oneCellAnchor>
  <xdr:oneCellAnchor>
    <xdr:from>
      <xdr:col>15</xdr:col>
      <xdr:colOff>480973</xdr:colOff>
      <xdr:row>13</xdr:row>
      <xdr:rowOff>50362</xdr:rowOff>
    </xdr:from>
    <xdr:ext cx="400050" cy="171450"/>
    <xdr:sp macro="" textlink="">
      <xdr:nvSpPr>
        <xdr:cNvPr id="12" name="西面2">
          <a:extLst>
            <a:ext uri="{FF2B5EF4-FFF2-40B4-BE49-F238E27FC236}">
              <a16:creationId xmlns:a16="http://schemas.microsoft.com/office/drawing/2014/main" id="{2611DBB5-D31C-4B67-A20B-7E01707B0468}"/>
            </a:ext>
          </a:extLst>
        </xdr:cNvPr>
        <xdr:cNvSpPr txBox="1">
          <a:spLocks noChangeArrowheads="1"/>
        </xdr:cNvSpPr>
      </xdr:nvSpPr>
      <xdr:spPr bwMode="auto">
        <a:xfrm>
          <a:off x="8939173" y="3422212"/>
          <a:ext cx="40005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a:latin typeface="ＭＳ Ｐゴシック" panose="020B0600070205080204" pitchFamily="50" charset="-128"/>
              <a:ea typeface="ＭＳ Ｐゴシック" panose="020B0600070205080204" pitchFamily="50" charset="-128"/>
            </a:rPr>
            <a:t>W</a:t>
          </a:r>
          <a:endParaRPr lang="ja-JP" altLang="en-US" sz="1200" b="1">
            <a:latin typeface="ＭＳ Ｐゴシック" panose="020B0600070205080204" pitchFamily="50" charset="-128"/>
            <a:ea typeface="ＭＳ Ｐゴシック" panose="020B0600070205080204" pitchFamily="50" charset="-128"/>
          </a:endParaRPr>
        </a:p>
      </xdr:txBody>
    </xdr:sp>
    <xdr:clientData/>
  </xdr:oneCellAnchor>
  <xdr:oneCellAnchor>
    <xdr:from>
      <xdr:col>20</xdr:col>
      <xdr:colOff>498472</xdr:colOff>
      <xdr:row>8</xdr:row>
      <xdr:rowOff>0</xdr:rowOff>
    </xdr:from>
    <xdr:ext cx="0" cy="3467100"/>
    <xdr:sp macro="" textlink="">
      <xdr:nvSpPr>
        <xdr:cNvPr id="13" name="垂直線22">
          <a:extLst>
            <a:ext uri="{FF2B5EF4-FFF2-40B4-BE49-F238E27FC236}">
              <a16:creationId xmlns:a16="http://schemas.microsoft.com/office/drawing/2014/main" id="{B1EA43A4-5459-4019-9F40-D111E5363B53}"/>
            </a:ext>
          </a:extLst>
        </xdr:cNvPr>
        <xdr:cNvSpPr>
          <a:spLocks noChangeShapeType="1"/>
        </xdr:cNvSpPr>
      </xdr:nvSpPr>
      <xdr:spPr bwMode="auto">
        <a:xfrm rot="900000" flipV="1">
          <a:off x="11718922" y="2133600"/>
          <a:ext cx="0" cy="3467100"/>
        </a:xfrm>
        <a:prstGeom prst="line">
          <a:avLst/>
        </a:prstGeom>
        <a:noFill/>
        <a:ln w="9525">
          <a:solidFill>
            <a:srgbClr val="0000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oneCellAnchor>
    <xdr:from>
      <xdr:col>20</xdr:col>
      <xdr:colOff>373380</xdr:colOff>
      <xdr:row>27</xdr:row>
      <xdr:rowOff>57150</xdr:rowOff>
    </xdr:from>
    <xdr:ext cx="266700" cy="180975"/>
    <xdr:sp macro="" textlink="">
      <xdr:nvSpPr>
        <xdr:cNvPr id="14" name="Text Box 13">
          <a:extLst>
            <a:ext uri="{FF2B5EF4-FFF2-40B4-BE49-F238E27FC236}">
              <a16:creationId xmlns:a16="http://schemas.microsoft.com/office/drawing/2014/main" id="{9F720978-E137-448F-B2EA-0DBC41DDD2A1}"/>
            </a:ext>
          </a:extLst>
        </xdr:cNvPr>
        <xdr:cNvSpPr txBox="1">
          <a:spLocks noChangeArrowheads="1"/>
        </xdr:cNvSpPr>
      </xdr:nvSpPr>
      <xdr:spPr bwMode="auto">
        <a:xfrm>
          <a:off x="11593830" y="6896100"/>
          <a:ext cx="266700" cy="1809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endParaRPr lang="ja-JP" altLang="en-US" sz="1200"/>
        </a:p>
      </xdr:txBody>
    </xdr:sp>
    <xdr:clientData/>
  </xdr:oneCellAnchor>
  <xdr:oneCellAnchor>
    <xdr:from>
      <xdr:col>16</xdr:col>
      <xdr:colOff>0</xdr:colOff>
      <xdr:row>14</xdr:row>
      <xdr:rowOff>236220</xdr:rowOff>
    </xdr:from>
    <xdr:ext cx="5524500" cy="0"/>
    <xdr:sp macro="" textlink="">
      <xdr:nvSpPr>
        <xdr:cNvPr id="15" name="水平線22">
          <a:extLst>
            <a:ext uri="{FF2B5EF4-FFF2-40B4-BE49-F238E27FC236}">
              <a16:creationId xmlns:a16="http://schemas.microsoft.com/office/drawing/2014/main" id="{01BCA9C6-D937-440C-BEFA-B938409042DA}"/>
            </a:ext>
          </a:extLst>
        </xdr:cNvPr>
        <xdr:cNvSpPr>
          <a:spLocks noChangeShapeType="1"/>
        </xdr:cNvSpPr>
      </xdr:nvSpPr>
      <xdr:spPr bwMode="auto">
        <a:xfrm rot="900000">
          <a:off x="9010650" y="3855720"/>
          <a:ext cx="5524500" cy="0"/>
        </a:xfrm>
        <a:prstGeom prst="line">
          <a:avLst/>
        </a:prstGeom>
        <a:noFill/>
        <a:ln w="9525">
          <a:solidFill>
            <a:srgbClr val="0000FF"/>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twoCellAnchor>
    <xdr:from>
      <xdr:col>6</xdr:col>
      <xdr:colOff>428169</xdr:colOff>
      <xdr:row>27</xdr:row>
      <xdr:rowOff>53541</xdr:rowOff>
    </xdr:from>
    <xdr:to>
      <xdr:col>7</xdr:col>
      <xdr:colOff>143216</xdr:colOff>
      <xdr:row>27</xdr:row>
      <xdr:rowOff>238125</xdr:rowOff>
    </xdr:to>
    <xdr:sp macro="" textlink="">
      <xdr:nvSpPr>
        <xdr:cNvPr id="16" name="Text Box 13">
          <a:extLst>
            <a:ext uri="{FF2B5EF4-FFF2-40B4-BE49-F238E27FC236}">
              <a16:creationId xmlns:a16="http://schemas.microsoft.com/office/drawing/2014/main" id="{AED33218-BA9F-4248-A6B5-8479C779EF95}"/>
            </a:ext>
          </a:extLst>
        </xdr:cNvPr>
        <xdr:cNvSpPr txBox="1">
          <a:spLocks noChangeArrowheads="1"/>
        </xdr:cNvSpPr>
      </xdr:nvSpPr>
      <xdr:spPr bwMode="auto">
        <a:xfrm>
          <a:off x="3800019" y="6892491"/>
          <a:ext cx="267497" cy="18458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南</a:t>
          </a:r>
          <a:endParaRPr lang="ja-JP" altLang="en-US" sz="1200"/>
        </a:p>
      </xdr:txBody>
    </xdr:sp>
    <xdr:clientData/>
  </xdr:twoCellAnchor>
  <xdr:twoCellAnchor>
    <xdr:from>
      <xdr:col>12</xdr:col>
      <xdr:colOff>257813</xdr:colOff>
      <xdr:row>14</xdr:row>
      <xdr:rowOff>142852</xdr:rowOff>
    </xdr:from>
    <xdr:to>
      <xdr:col>12</xdr:col>
      <xdr:colOff>523875</xdr:colOff>
      <xdr:row>15</xdr:row>
      <xdr:rowOff>74702</xdr:rowOff>
    </xdr:to>
    <xdr:sp macro="" textlink="">
      <xdr:nvSpPr>
        <xdr:cNvPr id="17" name="Text Box 14">
          <a:extLst>
            <a:ext uri="{FF2B5EF4-FFF2-40B4-BE49-F238E27FC236}">
              <a16:creationId xmlns:a16="http://schemas.microsoft.com/office/drawing/2014/main" id="{AD007DFE-0D5D-476F-9102-05594E29597D}"/>
            </a:ext>
          </a:extLst>
        </xdr:cNvPr>
        <xdr:cNvSpPr txBox="1">
          <a:spLocks noChangeArrowheads="1"/>
        </xdr:cNvSpPr>
      </xdr:nvSpPr>
      <xdr:spPr bwMode="auto">
        <a:xfrm>
          <a:off x="6944363" y="3762352"/>
          <a:ext cx="266062" cy="179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東</a:t>
          </a:r>
          <a:endParaRPr lang="ja-JP" altLang="en-US" sz="1200"/>
        </a:p>
      </xdr:txBody>
    </xdr:sp>
    <xdr:clientData/>
  </xdr:twoCellAnchor>
  <xdr:twoCellAnchor>
    <xdr:from>
      <xdr:col>1</xdr:col>
      <xdr:colOff>0</xdr:colOff>
      <xdr:row>14</xdr:row>
      <xdr:rowOff>162282</xdr:rowOff>
    </xdr:from>
    <xdr:to>
      <xdr:col>1</xdr:col>
      <xdr:colOff>266062</xdr:colOff>
      <xdr:row>15</xdr:row>
      <xdr:rowOff>94132</xdr:rowOff>
    </xdr:to>
    <xdr:sp macro="" textlink="">
      <xdr:nvSpPr>
        <xdr:cNvPr id="18" name="Text Box 15">
          <a:extLst>
            <a:ext uri="{FF2B5EF4-FFF2-40B4-BE49-F238E27FC236}">
              <a16:creationId xmlns:a16="http://schemas.microsoft.com/office/drawing/2014/main" id="{4A680615-B5AE-406F-81D6-4CE61C40A316}"/>
            </a:ext>
          </a:extLst>
        </xdr:cNvPr>
        <xdr:cNvSpPr txBox="1">
          <a:spLocks noChangeArrowheads="1"/>
        </xdr:cNvSpPr>
      </xdr:nvSpPr>
      <xdr:spPr bwMode="auto">
        <a:xfrm>
          <a:off x="609600" y="3781782"/>
          <a:ext cx="266062" cy="179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西</a:t>
          </a:r>
          <a:endParaRPr lang="ja-JP" altLang="en-US" sz="1200"/>
        </a:p>
      </xdr:txBody>
    </xdr:sp>
    <xdr:clientData/>
  </xdr:twoCellAnchor>
  <xdr:twoCellAnchor>
    <xdr:from>
      <xdr:col>6</xdr:col>
      <xdr:colOff>407264</xdr:colOff>
      <xdr:row>2</xdr:row>
      <xdr:rowOff>57150</xdr:rowOff>
    </xdr:from>
    <xdr:to>
      <xdr:col>7</xdr:col>
      <xdr:colOff>141316</xdr:colOff>
      <xdr:row>2</xdr:row>
      <xdr:rowOff>241734</xdr:rowOff>
    </xdr:to>
    <xdr:sp macro="" textlink="">
      <xdr:nvSpPr>
        <xdr:cNvPr id="19" name="Text Box 16">
          <a:extLst>
            <a:ext uri="{FF2B5EF4-FFF2-40B4-BE49-F238E27FC236}">
              <a16:creationId xmlns:a16="http://schemas.microsoft.com/office/drawing/2014/main" id="{B32BD66F-C61E-4D86-81D8-ADF8DF32768D}"/>
            </a:ext>
          </a:extLst>
        </xdr:cNvPr>
        <xdr:cNvSpPr txBox="1">
          <a:spLocks noChangeArrowheads="1"/>
        </xdr:cNvSpPr>
      </xdr:nvSpPr>
      <xdr:spPr bwMode="auto">
        <a:xfrm>
          <a:off x="3779114" y="704850"/>
          <a:ext cx="286502" cy="18458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北</a:t>
          </a:r>
          <a:endParaRPr lang="ja-JP" altLang="en-US" sz="1200"/>
        </a:p>
      </xdr:txBody>
    </xdr:sp>
    <xdr:clientData/>
  </xdr:twoCellAnchor>
  <xdr:twoCellAnchor>
    <xdr:from>
      <xdr:col>6</xdr:col>
      <xdr:colOff>442423</xdr:colOff>
      <xdr:row>2</xdr:row>
      <xdr:rowOff>241734</xdr:rowOff>
    </xdr:from>
    <xdr:to>
      <xdr:col>7</xdr:col>
      <xdr:colOff>683</xdr:colOff>
      <xdr:row>4</xdr:row>
      <xdr:rowOff>124865</xdr:rowOff>
    </xdr:to>
    <xdr:cxnSp macro="">
      <xdr:nvCxnSpPr>
        <xdr:cNvPr id="20" name="直線コネクタ 19">
          <a:extLst>
            <a:ext uri="{FF2B5EF4-FFF2-40B4-BE49-F238E27FC236}">
              <a16:creationId xmlns:a16="http://schemas.microsoft.com/office/drawing/2014/main" id="{6F6654A6-411E-4601-AC03-23739DD8953B}"/>
            </a:ext>
          </a:extLst>
        </xdr:cNvPr>
        <xdr:cNvCxnSpPr/>
      </xdr:nvCxnSpPr>
      <xdr:spPr bwMode="auto">
        <a:xfrm flipH="1">
          <a:off x="3814273" y="889434"/>
          <a:ext cx="110710" cy="378431"/>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444798</xdr:colOff>
      <xdr:row>4</xdr:row>
      <xdr:rowOff>120008</xdr:rowOff>
    </xdr:from>
    <xdr:to>
      <xdr:col>7</xdr:col>
      <xdr:colOff>5435</xdr:colOff>
      <xdr:row>4</xdr:row>
      <xdr:rowOff>214728</xdr:rowOff>
    </xdr:to>
    <xdr:cxnSp macro="">
      <xdr:nvCxnSpPr>
        <xdr:cNvPr id="21" name="直線コネクタ 20">
          <a:extLst>
            <a:ext uri="{FF2B5EF4-FFF2-40B4-BE49-F238E27FC236}">
              <a16:creationId xmlns:a16="http://schemas.microsoft.com/office/drawing/2014/main" id="{6CEF4FA1-E8D7-4CBB-9BE0-842DAA49D2A0}"/>
            </a:ext>
          </a:extLst>
        </xdr:cNvPr>
        <xdr:cNvCxnSpPr/>
      </xdr:nvCxnSpPr>
      <xdr:spPr bwMode="auto">
        <a:xfrm>
          <a:off x="3816648" y="1263008"/>
          <a:ext cx="113087" cy="947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228053</xdr:colOff>
      <xdr:row>14</xdr:row>
      <xdr:rowOff>248097</xdr:rowOff>
    </xdr:from>
    <xdr:to>
      <xdr:col>12</xdr:col>
      <xdr:colOff>286320</xdr:colOff>
      <xdr:row>14</xdr:row>
      <xdr:rowOff>248097</xdr:rowOff>
    </xdr:to>
    <xdr:sp macro="" textlink="">
      <xdr:nvSpPr>
        <xdr:cNvPr id="22" name="水平線1">
          <a:extLst>
            <a:ext uri="{FF2B5EF4-FFF2-40B4-BE49-F238E27FC236}">
              <a16:creationId xmlns:a16="http://schemas.microsoft.com/office/drawing/2014/main" id="{BD922880-134C-4E46-BF32-2258F1C8074C}"/>
            </a:ext>
          </a:extLst>
        </xdr:cNvPr>
        <xdr:cNvSpPr>
          <a:spLocks noChangeShapeType="1"/>
        </xdr:cNvSpPr>
      </xdr:nvSpPr>
      <xdr:spPr bwMode="auto">
        <a:xfrm>
          <a:off x="837653" y="3867597"/>
          <a:ext cx="6135217"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684</xdr:colOff>
      <xdr:row>2</xdr:row>
      <xdr:rowOff>249829</xdr:rowOff>
    </xdr:from>
    <xdr:to>
      <xdr:col>7</xdr:col>
      <xdr:colOff>684</xdr:colOff>
      <xdr:row>26</xdr:row>
      <xdr:rowOff>246364</xdr:rowOff>
    </xdr:to>
    <xdr:sp macro="" textlink="">
      <xdr:nvSpPr>
        <xdr:cNvPr id="23" name="垂直線1">
          <a:extLst>
            <a:ext uri="{FF2B5EF4-FFF2-40B4-BE49-F238E27FC236}">
              <a16:creationId xmlns:a16="http://schemas.microsoft.com/office/drawing/2014/main" id="{FFA8A10F-5844-4A95-8536-37C6CB3ED924}"/>
            </a:ext>
          </a:extLst>
        </xdr:cNvPr>
        <xdr:cNvSpPr>
          <a:spLocks noChangeShapeType="1"/>
        </xdr:cNvSpPr>
      </xdr:nvSpPr>
      <xdr:spPr bwMode="auto">
        <a:xfrm>
          <a:off x="3924984" y="897529"/>
          <a:ext cx="0" cy="5940135"/>
        </a:xfrm>
        <a:prstGeom prst="line">
          <a:avLst/>
        </a:prstGeom>
        <a:noFill/>
        <a:ln w="19050" cap="rnd">
          <a:solidFill>
            <a:srgbClr xmlns:mc="http://schemas.openxmlformats.org/markup-compatibility/2006" xmlns:a14="http://schemas.microsoft.com/office/drawing/2010/main" val="000000" mc:Ignorable="a14" a14:legacySpreadsheetColorIndex="64"/>
          </a:solidFill>
          <a:miter lim="800000"/>
          <a:headEnd type="none" w="med" len="lg"/>
          <a:tailEnd type="non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373675</xdr:colOff>
      <xdr:row>27</xdr:row>
      <xdr:rowOff>44016</xdr:rowOff>
    </xdr:from>
    <xdr:to>
      <xdr:col>21</xdr:col>
      <xdr:colOff>88581</xdr:colOff>
      <xdr:row>27</xdr:row>
      <xdr:rowOff>228600</xdr:rowOff>
    </xdr:to>
    <xdr:sp macro="" textlink="">
      <xdr:nvSpPr>
        <xdr:cNvPr id="24" name="Text Box 13">
          <a:extLst>
            <a:ext uri="{FF2B5EF4-FFF2-40B4-BE49-F238E27FC236}">
              <a16:creationId xmlns:a16="http://schemas.microsoft.com/office/drawing/2014/main" id="{858D898F-1F41-4402-BD7E-7181416FEE8E}"/>
            </a:ext>
          </a:extLst>
        </xdr:cNvPr>
        <xdr:cNvSpPr txBox="1">
          <a:spLocks noChangeArrowheads="1"/>
        </xdr:cNvSpPr>
      </xdr:nvSpPr>
      <xdr:spPr bwMode="auto">
        <a:xfrm>
          <a:off x="11594125" y="6882966"/>
          <a:ext cx="267356" cy="18458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南</a:t>
          </a:r>
          <a:endParaRPr lang="ja-JP" altLang="en-US" sz="1200"/>
        </a:p>
      </xdr:txBody>
    </xdr:sp>
    <xdr:clientData/>
  </xdr:twoCellAnchor>
  <xdr:twoCellAnchor>
    <xdr:from>
      <xdr:col>26</xdr:col>
      <xdr:colOff>201668</xdr:colOff>
      <xdr:row>14</xdr:row>
      <xdr:rowOff>133327</xdr:rowOff>
    </xdr:from>
    <xdr:to>
      <xdr:col>26</xdr:col>
      <xdr:colOff>467591</xdr:colOff>
      <xdr:row>15</xdr:row>
      <xdr:rowOff>65177</xdr:rowOff>
    </xdr:to>
    <xdr:sp macro="" textlink="">
      <xdr:nvSpPr>
        <xdr:cNvPr id="25" name="Text Box 14">
          <a:extLst>
            <a:ext uri="{FF2B5EF4-FFF2-40B4-BE49-F238E27FC236}">
              <a16:creationId xmlns:a16="http://schemas.microsoft.com/office/drawing/2014/main" id="{8AF2D1A9-9AD9-4D0C-8A6A-8CBCE0729700}"/>
            </a:ext>
          </a:extLst>
        </xdr:cNvPr>
        <xdr:cNvSpPr txBox="1">
          <a:spLocks noChangeArrowheads="1"/>
        </xdr:cNvSpPr>
      </xdr:nvSpPr>
      <xdr:spPr bwMode="auto">
        <a:xfrm>
          <a:off x="14736818" y="3752827"/>
          <a:ext cx="265923" cy="179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東</a:t>
          </a:r>
          <a:endParaRPr lang="ja-JP" altLang="en-US" sz="1200"/>
        </a:p>
      </xdr:txBody>
    </xdr:sp>
    <xdr:clientData/>
  </xdr:twoCellAnchor>
  <xdr:twoCellAnchor>
    <xdr:from>
      <xdr:col>14</xdr:col>
      <xdr:colOff>553316</xdr:colOff>
      <xdr:row>14</xdr:row>
      <xdr:rowOff>152757</xdr:rowOff>
    </xdr:from>
    <xdr:to>
      <xdr:col>15</xdr:col>
      <xdr:colOff>213103</xdr:colOff>
      <xdr:row>15</xdr:row>
      <xdr:rowOff>84607</xdr:rowOff>
    </xdr:to>
    <xdr:sp macro="" textlink="">
      <xdr:nvSpPr>
        <xdr:cNvPr id="26" name="Text Box 15">
          <a:extLst>
            <a:ext uri="{FF2B5EF4-FFF2-40B4-BE49-F238E27FC236}">
              <a16:creationId xmlns:a16="http://schemas.microsoft.com/office/drawing/2014/main" id="{24ECCE40-EB81-4A9C-AF52-E5D3E6BA9C13}"/>
            </a:ext>
          </a:extLst>
        </xdr:cNvPr>
        <xdr:cNvSpPr txBox="1">
          <a:spLocks noChangeArrowheads="1"/>
        </xdr:cNvSpPr>
      </xdr:nvSpPr>
      <xdr:spPr bwMode="auto">
        <a:xfrm>
          <a:off x="8401916" y="3772257"/>
          <a:ext cx="269387" cy="179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西</a:t>
          </a:r>
          <a:endParaRPr lang="ja-JP" altLang="en-US" sz="1200"/>
        </a:p>
      </xdr:txBody>
    </xdr:sp>
    <xdr:clientData/>
  </xdr:twoCellAnchor>
  <xdr:twoCellAnchor>
    <xdr:from>
      <xdr:col>20</xdr:col>
      <xdr:colOff>352781</xdr:colOff>
      <xdr:row>2</xdr:row>
      <xdr:rowOff>47625</xdr:rowOff>
    </xdr:from>
    <xdr:to>
      <xdr:col>21</xdr:col>
      <xdr:colOff>86682</xdr:colOff>
      <xdr:row>2</xdr:row>
      <xdr:rowOff>232209</xdr:rowOff>
    </xdr:to>
    <xdr:sp macro="" textlink="">
      <xdr:nvSpPr>
        <xdr:cNvPr id="27" name="Text Box 16">
          <a:extLst>
            <a:ext uri="{FF2B5EF4-FFF2-40B4-BE49-F238E27FC236}">
              <a16:creationId xmlns:a16="http://schemas.microsoft.com/office/drawing/2014/main" id="{E4008045-EAA3-4A16-9635-4854B93A9FAE}"/>
            </a:ext>
          </a:extLst>
        </xdr:cNvPr>
        <xdr:cNvSpPr txBox="1">
          <a:spLocks noChangeArrowheads="1"/>
        </xdr:cNvSpPr>
      </xdr:nvSpPr>
      <xdr:spPr bwMode="auto">
        <a:xfrm>
          <a:off x="11573231" y="695325"/>
          <a:ext cx="286351" cy="18458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北</a:t>
          </a:r>
          <a:endParaRPr lang="ja-JP" altLang="en-US" sz="1200"/>
        </a:p>
      </xdr:txBody>
    </xdr:sp>
    <xdr:clientData/>
  </xdr:twoCellAnchor>
  <xdr:twoCellAnchor>
    <xdr:from>
      <xdr:col>20</xdr:col>
      <xdr:colOff>387922</xdr:colOff>
      <xdr:row>2</xdr:row>
      <xdr:rowOff>232209</xdr:rowOff>
    </xdr:from>
    <xdr:to>
      <xdr:col>20</xdr:col>
      <xdr:colOff>500306</xdr:colOff>
      <xdr:row>4</xdr:row>
      <xdr:rowOff>115340</xdr:rowOff>
    </xdr:to>
    <xdr:cxnSp macro="">
      <xdr:nvCxnSpPr>
        <xdr:cNvPr id="28" name="直線コネクタ 27">
          <a:extLst>
            <a:ext uri="{FF2B5EF4-FFF2-40B4-BE49-F238E27FC236}">
              <a16:creationId xmlns:a16="http://schemas.microsoft.com/office/drawing/2014/main" id="{AD7DA10E-AA4D-4A06-A2E9-518B9DB20AE3}"/>
            </a:ext>
          </a:extLst>
        </xdr:cNvPr>
        <xdr:cNvCxnSpPr/>
      </xdr:nvCxnSpPr>
      <xdr:spPr bwMode="auto">
        <a:xfrm flipH="1">
          <a:off x="11608372" y="879909"/>
          <a:ext cx="112384" cy="378431"/>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20</xdr:col>
      <xdr:colOff>390296</xdr:colOff>
      <xdr:row>4</xdr:row>
      <xdr:rowOff>110483</xdr:rowOff>
    </xdr:from>
    <xdr:to>
      <xdr:col>20</xdr:col>
      <xdr:colOff>505055</xdr:colOff>
      <xdr:row>4</xdr:row>
      <xdr:rowOff>205203</xdr:rowOff>
    </xdr:to>
    <xdr:cxnSp macro="">
      <xdr:nvCxnSpPr>
        <xdr:cNvPr id="29" name="直線コネクタ 28">
          <a:extLst>
            <a:ext uri="{FF2B5EF4-FFF2-40B4-BE49-F238E27FC236}">
              <a16:creationId xmlns:a16="http://schemas.microsoft.com/office/drawing/2014/main" id="{EBC6387C-E602-4CD6-A243-A409B3C0F808}"/>
            </a:ext>
          </a:extLst>
        </xdr:cNvPr>
        <xdr:cNvCxnSpPr/>
      </xdr:nvCxnSpPr>
      <xdr:spPr bwMode="auto">
        <a:xfrm>
          <a:off x="11610746" y="1253483"/>
          <a:ext cx="114759" cy="9472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15</xdr:col>
      <xdr:colOff>175114</xdr:colOff>
      <xdr:row>14</xdr:row>
      <xdr:rowOff>238572</xdr:rowOff>
    </xdr:from>
    <xdr:to>
      <xdr:col>26</xdr:col>
      <xdr:colOff>230160</xdr:colOff>
      <xdr:row>14</xdr:row>
      <xdr:rowOff>238572</xdr:rowOff>
    </xdr:to>
    <xdr:sp macro="" textlink="">
      <xdr:nvSpPr>
        <xdr:cNvPr id="30" name="水平線1">
          <a:extLst>
            <a:ext uri="{FF2B5EF4-FFF2-40B4-BE49-F238E27FC236}">
              <a16:creationId xmlns:a16="http://schemas.microsoft.com/office/drawing/2014/main" id="{52CDADA4-A98A-4C97-B37F-5B9A56CE2E3A}"/>
            </a:ext>
          </a:extLst>
        </xdr:cNvPr>
        <xdr:cNvSpPr>
          <a:spLocks noChangeShapeType="1"/>
        </xdr:cNvSpPr>
      </xdr:nvSpPr>
      <xdr:spPr bwMode="auto">
        <a:xfrm>
          <a:off x="8633314" y="3858072"/>
          <a:ext cx="6131996"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500305</xdr:colOff>
      <xdr:row>2</xdr:row>
      <xdr:rowOff>240304</xdr:rowOff>
    </xdr:from>
    <xdr:to>
      <xdr:col>20</xdr:col>
      <xdr:colOff>500305</xdr:colOff>
      <xdr:row>26</xdr:row>
      <xdr:rowOff>236839</xdr:rowOff>
    </xdr:to>
    <xdr:sp macro="" textlink="">
      <xdr:nvSpPr>
        <xdr:cNvPr id="31" name="垂直線1">
          <a:extLst>
            <a:ext uri="{FF2B5EF4-FFF2-40B4-BE49-F238E27FC236}">
              <a16:creationId xmlns:a16="http://schemas.microsoft.com/office/drawing/2014/main" id="{27AAFB4A-EC34-4C77-A4B9-E882583D0640}"/>
            </a:ext>
          </a:extLst>
        </xdr:cNvPr>
        <xdr:cNvSpPr>
          <a:spLocks noChangeShapeType="1"/>
        </xdr:cNvSpPr>
      </xdr:nvSpPr>
      <xdr:spPr bwMode="auto">
        <a:xfrm>
          <a:off x="11720755" y="888004"/>
          <a:ext cx="0" cy="5940135"/>
        </a:xfrm>
        <a:prstGeom prst="line">
          <a:avLst/>
        </a:prstGeom>
        <a:noFill/>
        <a:ln w="19050" cap="rnd">
          <a:solidFill>
            <a:srgbClr xmlns:mc="http://schemas.openxmlformats.org/markup-compatibility/2006" xmlns:a14="http://schemas.microsoft.com/office/drawing/2010/main" val="000000" mc:Ignorable="a14" a14:legacySpreadsheetColorIndex="64"/>
          </a:solidFill>
          <a:miter lim="800000"/>
          <a:headEnd type="none" w="med" len="lg"/>
          <a:tailEnd type="none"/>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25</xdr:col>
      <xdr:colOff>133528</xdr:colOff>
      <xdr:row>16</xdr:row>
      <xdr:rowOff>22374</xdr:rowOff>
    </xdr:from>
    <xdr:ext cx="400050" cy="174914"/>
    <xdr:sp macro="" textlink="">
      <xdr:nvSpPr>
        <xdr:cNvPr id="32" name="東面2">
          <a:extLst>
            <a:ext uri="{FF2B5EF4-FFF2-40B4-BE49-F238E27FC236}">
              <a16:creationId xmlns:a16="http://schemas.microsoft.com/office/drawing/2014/main" id="{757FE655-31B8-4E1C-9545-AA8380FDD040}"/>
            </a:ext>
          </a:extLst>
        </xdr:cNvPr>
        <xdr:cNvSpPr txBox="1">
          <a:spLocks noChangeArrowheads="1"/>
        </xdr:cNvSpPr>
      </xdr:nvSpPr>
      <xdr:spPr bwMode="auto">
        <a:xfrm>
          <a:off x="14116228" y="4137174"/>
          <a:ext cx="400050" cy="17491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200" b="1" i="0" u="none" strike="noStrike" baseline="0">
              <a:solidFill>
                <a:srgbClr val="000000"/>
              </a:solidFill>
              <a:latin typeface="ＭＳ Ｐゴシック"/>
              <a:ea typeface="ＭＳ Ｐゴシック"/>
            </a:rPr>
            <a:t>E</a:t>
          </a:r>
          <a:endParaRPr lang="ja-JP" altLang="en-US" sz="1200" b="1"/>
        </a:p>
      </xdr:txBody>
    </xdr:sp>
    <xdr:clientData/>
  </xdr:oneCellAnchor>
  <xdr:twoCellAnchor>
    <xdr:from>
      <xdr:col>6</xdr:col>
      <xdr:colOff>266909</xdr:colOff>
      <xdr:row>19</xdr:row>
      <xdr:rowOff>121689</xdr:rowOff>
    </xdr:from>
    <xdr:to>
      <xdr:col>7</xdr:col>
      <xdr:colOff>6928</xdr:colOff>
      <xdr:row>19</xdr:row>
      <xdr:rowOff>160194</xdr:rowOff>
    </xdr:to>
    <xdr:sp macro="" textlink="">
      <xdr:nvSpPr>
        <xdr:cNvPr id="33" name="フリーフォーム: 図形 32">
          <a:extLst>
            <a:ext uri="{FF2B5EF4-FFF2-40B4-BE49-F238E27FC236}">
              <a16:creationId xmlns:a16="http://schemas.microsoft.com/office/drawing/2014/main" id="{19230A2C-C22A-4418-A604-1FD66BA66B66}"/>
            </a:ext>
          </a:extLst>
        </xdr:cNvPr>
        <xdr:cNvSpPr/>
      </xdr:nvSpPr>
      <xdr:spPr>
        <a:xfrm>
          <a:off x="3638759" y="4979439"/>
          <a:ext cx="292469" cy="38505"/>
        </a:xfrm>
        <a:custGeom>
          <a:avLst/>
          <a:gdLst/>
          <a:ahLst/>
          <a:cxnLst/>
          <a:rect l="0" t="0" r="0" b="0"/>
          <a:pathLst>
            <a:path w="292469" h="38505">
              <a:moveTo>
                <a:pt x="0" y="0"/>
              </a:moveTo>
              <a:cubicBezTo>
                <a:pt x="96244" y="21337"/>
                <a:pt x="96244" y="21337"/>
                <a:pt x="96244" y="21337"/>
              </a:cubicBezTo>
              <a:cubicBezTo>
                <a:pt x="193981" y="34205"/>
                <a:pt x="193981" y="34205"/>
                <a:pt x="193981" y="34205"/>
              </a:cubicBezTo>
              <a:cubicBezTo>
                <a:pt x="292468" y="38504"/>
                <a:pt x="292468" y="38504"/>
                <a:pt x="292468" y="38504"/>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395275</xdr:colOff>
      <xdr:row>18</xdr:row>
      <xdr:rowOff>18111</xdr:rowOff>
    </xdr:from>
    <xdr:to>
      <xdr:col>7</xdr:col>
      <xdr:colOff>10059</xdr:colOff>
      <xdr:row>19</xdr:row>
      <xdr:rowOff>77340</xdr:rowOff>
    </xdr:to>
    <xdr:sp macro="" textlink="">
      <xdr:nvSpPr>
        <xdr:cNvPr id="34" name="テキスト ボックス 33">
          <a:extLst>
            <a:ext uri="{FF2B5EF4-FFF2-40B4-BE49-F238E27FC236}">
              <a16:creationId xmlns:a16="http://schemas.microsoft.com/office/drawing/2014/main" id="{5797C946-E894-4AD2-8363-4FD350C5A4FF}"/>
            </a:ext>
          </a:extLst>
        </xdr:cNvPr>
        <xdr:cNvSpPr txBox="1"/>
      </xdr:nvSpPr>
      <xdr:spPr>
        <a:xfrm>
          <a:off x="3214675" y="4628211"/>
          <a:ext cx="71968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α=15[°]</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7</xdr:col>
      <xdr:colOff>6927</xdr:colOff>
      <xdr:row>16</xdr:row>
      <xdr:rowOff>98097</xdr:rowOff>
    </xdr:from>
    <xdr:to>
      <xdr:col>9</xdr:col>
      <xdr:colOff>114815</xdr:colOff>
      <xdr:row>20</xdr:row>
      <xdr:rowOff>38101</xdr:rowOff>
    </xdr:to>
    <xdr:sp macro="" textlink="">
      <xdr:nvSpPr>
        <xdr:cNvPr id="35" name="フリーフォーム: 図形 34">
          <a:extLst>
            <a:ext uri="{FF2B5EF4-FFF2-40B4-BE49-F238E27FC236}">
              <a16:creationId xmlns:a16="http://schemas.microsoft.com/office/drawing/2014/main" id="{8FB2AAA9-D907-427D-84EA-B43F6DC2A8D0}"/>
            </a:ext>
          </a:extLst>
        </xdr:cNvPr>
        <xdr:cNvSpPr/>
      </xdr:nvSpPr>
      <xdr:spPr>
        <a:xfrm>
          <a:off x="3931227" y="4212897"/>
          <a:ext cx="1212788" cy="930604"/>
        </a:xfrm>
        <a:custGeom>
          <a:avLst/>
          <a:gdLst/>
          <a:ahLst/>
          <a:cxnLst/>
          <a:rect l="0" t="0" r="0" b="0"/>
          <a:pathLst>
            <a:path w="1212788" h="930604">
              <a:moveTo>
                <a:pt x="0" y="930603"/>
              </a:moveTo>
              <a:cubicBezTo>
                <a:pt x="109431" y="925825"/>
                <a:pt x="109431" y="925825"/>
                <a:pt x="109431" y="925825"/>
              </a:cubicBezTo>
              <a:cubicBezTo>
                <a:pt x="218027" y="911529"/>
                <a:pt x="218027" y="911529"/>
                <a:pt x="218027" y="911529"/>
              </a:cubicBezTo>
              <a:cubicBezTo>
                <a:pt x="324966" y="887821"/>
                <a:pt x="324966" y="887821"/>
                <a:pt x="324966" y="887821"/>
              </a:cubicBezTo>
              <a:cubicBezTo>
                <a:pt x="429430" y="854883"/>
                <a:pt x="429430" y="854883"/>
                <a:pt x="429430" y="854883"/>
              </a:cubicBezTo>
              <a:cubicBezTo>
                <a:pt x="530627" y="812966"/>
                <a:pt x="530627" y="812966"/>
                <a:pt x="530627" y="812966"/>
              </a:cubicBezTo>
              <a:cubicBezTo>
                <a:pt x="627785" y="762389"/>
                <a:pt x="627785" y="762389"/>
                <a:pt x="627785" y="762389"/>
              </a:cubicBezTo>
              <a:cubicBezTo>
                <a:pt x="720165" y="703537"/>
                <a:pt x="720165" y="703537"/>
                <a:pt x="720165" y="703537"/>
              </a:cubicBezTo>
              <a:cubicBezTo>
                <a:pt x="807064" y="636856"/>
                <a:pt x="807064" y="636856"/>
                <a:pt x="807064" y="636856"/>
              </a:cubicBezTo>
              <a:cubicBezTo>
                <a:pt x="887821" y="562856"/>
                <a:pt x="887821" y="562856"/>
                <a:pt x="887821" y="562856"/>
              </a:cubicBezTo>
              <a:cubicBezTo>
                <a:pt x="961822" y="482099"/>
                <a:pt x="961822" y="482099"/>
                <a:pt x="961822" y="482099"/>
              </a:cubicBezTo>
              <a:cubicBezTo>
                <a:pt x="1028502" y="395200"/>
                <a:pt x="1028502" y="395200"/>
                <a:pt x="1028502" y="395200"/>
              </a:cubicBezTo>
              <a:cubicBezTo>
                <a:pt x="1087354" y="302820"/>
                <a:pt x="1087354" y="302820"/>
                <a:pt x="1087354" y="302820"/>
              </a:cubicBezTo>
              <a:cubicBezTo>
                <a:pt x="1137932" y="205662"/>
                <a:pt x="1137932" y="205662"/>
                <a:pt x="1137932" y="205662"/>
              </a:cubicBezTo>
              <a:cubicBezTo>
                <a:pt x="1179849" y="104465"/>
                <a:pt x="1179849" y="104465"/>
                <a:pt x="1179849" y="104465"/>
              </a:cubicBezTo>
              <a:cubicBezTo>
                <a:pt x="1212786" y="1"/>
                <a:pt x="1212786" y="1"/>
                <a:pt x="1212786" y="1"/>
              </a:cubicBezTo>
              <a:cubicBezTo>
                <a:pt x="1212787" y="0"/>
                <a:pt x="1212787" y="0"/>
                <a:pt x="1212787" y="0"/>
              </a:cubicBezTo>
            </a:path>
          </a:pathLst>
        </a:custGeom>
        <a:ln>
          <a:headEnd type="oval" w="sm" len="sm"/>
          <a:tailEnd type="arrow"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131970</xdr:colOff>
      <xdr:row>18</xdr:row>
      <xdr:rowOff>19790</xdr:rowOff>
    </xdr:from>
    <xdr:to>
      <xdr:col>8</xdr:col>
      <xdr:colOff>363324</xdr:colOff>
      <xdr:row>19</xdr:row>
      <xdr:rowOff>79019</xdr:rowOff>
    </xdr:to>
    <xdr:sp macro="" textlink="">
      <xdr:nvSpPr>
        <xdr:cNvPr id="36" name="テキスト ボックス 35">
          <a:extLst>
            <a:ext uri="{FF2B5EF4-FFF2-40B4-BE49-F238E27FC236}">
              <a16:creationId xmlns:a16="http://schemas.microsoft.com/office/drawing/2014/main" id="{A6BFDE52-70DA-4FAE-AA28-7F449B5306DA}"/>
            </a:ext>
          </a:extLst>
        </xdr:cNvPr>
        <xdr:cNvSpPr txBox="1"/>
      </xdr:nvSpPr>
      <xdr:spPr>
        <a:xfrm>
          <a:off x="4056270" y="4629890"/>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α=-75[°]</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4</xdr:col>
      <xdr:colOff>358486</xdr:colOff>
      <xdr:row>13</xdr:row>
      <xdr:rowOff>178118</xdr:rowOff>
    </xdr:from>
    <xdr:to>
      <xdr:col>7</xdr:col>
      <xdr:colOff>6928</xdr:colOff>
      <xdr:row>20</xdr:row>
      <xdr:rowOff>88324</xdr:rowOff>
    </xdr:to>
    <xdr:sp macro="" textlink="">
      <xdr:nvSpPr>
        <xdr:cNvPr id="37" name="フリーフォーム: 図形 36">
          <a:extLst>
            <a:ext uri="{FF2B5EF4-FFF2-40B4-BE49-F238E27FC236}">
              <a16:creationId xmlns:a16="http://schemas.microsoft.com/office/drawing/2014/main" id="{166DD911-D43F-4C53-84BA-7E2121B72BC5}"/>
            </a:ext>
          </a:extLst>
        </xdr:cNvPr>
        <xdr:cNvSpPr/>
      </xdr:nvSpPr>
      <xdr:spPr>
        <a:xfrm>
          <a:off x="2625436" y="3549968"/>
          <a:ext cx="1305792" cy="1643756"/>
        </a:xfrm>
        <a:custGeom>
          <a:avLst/>
          <a:gdLst/>
          <a:ahLst/>
          <a:cxnLst/>
          <a:rect l="0" t="0" r="0" b="0"/>
          <a:pathLst>
            <a:path w="1305792" h="1643756">
              <a:moveTo>
                <a:pt x="44494" y="0"/>
              </a:moveTo>
              <a:cubicBezTo>
                <a:pt x="19838" y="111216"/>
                <a:pt x="19838" y="111216"/>
                <a:pt x="19838" y="111216"/>
              </a:cubicBezTo>
              <a:cubicBezTo>
                <a:pt x="4969" y="224157"/>
                <a:pt x="4969" y="224157"/>
                <a:pt x="4969" y="224157"/>
              </a:cubicBezTo>
              <a:cubicBezTo>
                <a:pt x="0" y="337964"/>
                <a:pt x="0" y="337964"/>
                <a:pt x="0" y="337964"/>
              </a:cubicBezTo>
              <a:cubicBezTo>
                <a:pt x="4969" y="451771"/>
                <a:pt x="4969" y="451771"/>
                <a:pt x="4969" y="451771"/>
              </a:cubicBezTo>
              <a:cubicBezTo>
                <a:pt x="19838" y="564712"/>
                <a:pt x="19838" y="564712"/>
                <a:pt x="19838" y="564712"/>
              </a:cubicBezTo>
              <a:cubicBezTo>
                <a:pt x="44494" y="675928"/>
                <a:pt x="44494" y="675928"/>
                <a:pt x="44494" y="675928"/>
              </a:cubicBezTo>
              <a:cubicBezTo>
                <a:pt x="78749" y="784571"/>
                <a:pt x="78749" y="784571"/>
                <a:pt x="78749" y="784571"/>
              </a:cubicBezTo>
              <a:cubicBezTo>
                <a:pt x="122343" y="889815"/>
                <a:pt x="122343" y="889815"/>
                <a:pt x="122343" y="889815"/>
              </a:cubicBezTo>
              <a:cubicBezTo>
                <a:pt x="174943" y="990859"/>
                <a:pt x="174943" y="990859"/>
                <a:pt x="174943" y="990859"/>
              </a:cubicBezTo>
              <a:cubicBezTo>
                <a:pt x="236150" y="1086935"/>
                <a:pt x="236150" y="1086935"/>
                <a:pt x="236150" y="1086935"/>
              </a:cubicBezTo>
              <a:cubicBezTo>
                <a:pt x="305497" y="1177310"/>
                <a:pt x="305497" y="1177310"/>
                <a:pt x="305497" y="1177310"/>
              </a:cubicBezTo>
              <a:cubicBezTo>
                <a:pt x="382458" y="1261298"/>
                <a:pt x="382458" y="1261298"/>
                <a:pt x="382458" y="1261298"/>
              </a:cubicBezTo>
              <a:cubicBezTo>
                <a:pt x="466445" y="1338258"/>
                <a:pt x="466445" y="1338258"/>
                <a:pt x="466445" y="1338258"/>
              </a:cubicBezTo>
              <a:cubicBezTo>
                <a:pt x="556820" y="1407605"/>
                <a:pt x="556820" y="1407605"/>
                <a:pt x="556820" y="1407605"/>
              </a:cubicBezTo>
              <a:cubicBezTo>
                <a:pt x="652896" y="1468812"/>
                <a:pt x="652896" y="1468812"/>
                <a:pt x="652896" y="1468812"/>
              </a:cubicBezTo>
              <a:cubicBezTo>
                <a:pt x="753940" y="1521412"/>
                <a:pt x="753940" y="1521412"/>
                <a:pt x="753940" y="1521412"/>
              </a:cubicBezTo>
              <a:cubicBezTo>
                <a:pt x="859184" y="1565006"/>
                <a:pt x="859184" y="1565006"/>
                <a:pt x="859184" y="1565006"/>
              </a:cubicBezTo>
              <a:cubicBezTo>
                <a:pt x="967827" y="1599261"/>
                <a:pt x="967827" y="1599261"/>
                <a:pt x="967827" y="1599261"/>
              </a:cubicBezTo>
              <a:cubicBezTo>
                <a:pt x="1079043" y="1623917"/>
                <a:pt x="1079043" y="1623917"/>
                <a:pt x="1079043" y="1623917"/>
              </a:cubicBezTo>
              <a:cubicBezTo>
                <a:pt x="1191984" y="1638786"/>
                <a:pt x="1191984" y="1638786"/>
                <a:pt x="1191984" y="1638786"/>
              </a:cubicBezTo>
              <a:cubicBezTo>
                <a:pt x="1305791" y="1643755"/>
                <a:pt x="1305791" y="1643755"/>
                <a:pt x="1305791" y="1643755"/>
              </a:cubicBezTo>
              <a:cubicBezTo>
                <a:pt x="1305791" y="1643755"/>
                <a:pt x="1305791" y="1643755"/>
                <a:pt x="1305791" y="1643755"/>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527336</xdr:colOff>
      <xdr:row>17</xdr:row>
      <xdr:rowOff>66246</xdr:rowOff>
    </xdr:from>
    <xdr:to>
      <xdr:col>5</xdr:col>
      <xdr:colOff>206240</xdr:colOff>
      <xdr:row>18</xdr:row>
      <xdr:rowOff>125475</xdr:rowOff>
    </xdr:to>
    <xdr:sp macro="" textlink="">
      <xdr:nvSpPr>
        <xdr:cNvPr id="38" name="テキスト ボックス 37">
          <a:extLst>
            <a:ext uri="{FF2B5EF4-FFF2-40B4-BE49-F238E27FC236}">
              <a16:creationId xmlns:a16="http://schemas.microsoft.com/office/drawing/2014/main" id="{9EBCF18F-0788-407C-B5BF-CC10E8DEB67F}"/>
            </a:ext>
          </a:extLst>
        </xdr:cNvPr>
        <xdr:cNvSpPr txBox="1"/>
      </xdr:nvSpPr>
      <xdr:spPr>
        <a:xfrm>
          <a:off x="2241836" y="4428696"/>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α=105[°]</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4</xdr:col>
      <xdr:colOff>232930</xdr:colOff>
      <xdr:row>9</xdr:row>
      <xdr:rowOff>75334</xdr:rowOff>
    </xdr:from>
    <xdr:to>
      <xdr:col>7</xdr:col>
      <xdr:colOff>377388</xdr:colOff>
      <xdr:row>20</xdr:row>
      <xdr:rowOff>213881</xdr:rowOff>
    </xdr:to>
    <xdr:sp macro="" textlink="">
      <xdr:nvSpPr>
        <xdr:cNvPr id="39" name="フリーフォーム: 図形 38">
          <a:extLst>
            <a:ext uri="{FF2B5EF4-FFF2-40B4-BE49-F238E27FC236}">
              <a16:creationId xmlns:a16="http://schemas.microsoft.com/office/drawing/2014/main" id="{DDE0E0FA-D40A-4A58-A6A2-37F650A57431}"/>
            </a:ext>
          </a:extLst>
        </xdr:cNvPr>
        <xdr:cNvSpPr/>
      </xdr:nvSpPr>
      <xdr:spPr>
        <a:xfrm>
          <a:off x="2499880" y="2456584"/>
          <a:ext cx="1801808" cy="2862697"/>
        </a:xfrm>
        <a:custGeom>
          <a:avLst/>
          <a:gdLst/>
          <a:ahLst/>
          <a:cxnLst/>
          <a:rect l="0" t="0" r="0" b="0"/>
          <a:pathLst>
            <a:path w="1801808" h="2862697">
              <a:moveTo>
                <a:pt x="1801807" y="48772"/>
              </a:moveTo>
              <a:cubicBezTo>
                <a:pt x="1679899" y="21746"/>
                <a:pt x="1679899" y="21746"/>
                <a:pt x="1679899" y="21746"/>
              </a:cubicBezTo>
              <a:cubicBezTo>
                <a:pt x="1556098" y="5447"/>
                <a:pt x="1556098" y="5447"/>
                <a:pt x="1556098" y="5447"/>
              </a:cubicBezTo>
              <a:cubicBezTo>
                <a:pt x="1431347" y="0"/>
                <a:pt x="1431347" y="0"/>
                <a:pt x="1431347" y="0"/>
              </a:cubicBezTo>
              <a:cubicBezTo>
                <a:pt x="1306597" y="5447"/>
                <a:pt x="1306597" y="5447"/>
                <a:pt x="1306597" y="5447"/>
              </a:cubicBezTo>
              <a:cubicBezTo>
                <a:pt x="1182797" y="21746"/>
                <a:pt x="1182797" y="21746"/>
                <a:pt x="1182797" y="21746"/>
              </a:cubicBezTo>
              <a:cubicBezTo>
                <a:pt x="1060888" y="48772"/>
                <a:pt x="1060888" y="48772"/>
                <a:pt x="1060888" y="48772"/>
              </a:cubicBezTo>
              <a:cubicBezTo>
                <a:pt x="941798" y="86321"/>
                <a:pt x="941798" y="86321"/>
                <a:pt x="941798" y="86321"/>
              </a:cubicBezTo>
              <a:cubicBezTo>
                <a:pt x="826434" y="134106"/>
                <a:pt x="826434" y="134106"/>
                <a:pt x="826434" y="134106"/>
              </a:cubicBezTo>
              <a:cubicBezTo>
                <a:pt x="715674" y="191764"/>
                <a:pt x="715674" y="191764"/>
                <a:pt x="715674" y="191764"/>
              </a:cubicBezTo>
              <a:cubicBezTo>
                <a:pt x="610360" y="258856"/>
                <a:pt x="610360" y="258856"/>
                <a:pt x="610360" y="258856"/>
              </a:cubicBezTo>
              <a:cubicBezTo>
                <a:pt x="511295" y="334872"/>
                <a:pt x="511295" y="334872"/>
                <a:pt x="511295" y="334872"/>
              </a:cubicBezTo>
              <a:cubicBezTo>
                <a:pt x="419232" y="419232"/>
                <a:pt x="419232" y="419232"/>
                <a:pt x="419232" y="419232"/>
              </a:cubicBezTo>
              <a:cubicBezTo>
                <a:pt x="334872" y="511295"/>
                <a:pt x="334872" y="511295"/>
                <a:pt x="334872" y="511295"/>
              </a:cubicBezTo>
              <a:cubicBezTo>
                <a:pt x="258856" y="610360"/>
                <a:pt x="258856" y="610360"/>
                <a:pt x="258856" y="610360"/>
              </a:cubicBezTo>
              <a:cubicBezTo>
                <a:pt x="191764" y="715674"/>
                <a:pt x="191764" y="715674"/>
                <a:pt x="191764" y="715674"/>
              </a:cubicBezTo>
              <a:cubicBezTo>
                <a:pt x="134106" y="826434"/>
                <a:pt x="134106" y="826434"/>
                <a:pt x="134106" y="826434"/>
              </a:cubicBezTo>
              <a:cubicBezTo>
                <a:pt x="86321" y="941798"/>
                <a:pt x="86321" y="941798"/>
                <a:pt x="86321" y="941798"/>
              </a:cubicBezTo>
              <a:cubicBezTo>
                <a:pt x="48772" y="1060887"/>
                <a:pt x="48772" y="1060887"/>
                <a:pt x="48772" y="1060887"/>
              </a:cubicBezTo>
              <a:cubicBezTo>
                <a:pt x="21745" y="1182797"/>
                <a:pt x="21745" y="1182797"/>
                <a:pt x="21745" y="1182797"/>
              </a:cubicBezTo>
              <a:cubicBezTo>
                <a:pt x="5446" y="1306597"/>
                <a:pt x="5446" y="1306597"/>
                <a:pt x="5446" y="1306597"/>
              </a:cubicBezTo>
              <a:cubicBezTo>
                <a:pt x="0" y="1431348"/>
                <a:pt x="0" y="1431348"/>
                <a:pt x="0" y="1431348"/>
              </a:cubicBezTo>
              <a:cubicBezTo>
                <a:pt x="5446" y="1556098"/>
                <a:pt x="5446" y="1556098"/>
                <a:pt x="5446" y="1556098"/>
              </a:cubicBezTo>
              <a:cubicBezTo>
                <a:pt x="21745" y="1679898"/>
                <a:pt x="21745" y="1679898"/>
                <a:pt x="21745" y="1679898"/>
              </a:cubicBezTo>
              <a:cubicBezTo>
                <a:pt x="48771" y="1801808"/>
                <a:pt x="48771" y="1801808"/>
                <a:pt x="48771" y="1801808"/>
              </a:cubicBezTo>
              <a:cubicBezTo>
                <a:pt x="86320" y="1920897"/>
                <a:pt x="86320" y="1920897"/>
                <a:pt x="86320" y="1920897"/>
              </a:cubicBezTo>
              <a:cubicBezTo>
                <a:pt x="134105" y="2036261"/>
                <a:pt x="134105" y="2036261"/>
                <a:pt x="134105" y="2036261"/>
              </a:cubicBezTo>
              <a:cubicBezTo>
                <a:pt x="191763" y="2147021"/>
                <a:pt x="191763" y="2147021"/>
                <a:pt x="191763" y="2147021"/>
              </a:cubicBezTo>
              <a:cubicBezTo>
                <a:pt x="258855" y="2252335"/>
                <a:pt x="258855" y="2252335"/>
                <a:pt x="258855" y="2252335"/>
              </a:cubicBezTo>
              <a:cubicBezTo>
                <a:pt x="334871" y="2351400"/>
                <a:pt x="334871" y="2351400"/>
                <a:pt x="334871" y="2351400"/>
              </a:cubicBezTo>
              <a:cubicBezTo>
                <a:pt x="419231" y="2443463"/>
                <a:pt x="419231" y="2443463"/>
                <a:pt x="419231" y="2443463"/>
              </a:cubicBezTo>
              <a:cubicBezTo>
                <a:pt x="511294" y="2527824"/>
                <a:pt x="511294" y="2527824"/>
                <a:pt x="511294" y="2527824"/>
              </a:cubicBezTo>
              <a:cubicBezTo>
                <a:pt x="610360" y="2603839"/>
                <a:pt x="610360" y="2603839"/>
                <a:pt x="610360" y="2603839"/>
              </a:cubicBezTo>
              <a:cubicBezTo>
                <a:pt x="715673" y="2670931"/>
                <a:pt x="715673" y="2670931"/>
                <a:pt x="715673" y="2670931"/>
              </a:cubicBezTo>
              <a:cubicBezTo>
                <a:pt x="826433" y="2728589"/>
                <a:pt x="826433" y="2728589"/>
                <a:pt x="826433" y="2728589"/>
              </a:cubicBezTo>
              <a:cubicBezTo>
                <a:pt x="941797" y="2776375"/>
                <a:pt x="941797" y="2776375"/>
                <a:pt x="941797" y="2776375"/>
              </a:cubicBezTo>
              <a:cubicBezTo>
                <a:pt x="1060887" y="2813924"/>
                <a:pt x="1060887" y="2813924"/>
                <a:pt x="1060887" y="2813924"/>
              </a:cubicBezTo>
              <a:cubicBezTo>
                <a:pt x="1182796" y="2840950"/>
                <a:pt x="1182796" y="2840950"/>
                <a:pt x="1182796" y="2840950"/>
              </a:cubicBezTo>
              <a:cubicBezTo>
                <a:pt x="1306597" y="2857249"/>
                <a:pt x="1306597" y="2857249"/>
                <a:pt x="1306597" y="2857249"/>
              </a:cubicBezTo>
              <a:cubicBezTo>
                <a:pt x="1431347" y="2862696"/>
                <a:pt x="1431347" y="2862696"/>
                <a:pt x="1431347" y="2862696"/>
              </a:cubicBezTo>
              <a:cubicBezTo>
                <a:pt x="1431347" y="2862696"/>
                <a:pt x="1431347" y="2862696"/>
                <a:pt x="1431347" y="2862696"/>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144187</xdr:colOff>
      <xdr:row>13</xdr:row>
      <xdr:rowOff>75103</xdr:rowOff>
    </xdr:from>
    <xdr:to>
      <xdr:col>4</xdr:col>
      <xdr:colOff>375541</xdr:colOff>
      <xdr:row>14</xdr:row>
      <xdr:rowOff>134332</xdr:rowOff>
    </xdr:to>
    <xdr:sp macro="" textlink="">
      <xdr:nvSpPr>
        <xdr:cNvPr id="40" name="テキスト ボックス 39">
          <a:extLst>
            <a:ext uri="{FF2B5EF4-FFF2-40B4-BE49-F238E27FC236}">
              <a16:creationId xmlns:a16="http://schemas.microsoft.com/office/drawing/2014/main" id="{02F6094F-AD85-4922-B5DE-A6DB91A37186}"/>
            </a:ext>
          </a:extLst>
        </xdr:cNvPr>
        <xdr:cNvSpPr txBox="1"/>
      </xdr:nvSpPr>
      <xdr:spPr>
        <a:xfrm>
          <a:off x="1858687" y="3446953"/>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α=195[°]</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5</xdr:col>
      <xdr:colOff>481058</xdr:colOff>
      <xdr:row>15</xdr:row>
      <xdr:rowOff>20782</xdr:rowOff>
    </xdr:from>
    <xdr:to>
      <xdr:col>7</xdr:col>
      <xdr:colOff>6927</xdr:colOff>
      <xdr:row>28</xdr:row>
      <xdr:rowOff>171821</xdr:rowOff>
    </xdr:to>
    <xdr:cxnSp macro="">
      <xdr:nvCxnSpPr>
        <xdr:cNvPr id="41" name="直線コネクタ 40">
          <a:extLst>
            <a:ext uri="{FF2B5EF4-FFF2-40B4-BE49-F238E27FC236}">
              <a16:creationId xmlns:a16="http://schemas.microsoft.com/office/drawing/2014/main" id="{538E5655-B4A4-4085-B070-8CC4DF68A9F7}"/>
            </a:ext>
          </a:extLst>
        </xdr:cNvPr>
        <xdr:cNvCxnSpPr/>
      </xdr:nvCxnSpPr>
      <xdr:spPr>
        <a:xfrm flipH="1">
          <a:off x="3300458" y="3887932"/>
          <a:ext cx="630769" cy="3370489"/>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442958</xdr:colOff>
      <xdr:row>28</xdr:row>
      <xdr:rowOff>133721</xdr:rowOff>
    </xdr:from>
    <xdr:to>
      <xdr:col>5</xdr:col>
      <xdr:colOff>519158</xdr:colOff>
      <xdr:row>29</xdr:row>
      <xdr:rowOff>38471</xdr:rowOff>
    </xdr:to>
    <xdr:sp macro="" textlink="">
      <xdr:nvSpPr>
        <xdr:cNvPr id="42" name="矢印: 右 41">
          <a:extLst>
            <a:ext uri="{FF2B5EF4-FFF2-40B4-BE49-F238E27FC236}">
              <a16:creationId xmlns:a16="http://schemas.microsoft.com/office/drawing/2014/main" id="{4C8300BA-B0B1-456D-BEE7-12DF91242984}"/>
            </a:ext>
          </a:extLst>
        </xdr:cNvPr>
        <xdr:cNvSpPr/>
      </xdr:nvSpPr>
      <xdr:spPr>
        <a:xfrm rot="16860000">
          <a:off x="3224258" y="7258421"/>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94722</xdr:colOff>
      <xdr:row>28</xdr:row>
      <xdr:rowOff>229752</xdr:rowOff>
    </xdr:from>
    <xdr:to>
      <xdr:col>5</xdr:col>
      <xdr:colOff>535868</xdr:colOff>
      <xdr:row>30</xdr:row>
      <xdr:rowOff>88956</xdr:rowOff>
    </xdr:to>
    <xdr:sp macro="" textlink="">
      <xdr:nvSpPr>
        <xdr:cNvPr id="43" name="テキスト ボックス 42">
          <a:extLst>
            <a:ext uri="{FF2B5EF4-FFF2-40B4-BE49-F238E27FC236}">
              <a16:creationId xmlns:a16="http://schemas.microsoft.com/office/drawing/2014/main" id="{C3FB7B33-99B9-434F-BE11-AC41087715AC}"/>
            </a:ext>
          </a:extLst>
        </xdr:cNvPr>
        <xdr:cNvSpPr txBox="1"/>
      </xdr:nvSpPr>
      <xdr:spPr>
        <a:xfrm>
          <a:off x="2914122" y="7316352"/>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12</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6</xdr:col>
      <xdr:colOff>177092</xdr:colOff>
      <xdr:row>23</xdr:row>
      <xdr:rowOff>82302</xdr:rowOff>
    </xdr:from>
    <xdr:to>
      <xdr:col>7</xdr:col>
      <xdr:colOff>6928</xdr:colOff>
      <xdr:row>23</xdr:row>
      <xdr:rowOff>117767</xdr:rowOff>
    </xdr:to>
    <xdr:sp macro="" textlink="">
      <xdr:nvSpPr>
        <xdr:cNvPr id="44" name="フリーフォーム: 図形 43">
          <a:extLst>
            <a:ext uri="{FF2B5EF4-FFF2-40B4-BE49-F238E27FC236}">
              <a16:creationId xmlns:a16="http://schemas.microsoft.com/office/drawing/2014/main" id="{7D102A0E-10FB-45C1-821D-84534296974C}"/>
            </a:ext>
          </a:extLst>
        </xdr:cNvPr>
        <xdr:cNvSpPr/>
      </xdr:nvSpPr>
      <xdr:spPr>
        <a:xfrm>
          <a:off x="3548942" y="5930652"/>
          <a:ext cx="382286" cy="35465"/>
        </a:xfrm>
        <a:custGeom>
          <a:avLst/>
          <a:gdLst/>
          <a:ahLst/>
          <a:cxnLst/>
          <a:rect l="0" t="0" r="0" b="0"/>
          <a:pathLst>
            <a:path w="382286" h="35465">
              <a:moveTo>
                <a:pt x="0" y="0"/>
              </a:moveTo>
              <a:cubicBezTo>
                <a:pt x="179490" y="25545"/>
                <a:pt x="179490" y="25545"/>
                <a:pt x="179490" y="25545"/>
              </a:cubicBezTo>
              <a:cubicBezTo>
                <a:pt x="360522" y="35350"/>
                <a:pt x="360522" y="35350"/>
                <a:pt x="360522" y="35350"/>
              </a:cubicBezTo>
              <a:cubicBezTo>
                <a:pt x="382285" y="35464"/>
                <a:pt x="382285" y="35464"/>
                <a:pt x="382285" y="35464"/>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244143</xdr:colOff>
      <xdr:row>22</xdr:row>
      <xdr:rowOff>102380</xdr:rowOff>
    </xdr:from>
    <xdr:to>
      <xdr:col>6</xdr:col>
      <xdr:colOff>501530</xdr:colOff>
      <xdr:row>23</xdr:row>
      <xdr:rowOff>161609</xdr:rowOff>
    </xdr:to>
    <xdr:sp macro="" textlink="">
      <xdr:nvSpPr>
        <xdr:cNvPr id="45" name="テキスト ボックス 44">
          <a:extLst>
            <a:ext uri="{FF2B5EF4-FFF2-40B4-BE49-F238E27FC236}">
              <a16:creationId xmlns:a16="http://schemas.microsoft.com/office/drawing/2014/main" id="{70FCF9A6-5B3B-4FAA-B861-D2C3CF3E4441}"/>
            </a:ext>
          </a:extLst>
        </xdr:cNvPr>
        <xdr:cNvSpPr txBox="1"/>
      </xdr:nvSpPr>
      <xdr:spPr>
        <a:xfrm>
          <a:off x="3063543" y="5703080"/>
          <a:ext cx="80983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γ=10.6[°]</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7</xdr:col>
      <xdr:colOff>6927</xdr:colOff>
      <xdr:row>15</xdr:row>
      <xdr:rowOff>20782</xdr:rowOff>
    </xdr:from>
    <xdr:to>
      <xdr:col>12</xdr:col>
      <xdr:colOff>537528</xdr:colOff>
      <xdr:row>18</xdr:row>
      <xdr:rowOff>234493</xdr:rowOff>
    </xdr:to>
    <xdr:cxnSp macro="">
      <xdr:nvCxnSpPr>
        <xdr:cNvPr id="46" name="直線コネクタ 45">
          <a:extLst>
            <a:ext uri="{FF2B5EF4-FFF2-40B4-BE49-F238E27FC236}">
              <a16:creationId xmlns:a16="http://schemas.microsoft.com/office/drawing/2014/main" id="{DF97B5C1-816E-47FA-9BA6-22E55A249CE2}"/>
            </a:ext>
          </a:extLst>
        </xdr:cNvPr>
        <xdr:cNvCxnSpPr/>
      </xdr:nvCxnSpPr>
      <xdr:spPr>
        <a:xfrm>
          <a:off x="3931227" y="3887932"/>
          <a:ext cx="3292851" cy="956661"/>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461328</xdr:colOff>
      <xdr:row>18</xdr:row>
      <xdr:rowOff>234493</xdr:rowOff>
    </xdr:from>
    <xdr:to>
      <xdr:col>13</xdr:col>
      <xdr:colOff>61278</xdr:colOff>
      <xdr:row>19</xdr:row>
      <xdr:rowOff>63043</xdr:rowOff>
    </xdr:to>
    <xdr:sp macro="" textlink="">
      <xdr:nvSpPr>
        <xdr:cNvPr id="47" name="矢印: 右 46">
          <a:extLst>
            <a:ext uri="{FF2B5EF4-FFF2-40B4-BE49-F238E27FC236}">
              <a16:creationId xmlns:a16="http://schemas.microsoft.com/office/drawing/2014/main" id="{302622FA-F460-4192-BBAD-D8C9846DED28}"/>
            </a:ext>
          </a:extLst>
        </xdr:cNvPr>
        <xdr:cNvSpPr/>
      </xdr:nvSpPr>
      <xdr:spPr>
        <a:xfrm rot="11760000">
          <a:off x="7147878" y="4844593"/>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29844</xdr:colOff>
      <xdr:row>18</xdr:row>
      <xdr:rowOff>68922</xdr:rowOff>
    </xdr:from>
    <xdr:to>
      <xdr:col>13</xdr:col>
      <xdr:colOff>406870</xdr:colOff>
      <xdr:row>19</xdr:row>
      <xdr:rowOff>128151</xdr:rowOff>
    </xdr:to>
    <xdr:sp macro="" textlink="">
      <xdr:nvSpPr>
        <xdr:cNvPr id="48" name="テキスト ボックス 47">
          <a:extLst>
            <a:ext uri="{FF2B5EF4-FFF2-40B4-BE49-F238E27FC236}">
              <a16:creationId xmlns:a16="http://schemas.microsoft.com/office/drawing/2014/main" id="{A2F4C73C-CF23-437C-A65C-ED67B4F0985E}"/>
            </a:ext>
          </a:extLst>
        </xdr:cNvPr>
        <xdr:cNvSpPr txBox="1"/>
      </xdr:nvSpPr>
      <xdr:spPr>
        <a:xfrm>
          <a:off x="7268844" y="4679022"/>
          <a:ext cx="37702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9</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7</xdr:col>
      <xdr:colOff>6927</xdr:colOff>
      <xdr:row>17</xdr:row>
      <xdr:rowOff>163256</xdr:rowOff>
    </xdr:from>
    <xdr:to>
      <xdr:col>10</xdr:col>
      <xdr:colOff>544812</xdr:colOff>
      <xdr:row>24</xdr:row>
      <xdr:rowOff>77935</xdr:rowOff>
    </xdr:to>
    <xdr:sp macro="" textlink="">
      <xdr:nvSpPr>
        <xdr:cNvPr id="49" name="フリーフォーム: 図形 48">
          <a:extLst>
            <a:ext uri="{FF2B5EF4-FFF2-40B4-BE49-F238E27FC236}">
              <a16:creationId xmlns:a16="http://schemas.microsoft.com/office/drawing/2014/main" id="{78E448F1-9DC6-4CF3-9578-D5D14A720528}"/>
            </a:ext>
          </a:extLst>
        </xdr:cNvPr>
        <xdr:cNvSpPr/>
      </xdr:nvSpPr>
      <xdr:spPr>
        <a:xfrm>
          <a:off x="3931227" y="4525706"/>
          <a:ext cx="2195235" cy="1648229"/>
        </a:xfrm>
        <a:custGeom>
          <a:avLst/>
          <a:gdLst/>
          <a:ahLst/>
          <a:cxnLst/>
          <a:rect l="0" t="0" r="0" b="0"/>
          <a:pathLst>
            <a:path w="2195235" h="1648229">
              <a:moveTo>
                <a:pt x="0" y="1648228"/>
              </a:moveTo>
              <a:cubicBezTo>
                <a:pt x="199239" y="1639529"/>
                <a:pt x="199239" y="1639529"/>
                <a:pt x="199239" y="1639529"/>
              </a:cubicBezTo>
              <a:cubicBezTo>
                <a:pt x="396960" y="1613498"/>
                <a:pt x="396960" y="1613498"/>
                <a:pt x="396960" y="1613498"/>
              </a:cubicBezTo>
              <a:cubicBezTo>
                <a:pt x="591661" y="1570334"/>
                <a:pt x="591661" y="1570334"/>
                <a:pt x="591661" y="1570334"/>
              </a:cubicBezTo>
              <a:cubicBezTo>
                <a:pt x="781859" y="1510365"/>
                <a:pt x="781859" y="1510365"/>
                <a:pt x="781859" y="1510365"/>
              </a:cubicBezTo>
              <a:cubicBezTo>
                <a:pt x="966107" y="1434048"/>
                <a:pt x="966107" y="1434048"/>
                <a:pt x="966107" y="1434048"/>
              </a:cubicBezTo>
              <a:cubicBezTo>
                <a:pt x="1143001" y="1341962"/>
                <a:pt x="1143001" y="1341962"/>
                <a:pt x="1143001" y="1341962"/>
              </a:cubicBezTo>
              <a:cubicBezTo>
                <a:pt x="1311197" y="1234809"/>
                <a:pt x="1311197" y="1234809"/>
                <a:pt x="1311197" y="1234809"/>
              </a:cubicBezTo>
              <a:cubicBezTo>
                <a:pt x="1469414" y="1113405"/>
                <a:pt x="1469414" y="1113405"/>
                <a:pt x="1469414" y="1113405"/>
              </a:cubicBezTo>
              <a:cubicBezTo>
                <a:pt x="1616448" y="978674"/>
                <a:pt x="1616448" y="978674"/>
                <a:pt x="1616448" y="978674"/>
              </a:cubicBezTo>
              <a:cubicBezTo>
                <a:pt x="1751179" y="831640"/>
                <a:pt x="1751179" y="831640"/>
                <a:pt x="1751179" y="831640"/>
              </a:cubicBezTo>
              <a:cubicBezTo>
                <a:pt x="1872583" y="673423"/>
                <a:pt x="1872583" y="673423"/>
                <a:pt x="1872583" y="673423"/>
              </a:cubicBezTo>
              <a:cubicBezTo>
                <a:pt x="1979736" y="505228"/>
                <a:pt x="1979736" y="505228"/>
                <a:pt x="1979736" y="505228"/>
              </a:cubicBezTo>
              <a:cubicBezTo>
                <a:pt x="2071822" y="328333"/>
                <a:pt x="2071822" y="328333"/>
                <a:pt x="2071822" y="328333"/>
              </a:cubicBezTo>
              <a:cubicBezTo>
                <a:pt x="2148140" y="144085"/>
                <a:pt x="2148140" y="144085"/>
                <a:pt x="2148140" y="144085"/>
              </a:cubicBezTo>
              <a:cubicBezTo>
                <a:pt x="2195234" y="0"/>
                <a:pt x="2195234" y="0"/>
                <a:pt x="2195234" y="0"/>
              </a:cubicBezTo>
            </a:path>
          </a:pathLst>
        </a:custGeom>
        <a:ln>
          <a:headEnd type="oval" w="sm" len="sm"/>
          <a:tailEnd type="arrow"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97650</xdr:colOff>
      <xdr:row>21</xdr:row>
      <xdr:rowOff>108812</xdr:rowOff>
    </xdr:from>
    <xdr:to>
      <xdr:col>9</xdr:col>
      <xdr:colOff>419157</xdr:colOff>
      <xdr:row>22</xdr:row>
      <xdr:rowOff>168041</xdr:rowOff>
    </xdr:to>
    <xdr:sp macro="" textlink="">
      <xdr:nvSpPr>
        <xdr:cNvPr id="50" name="テキスト ボックス 49">
          <a:extLst>
            <a:ext uri="{FF2B5EF4-FFF2-40B4-BE49-F238E27FC236}">
              <a16:creationId xmlns:a16="http://schemas.microsoft.com/office/drawing/2014/main" id="{359D4D20-ABDA-4133-8034-2703EF375F08}"/>
            </a:ext>
          </a:extLst>
        </xdr:cNvPr>
        <xdr:cNvSpPr txBox="1"/>
      </xdr:nvSpPr>
      <xdr:spPr>
        <a:xfrm>
          <a:off x="4574400" y="5461862"/>
          <a:ext cx="87395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γ=-73.8[°]</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xdr:col>
      <xdr:colOff>177026</xdr:colOff>
      <xdr:row>15</xdr:row>
      <xdr:rowOff>20782</xdr:rowOff>
    </xdr:from>
    <xdr:to>
      <xdr:col>7</xdr:col>
      <xdr:colOff>6927</xdr:colOff>
      <xdr:row>20</xdr:row>
      <xdr:rowOff>149844</xdr:rowOff>
    </xdr:to>
    <xdr:cxnSp macro="">
      <xdr:nvCxnSpPr>
        <xdr:cNvPr id="51" name="直線コネクタ 50">
          <a:extLst>
            <a:ext uri="{FF2B5EF4-FFF2-40B4-BE49-F238E27FC236}">
              <a16:creationId xmlns:a16="http://schemas.microsoft.com/office/drawing/2014/main" id="{9561DF8C-153D-4D0A-8F3A-1140BACAC036}"/>
            </a:ext>
          </a:extLst>
        </xdr:cNvPr>
        <xdr:cNvCxnSpPr/>
      </xdr:nvCxnSpPr>
      <xdr:spPr>
        <a:xfrm flipH="1">
          <a:off x="786626" y="3887932"/>
          <a:ext cx="3144601" cy="1367312"/>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100826</xdr:colOff>
      <xdr:row>20</xdr:row>
      <xdr:rowOff>149844</xdr:rowOff>
    </xdr:from>
    <xdr:to>
      <xdr:col>1</xdr:col>
      <xdr:colOff>253226</xdr:colOff>
      <xdr:row>20</xdr:row>
      <xdr:rowOff>226044</xdr:rowOff>
    </xdr:to>
    <xdr:sp macro="" textlink="">
      <xdr:nvSpPr>
        <xdr:cNvPr id="52" name="矢印: 右 51">
          <a:extLst>
            <a:ext uri="{FF2B5EF4-FFF2-40B4-BE49-F238E27FC236}">
              <a16:creationId xmlns:a16="http://schemas.microsoft.com/office/drawing/2014/main" id="{C986E6E0-5CA3-4917-B058-9F525D8A5D54}"/>
            </a:ext>
          </a:extLst>
        </xdr:cNvPr>
        <xdr:cNvSpPr/>
      </xdr:nvSpPr>
      <xdr:spPr>
        <a:xfrm rot="20160000">
          <a:off x="710426" y="5255244"/>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167527</xdr:colOff>
      <xdr:row>20</xdr:row>
      <xdr:rowOff>22295</xdr:rowOff>
    </xdr:from>
    <xdr:to>
      <xdr:col>0</xdr:col>
      <xdr:colOff>608673</xdr:colOff>
      <xdr:row>21</xdr:row>
      <xdr:rowOff>81524</xdr:rowOff>
    </xdr:to>
    <xdr:sp macro="" textlink="">
      <xdr:nvSpPr>
        <xdr:cNvPr id="53" name="テキスト ボックス 52">
          <a:extLst>
            <a:ext uri="{FF2B5EF4-FFF2-40B4-BE49-F238E27FC236}">
              <a16:creationId xmlns:a16="http://schemas.microsoft.com/office/drawing/2014/main" id="{003D7AAC-D8BA-4DCF-B593-84C542FB1BF6}"/>
            </a:ext>
          </a:extLst>
        </xdr:cNvPr>
        <xdr:cNvSpPr txBox="1"/>
      </xdr:nvSpPr>
      <xdr:spPr>
        <a:xfrm>
          <a:off x="167527" y="5127695"/>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14</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2</xdr:col>
      <xdr:colOff>482194</xdr:colOff>
      <xdr:row>19</xdr:row>
      <xdr:rowOff>24590</xdr:rowOff>
    </xdr:from>
    <xdr:to>
      <xdr:col>7</xdr:col>
      <xdr:colOff>6928</xdr:colOff>
      <xdr:row>25</xdr:row>
      <xdr:rowOff>38103</xdr:rowOff>
    </xdr:to>
    <xdr:sp macro="" textlink="">
      <xdr:nvSpPr>
        <xdr:cNvPr id="54" name="フリーフォーム: 図形 53">
          <a:extLst>
            <a:ext uri="{FF2B5EF4-FFF2-40B4-BE49-F238E27FC236}">
              <a16:creationId xmlns:a16="http://schemas.microsoft.com/office/drawing/2014/main" id="{62BCB2ED-E89B-4D5C-BCFD-733D2ED4BE99}"/>
            </a:ext>
          </a:extLst>
        </xdr:cNvPr>
        <xdr:cNvSpPr/>
      </xdr:nvSpPr>
      <xdr:spPr>
        <a:xfrm>
          <a:off x="1644244" y="4882340"/>
          <a:ext cx="2286984" cy="1499413"/>
        </a:xfrm>
        <a:custGeom>
          <a:avLst/>
          <a:gdLst/>
          <a:ahLst/>
          <a:cxnLst/>
          <a:rect l="0" t="0" r="0" b="0"/>
          <a:pathLst>
            <a:path w="2286984" h="1499413">
              <a:moveTo>
                <a:pt x="0" y="0"/>
              </a:moveTo>
              <a:cubicBezTo>
                <a:pt x="95372" y="195540"/>
                <a:pt x="95372" y="195540"/>
                <a:pt x="95372" y="195540"/>
              </a:cubicBezTo>
              <a:cubicBezTo>
                <a:pt x="207422" y="382024"/>
                <a:pt x="207422" y="382024"/>
                <a:pt x="207422" y="382024"/>
              </a:cubicBezTo>
              <a:cubicBezTo>
                <a:pt x="335299" y="558031"/>
                <a:pt x="335299" y="558031"/>
                <a:pt x="335299" y="558031"/>
              </a:cubicBezTo>
              <a:cubicBezTo>
                <a:pt x="478030" y="722224"/>
                <a:pt x="478030" y="722224"/>
                <a:pt x="478030" y="722224"/>
              </a:cubicBezTo>
              <a:cubicBezTo>
                <a:pt x="634528" y="873353"/>
                <a:pt x="634528" y="873353"/>
                <a:pt x="634528" y="873353"/>
              </a:cubicBezTo>
              <a:cubicBezTo>
                <a:pt x="803602" y="1010266"/>
                <a:pt x="803602" y="1010266"/>
                <a:pt x="803602" y="1010266"/>
              </a:cubicBezTo>
              <a:cubicBezTo>
                <a:pt x="983966" y="1131923"/>
                <a:pt x="983966" y="1131923"/>
                <a:pt x="983966" y="1131923"/>
              </a:cubicBezTo>
              <a:cubicBezTo>
                <a:pt x="1174246" y="1237397"/>
                <a:pt x="1174246" y="1237397"/>
                <a:pt x="1174246" y="1237397"/>
              </a:cubicBezTo>
              <a:cubicBezTo>
                <a:pt x="1372995" y="1325886"/>
                <a:pt x="1372995" y="1325886"/>
                <a:pt x="1372995" y="1325886"/>
              </a:cubicBezTo>
              <a:cubicBezTo>
                <a:pt x="1578700" y="1396716"/>
                <a:pt x="1578700" y="1396716"/>
                <a:pt x="1578700" y="1396716"/>
              </a:cubicBezTo>
              <a:cubicBezTo>
                <a:pt x="1789795" y="1449348"/>
                <a:pt x="1789795" y="1449348"/>
                <a:pt x="1789795" y="1449348"/>
              </a:cubicBezTo>
              <a:cubicBezTo>
                <a:pt x="2004674" y="1483382"/>
                <a:pt x="2004674" y="1483382"/>
                <a:pt x="2004674" y="1483382"/>
              </a:cubicBezTo>
              <a:cubicBezTo>
                <a:pt x="2221702" y="1498558"/>
                <a:pt x="2221702" y="1498558"/>
                <a:pt x="2221702" y="1498558"/>
              </a:cubicBezTo>
              <a:cubicBezTo>
                <a:pt x="2286983" y="1499412"/>
                <a:pt x="2286983" y="1499412"/>
                <a:pt x="2286983" y="1499412"/>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173662</xdr:colOff>
      <xdr:row>22</xdr:row>
      <xdr:rowOff>118629</xdr:rowOff>
    </xdr:from>
    <xdr:to>
      <xdr:col>4</xdr:col>
      <xdr:colOff>431049</xdr:colOff>
      <xdr:row>23</xdr:row>
      <xdr:rowOff>177858</xdr:rowOff>
    </xdr:to>
    <xdr:sp macro="" textlink="">
      <xdr:nvSpPr>
        <xdr:cNvPr id="55" name="テキスト ボックス 54">
          <a:extLst>
            <a:ext uri="{FF2B5EF4-FFF2-40B4-BE49-F238E27FC236}">
              <a16:creationId xmlns:a16="http://schemas.microsoft.com/office/drawing/2014/main" id="{975CBE38-25B4-4103-9688-298D422B2F4E}"/>
            </a:ext>
          </a:extLst>
        </xdr:cNvPr>
        <xdr:cNvSpPr txBox="1"/>
      </xdr:nvSpPr>
      <xdr:spPr>
        <a:xfrm>
          <a:off x="1888162" y="5719329"/>
          <a:ext cx="80983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γ=66.5[°]</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0</xdr:col>
      <xdr:colOff>502308</xdr:colOff>
      <xdr:row>15</xdr:row>
      <xdr:rowOff>20782</xdr:rowOff>
    </xdr:from>
    <xdr:to>
      <xdr:col>7</xdr:col>
      <xdr:colOff>6927</xdr:colOff>
      <xdr:row>15</xdr:row>
      <xdr:rowOff>44721</xdr:rowOff>
    </xdr:to>
    <xdr:cxnSp macro="">
      <xdr:nvCxnSpPr>
        <xdr:cNvPr id="56" name="直線コネクタ 55">
          <a:extLst>
            <a:ext uri="{FF2B5EF4-FFF2-40B4-BE49-F238E27FC236}">
              <a16:creationId xmlns:a16="http://schemas.microsoft.com/office/drawing/2014/main" id="{40659AD4-D359-493D-862C-0EA32142DE3F}"/>
            </a:ext>
          </a:extLst>
        </xdr:cNvPr>
        <xdr:cNvCxnSpPr/>
      </xdr:nvCxnSpPr>
      <xdr:spPr>
        <a:xfrm flipH="1">
          <a:off x="502308" y="3887932"/>
          <a:ext cx="3428919" cy="23939"/>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426108</xdr:colOff>
      <xdr:row>15</xdr:row>
      <xdr:rowOff>44721</xdr:rowOff>
    </xdr:from>
    <xdr:to>
      <xdr:col>0</xdr:col>
      <xdr:colOff>578508</xdr:colOff>
      <xdr:row>15</xdr:row>
      <xdr:rowOff>120921</xdr:rowOff>
    </xdr:to>
    <xdr:sp macro="" textlink="">
      <xdr:nvSpPr>
        <xdr:cNvPr id="57" name="矢印: 右 56">
          <a:extLst>
            <a:ext uri="{FF2B5EF4-FFF2-40B4-BE49-F238E27FC236}">
              <a16:creationId xmlns:a16="http://schemas.microsoft.com/office/drawing/2014/main" id="{5761419E-FCE7-45A1-8069-4DA94DB27F24}"/>
            </a:ext>
          </a:extLst>
        </xdr:cNvPr>
        <xdr:cNvSpPr/>
      </xdr:nvSpPr>
      <xdr:spPr>
        <a:xfrm>
          <a:off x="426108" y="3911871"/>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13786</xdr:colOff>
      <xdr:row>14</xdr:row>
      <xdr:rowOff>40436</xdr:rowOff>
    </xdr:from>
    <xdr:to>
      <xdr:col>0</xdr:col>
      <xdr:colOff>454932</xdr:colOff>
      <xdr:row>15</xdr:row>
      <xdr:rowOff>99665</xdr:rowOff>
    </xdr:to>
    <xdr:sp macro="" textlink="">
      <xdr:nvSpPr>
        <xdr:cNvPr id="58" name="テキスト ボックス 57">
          <a:extLst>
            <a:ext uri="{FF2B5EF4-FFF2-40B4-BE49-F238E27FC236}">
              <a16:creationId xmlns:a16="http://schemas.microsoft.com/office/drawing/2014/main" id="{73F04BF1-1FDE-4866-BEE3-81398EA895ED}"/>
            </a:ext>
          </a:extLst>
        </xdr:cNvPr>
        <xdr:cNvSpPr txBox="1"/>
      </xdr:nvSpPr>
      <xdr:spPr>
        <a:xfrm>
          <a:off x="13786" y="3659936"/>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16</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2</xdr:col>
      <xdr:colOff>67604</xdr:colOff>
      <xdr:row>15</xdr:row>
      <xdr:rowOff>39643</xdr:rowOff>
    </xdr:from>
    <xdr:to>
      <xdr:col>7</xdr:col>
      <xdr:colOff>6928</xdr:colOff>
      <xdr:row>25</xdr:row>
      <xdr:rowOff>245922</xdr:rowOff>
    </xdr:to>
    <xdr:sp macro="" textlink="">
      <xdr:nvSpPr>
        <xdr:cNvPr id="59" name="フリーフォーム: 図形 58">
          <a:extLst>
            <a:ext uri="{FF2B5EF4-FFF2-40B4-BE49-F238E27FC236}">
              <a16:creationId xmlns:a16="http://schemas.microsoft.com/office/drawing/2014/main" id="{DD9ECAE5-9549-406F-AEA6-FE8E7814280D}"/>
            </a:ext>
          </a:extLst>
        </xdr:cNvPr>
        <xdr:cNvSpPr/>
      </xdr:nvSpPr>
      <xdr:spPr>
        <a:xfrm>
          <a:off x="1229654" y="3906793"/>
          <a:ext cx="2701574" cy="2682779"/>
        </a:xfrm>
        <a:custGeom>
          <a:avLst/>
          <a:gdLst/>
          <a:ahLst/>
          <a:cxnLst/>
          <a:rect l="0" t="0" r="0" b="0"/>
          <a:pathLst>
            <a:path w="2701574" h="2682779">
              <a:moveTo>
                <a:pt x="0" y="0"/>
              </a:moveTo>
              <a:cubicBezTo>
                <a:pt x="11925" y="235386"/>
                <a:pt x="11925" y="235386"/>
                <a:pt x="11925" y="235386"/>
              </a:cubicBezTo>
              <a:cubicBezTo>
                <a:pt x="44319" y="468836"/>
                <a:pt x="44319" y="468836"/>
                <a:pt x="44319" y="468836"/>
              </a:cubicBezTo>
              <a:cubicBezTo>
                <a:pt x="96936" y="698576"/>
                <a:pt x="96936" y="698576"/>
                <a:pt x="96936" y="698576"/>
              </a:cubicBezTo>
              <a:cubicBezTo>
                <a:pt x="169376" y="922854"/>
                <a:pt x="169376" y="922854"/>
                <a:pt x="169376" y="922854"/>
              </a:cubicBezTo>
              <a:cubicBezTo>
                <a:pt x="261088" y="1139966"/>
                <a:pt x="261088" y="1139966"/>
                <a:pt x="261088" y="1139966"/>
              </a:cubicBezTo>
              <a:cubicBezTo>
                <a:pt x="371373" y="1348259"/>
                <a:pt x="371373" y="1348259"/>
                <a:pt x="371373" y="1348259"/>
              </a:cubicBezTo>
              <a:cubicBezTo>
                <a:pt x="499392" y="1546147"/>
                <a:pt x="499392" y="1546147"/>
                <a:pt x="499392" y="1546147"/>
              </a:cubicBezTo>
              <a:cubicBezTo>
                <a:pt x="644172" y="1732124"/>
                <a:pt x="644172" y="1732124"/>
                <a:pt x="644172" y="1732124"/>
              </a:cubicBezTo>
              <a:cubicBezTo>
                <a:pt x="804609" y="1904776"/>
                <a:pt x="804609" y="1904776"/>
                <a:pt x="804609" y="1904776"/>
              </a:cubicBezTo>
              <a:cubicBezTo>
                <a:pt x="979484" y="2062787"/>
                <a:pt x="979484" y="2062787"/>
                <a:pt x="979484" y="2062787"/>
              </a:cubicBezTo>
              <a:cubicBezTo>
                <a:pt x="1167464" y="2204956"/>
                <a:pt x="1167464" y="2204956"/>
                <a:pt x="1167464" y="2204956"/>
              </a:cubicBezTo>
              <a:cubicBezTo>
                <a:pt x="1367120" y="2330200"/>
                <a:pt x="1367120" y="2330200"/>
                <a:pt x="1367120" y="2330200"/>
              </a:cubicBezTo>
              <a:cubicBezTo>
                <a:pt x="1576932" y="2437566"/>
                <a:pt x="1576932" y="2437566"/>
                <a:pt x="1576932" y="2437566"/>
              </a:cubicBezTo>
              <a:cubicBezTo>
                <a:pt x="1795304" y="2526238"/>
                <a:pt x="1795304" y="2526238"/>
                <a:pt x="1795304" y="2526238"/>
              </a:cubicBezTo>
              <a:cubicBezTo>
                <a:pt x="2020572" y="2595540"/>
                <a:pt x="2020572" y="2595540"/>
                <a:pt x="2020572" y="2595540"/>
              </a:cubicBezTo>
              <a:cubicBezTo>
                <a:pt x="2251023" y="2644944"/>
                <a:pt x="2251023" y="2644944"/>
                <a:pt x="2251023" y="2644944"/>
              </a:cubicBezTo>
              <a:cubicBezTo>
                <a:pt x="2484904" y="2674075"/>
                <a:pt x="2484904" y="2674075"/>
                <a:pt x="2484904" y="2674075"/>
              </a:cubicBezTo>
              <a:cubicBezTo>
                <a:pt x="2701573" y="2682778"/>
                <a:pt x="2701573" y="2682778"/>
                <a:pt x="2701573" y="2682778"/>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189790</xdr:colOff>
      <xdr:row>21</xdr:row>
      <xdr:rowOff>197735</xdr:rowOff>
    </xdr:from>
    <xdr:to>
      <xdr:col>3</xdr:col>
      <xdr:colOff>447177</xdr:colOff>
      <xdr:row>23</xdr:row>
      <xdr:rowOff>9314</xdr:rowOff>
    </xdr:to>
    <xdr:sp macro="" textlink="">
      <xdr:nvSpPr>
        <xdr:cNvPr id="60" name="テキスト ボックス 59">
          <a:extLst>
            <a:ext uri="{FF2B5EF4-FFF2-40B4-BE49-F238E27FC236}">
              <a16:creationId xmlns:a16="http://schemas.microsoft.com/office/drawing/2014/main" id="{1993D7CA-29CB-4D75-98BA-D221BC2DC608}"/>
            </a:ext>
          </a:extLst>
        </xdr:cNvPr>
        <xdr:cNvSpPr txBox="1"/>
      </xdr:nvSpPr>
      <xdr:spPr>
        <a:xfrm>
          <a:off x="1351840" y="5550785"/>
          <a:ext cx="80983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γ=89.6[°]</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20</xdr:col>
      <xdr:colOff>218842</xdr:colOff>
      <xdr:row>19</xdr:row>
      <xdr:rowOff>85852</xdr:rowOff>
    </xdr:from>
    <xdr:to>
      <xdr:col>20</xdr:col>
      <xdr:colOff>507277</xdr:colOff>
      <xdr:row>19</xdr:row>
      <xdr:rowOff>123826</xdr:rowOff>
    </xdr:to>
    <xdr:sp macro="" textlink="">
      <xdr:nvSpPr>
        <xdr:cNvPr id="61" name="フリーフォーム: 図形 60">
          <a:extLst>
            <a:ext uri="{FF2B5EF4-FFF2-40B4-BE49-F238E27FC236}">
              <a16:creationId xmlns:a16="http://schemas.microsoft.com/office/drawing/2014/main" id="{FB5C731D-B658-43F3-89AE-6648DD2ACD5D}"/>
            </a:ext>
          </a:extLst>
        </xdr:cNvPr>
        <xdr:cNvSpPr/>
      </xdr:nvSpPr>
      <xdr:spPr>
        <a:xfrm>
          <a:off x="11439292" y="4943602"/>
          <a:ext cx="288435" cy="37974"/>
        </a:xfrm>
        <a:custGeom>
          <a:avLst/>
          <a:gdLst/>
          <a:ahLst/>
          <a:cxnLst/>
          <a:rect l="0" t="0" r="0" b="0"/>
          <a:pathLst>
            <a:path w="288435" h="37974">
              <a:moveTo>
                <a:pt x="0" y="0"/>
              </a:moveTo>
              <a:cubicBezTo>
                <a:pt x="94916" y="21042"/>
                <a:pt x="94916" y="21042"/>
                <a:pt x="94916" y="21042"/>
              </a:cubicBezTo>
              <a:cubicBezTo>
                <a:pt x="191306" y="33732"/>
                <a:pt x="191306" y="33732"/>
                <a:pt x="191306" y="33732"/>
              </a:cubicBezTo>
              <a:cubicBezTo>
                <a:pt x="288434" y="37973"/>
                <a:pt x="288434" y="37973"/>
                <a:pt x="288434" y="37973"/>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345208</xdr:colOff>
      <xdr:row>17</xdr:row>
      <xdr:rowOff>229526</xdr:rowOff>
    </xdr:from>
    <xdr:to>
      <xdr:col>20</xdr:col>
      <xdr:colOff>512442</xdr:colOff>
      <xdr:row>19</xdr:row>
      <xdr:rowOff>41105</xdr:rowOff>
    </xdr:to>
    <xdr:sp macro="" textlink="">
      <xdr:nvSpPr>
        <xdr:cNvPr id="62" name="テキスト ボックス 61">
          <a:extLst>
            <a:ext uri="{FF2B5EF4-FFF2-40B4-BE49-F238E27FC236}">
              <a16:creationId xmlns:a16="http://schemas.microsoft.com/office/drawing/2014/main" id="{C8C6E805-07F7-4BEA-9A11-731F282E254B}"/>
            </a:ext>
          </a:extLst>
        </xdr:cNvPr>
        <xdr:cNvSpPr txBox="1"/>
      </xdr:nvSpPr>
      <xdr:spPr>
        <a:xfrm>
          <a:off x="11013208" y="4591976"/>
          <a:ext cx="71968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α=15[°]</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20</xdr:col>
      <xdr:colOff>507276</xdr:colOff>
      <xdr:row>16</xdr:row>
      <xdr:rowOff>72832</xdr:rowOff>
    </xdr:from>
    <xdr:to>
      <xdr:col>23</xdr:col>
      <xdr:colOff>45985</xdr:colOff>
      <xdr:row>20</xdr:row>
      <xdr:rowOff>1</xdr:rowOff>
    </xdr:to>
    <xdr:sp macro="" textlink="">
      <xdr:nvSpPr>
        <xdr:cNvPr id="63" name="フリーフォーム: 図形 62">
          <a:extLst>
            <a:ext uri="{FF2B5EF4-FFF2-40B4-BE49-F238E27FC236}">
              <a16:creationId xmlns:a16="http://schemas.microsoft.com/office/drawing/2014/main" id="{030115BC-0432-4CA0-BE65-FDADF0B73BA5}"/>
            </a:ext>
          </a:extLst>
        </xdr:cNvPr>
        <xdr:cNvSpPr/>
      </xdr:nvSpPr>
      <xdr:spPr>
        <a:xfrm>
          <a:off x="11727726" y="4187632"/>
          <a:ext cx="1196059" cy="917769"/>
        </a:xfrm>
        <a:custGeom>
          <a:avLst/>
          <a:gdLst/>
          <a:ahLst/>
          <a:cxnLst/>
          <a:rect l="0" t="0" r="0" b="0"/>
          <a:pathLst>
            <a:path w="1196059" h="917769">
              <a:moveTo>
                <a:pt x="0" y="917768"/>
              </a:moveTo>
              <a:cubicBezTo>
                <a:pt x="107921" y="913056"/>
                <a:pt x="107921" y="913056"/>
                <a:pt x="107921" y="913056"/>
              </a:cubicBezTo>
              <a:cubicBezTo>
                <a:pt x="215020" y="898956"/>
                <a:pt x="215020" y="898956"/>
                <a:pt x="215020" y="898956"/>
              </a:cubicBezTo>
              <a:cubicBezTo>
                <a:pt x="320483" y="875576"/>
                <a:pt x="320483" y="875576"/>
                <a:pt x="320483" y="875576"/>
              </a:cubicBezTo>
              <a:cubicBezTo>
                <a:pt x="423507" y="843092"/>
                <a:pt x="423507" y="843092"/>
                <a:pt x="423507" y="843092"/>
              </a:cubicBezTo>
              <a:cubicBezTo>
                <a:pt x="523307" y="801754"/>
                <a:pt x="523307" y="801754"/>
                <a:pt x="523307" y="801754"/>
              </a:cubicBezTo>
              <a:cubicBezTo>
                <a:pt x="619125" y="751874"/>
                <a:pt x="619125" y="751874"/>
                <a:pt x="619125" y="751874"/>
              </a:cubicBezTo>
              <a:cubicBezTo>
                <a:pt x="710231" y="693833"/>
                <a:pt x="710231" y="693833"/>
                <a:pt x="710231" y="693833"/>
              </a:cubicBezTo>
              <a:cubicBezTo>
                <a:pt x="795931" y="628073"/>
                <a:pt x="795931" y="628073"/>
                <a:pt x="795931" y="628073"/>
              </a:cubicBezTo>
              <a:cubicBezTo>
                <a:pt x="875574" y="555093"/>
                <a:pt x="875574" y="555093"/>
                <a:pt x="875574" y="555093"/>
              </a:cubicBezTo>
              <a:cubicBezTo>
                <a:pt x="948555" y="475450"/>
                <a:pt x="948555" y="475450"/>
                <a:pt x="948555" y="475450"/>
              </a:cubicBezTo>
              <a:cubicBezTo>
                <a:pt x="1014315" y="389749"/>
                <a:pt x="1014315" y="389749"/>
                <a:pt x="1014315" y="389749"/>
              </a:cubicBezTo>
              <a:cubicBezTo>
                <a:pt x="1072355" y="298643"/>
                <a:pt x="1072355" y="298643"/>
                <a:pt x="1072355" y="298643"/>
              </a:cubicBezTo>
              <a:cubicBezTo>
                <a:pt x="1122235" y="202825"/>
                <a:pt x="1122235" y="202825"/>
                <a:pt x="1122235" y="202825"/>
              </a:cubicBezTo>
              <a:cubicBezTo>
                <a:pt x="1163574" y="103025"/>
                <a:pt x="1163574" y="103025"/>
                <a:pt x="1163574" y="103025"/>
              </a:cubicBezTo>
              <a:cubicBezTo>
                <a:pt x="1196057" y="1"/>
                <a:pt x="1196057" y="1"/>
                <a:pt x="1196057" y="1"/>
              </a:cubicBezTo>
              <a:cubicBezTo>
                <a:pt x="1196058" y="0"/>
                <a:pt x="1196058" y="0"/>
                <a:pt x="1196058" y="0"/>
              </a:cubicBezTo>
            </a:path>
          </a:pathLst>
        </a:custGeom>
        <a:ln>
          <a:headEnd type="oval" w="sm" len="sm"/>
          <a:tailEnd type="arrow"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69326</xdr:colOff>
      <xdr:row>17</xdr:row>
      <xdr:rowOff>232918</xdr:rowOff>
    </xdr:from>
    <xdr:to>
      <xdr:col>22</xdr:col>
      <xdr:colOff>300680</xdr:colOff>
      <xdr:row>19</xdr:row>
      <xdr:rowOff>44497</xdr:rowOff>
    </xdr:to>
    <xdr:sp macro="" textlink="">
      <xdr:nvSpPr>
        <xdr:cNvPr id="64" name="テキスト ボックス 63">
          <a:extLst>
            <a:ext uri="{FF2B5EF4-FFF2-40B4-BE49-F238E27FC236}">
              <a16:creationId xmlns:a16="http://schemas.microsoft.com/office/drawing/2014/main" id="{C8F8C19D-D364-46E6-AD41-744FC3162945}"/>
            </a:ext>
          </a:extLst>
        </xdr:cNvPr>
        <xdr:cNvSpPr txBox="1"/>
      </xdr:nvSpPr>
      <xdr:spPr>
        <a:xfrm>
          <a:off x="11842226" y="4595368"/>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α=-75[°]</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18</xdr:col>
      <xdr:colOff>324396</xdr:colOff>
      <xdr:row>13</xdr:row>
      <xdr:rowOff>161998</xdr:rowOff>
    </xdr:from>
    <xdr:to>
      <xdr:col>20</xdr:col>
      <xdr:colOff>507277</xdr:colOff>
      <xdr:row>20</xdr:row>
      <xdr:rowOff>49531</xdr:rowOff>
    </xdr:to>
    <xdr:sp macro="" textlink="">
      <xdr:nvSpPr>
        <xdr:cNvPr id="65" name="フリーフォーム: 図形 64">
          <a:extLst>
            <a:ext uri="{FF2B5EF4-FFF2-40B4-BE49-F238E27FC236}">
              <a16:creationId xmlns:a16="http://schemas.microsoft.com/office/drawing/2014/main" id="{820CA258-70ED-42D0-B505-D754BB699D21}"/>
            </a:ext>
          </a:extLst>
        </xdr:cNvPr>
        <xdr:cNvSpPr/>
      </xdr:nvSpPr>
      <xdr:spPr>
        <a:xfrm>
          <a:off x="10439946" y="3533848"/>
          <a:ext cx="1287781" cy="1621083"/>
        </a:xfrm>
        <a:custGeom>
          <a:avLst/>
          <a:gdLst/>
          <a:ahLst/>
          <a:cxnLst/>
          <a:rect l="0" t="0" r="0" b="0"/>
          <a:pathLst>
            <a:path w="1287781" h="1621083">
              <a:moveTo>
                <a:pt x="43880" y="0"/>
              </a:moveTo>
              <a:cubicBezTo>
                <a:pt x="19564" y="109681"/>
                <a:pt x="19564" y="109681"/>
                <a:pt x="19564" y="109681"/>
              </a:cubicBezTo>
              <a:cubicBezTo>
                <a:pt x="4900" y="221064"/>
                <a:pt x="4900" y="221064"/>
                <a:pt x="4900" y="221064"/>
              </a:cubicBezTo>
              <a:cubicBezTo>
                <a:pt x="0" y="333302"/>
                <a:pt x="0" y="333302"/>
                <a:pt x="0" y="333302"/>
              </a:cubicBezTo>
              <a:cubicBezTo>
                <a:pt x="4900" y="445539"/>
                <a:pt x="4900" y="445539"/>
                <a:pt x="4900" y="445539"/>
              </a:cubicBezTo>
              <a:cubicBezTo>
                <a:pt x="19564" y="556922"/>
                <a:pt x="19564" y="556922"/>
                <a:pt x="19564" y="556922"/>
              </a:cubicBezTo>
              <a:cubicBezTo>
                <a:pt x="43880" y="666604"/>
                <a:pt x="43880" y="666604"/>
                <a:pt x="43880" y="666604"/>
              </a:cubicBezTo>
              <a:cubicBezTo>
                <a:pt x="77662" y="773748"/>
                <a:pt x="77662" y="773748"/>
                <a:pt x="77662" y="773748"/>
              </a:cubicBezTo>
              <a:cubicBezTo>
                <a:pt x="120655" y="877541"/>
                <a:pt x="120655" y="877541"/>
                <a:pt x="120655" y="877541"/>
              </a:cubicBezTo>
              <a:cubicBezTo>
                <a:pt x="172529" y="977192"/>
                <a:pt x="172529" y="977192"/>
                <a:pt x="172529" y="977192"/>
              </a:cubicBezTo>
              <a:cubicBezTo>
                <a:pt x="232892" y="1071942"/>
                <a:pt x="232892" y="1071942"/>
                <a:pt x="232892" y="1071942"/>
              </a:cubicBezTo>
              <a:cubicBezTo>
                <a:pt x="301283" y="1161071"/>
                <a:pt x="301283" y="1161071"/>
                <a:pt x="301283" y="1161071"/>
              </a:cubicBezTo>
              <a:cubicBezTo>
                <a:pt x="377182" y="1243900"/>
                <a:pt x="377182" y="1243900"/>
                <a:pt x="377182" y="1243900"/>
              </a:cubicBezTo>
              <a:cubicBezTo>
                <a:pt x="460010" y="1319798"/>
                <a:pt x="460010" y="1319798"/>
                <a:pt x="460010" y="1319798"/>
              </a:cubicBezTo>
              <a:cubicBezTo>
                <a:pt x="549139" y="1388190"/>
                <a:pt x="549139" y="1388190"/>
                <a:pt x="549139" y="1388190"/>
              </a:cubicBezTo>
              <a:cubicBezTo>
                <a:pt x="643890" y="1448552"/>
                <a:pt x="643890" y="1448552"/>
                <a:pt x="643890" y="1448552"/>
              </a:cubicBezTo>
              <a:cubicBezTo>
                <a:pt x="743540" y="1500427"/>
                <a:pt x="743540" y="1500427"/>
                <a:pt x="743540" y="1500427"/>
              </a:cubicBezTo>
              <a:cubicBezTo>
                <a:pt x="847332" y="1543419"/>
                <a:pt x="847332" y="1543419"/>
                <a:pt x="847332" y="1543419"/>
              </a:cubicBezTo>
              <a:cubicBezTo>
                <a:pt x="954478" y="1577202"/>
                <a:pt x="954478" y="1577202"/>
                <a:pt x="954478" y="1577202"/>
              </a:cubicBezTo>
              <a:cubicBezTo>
                <a:pt x="1064159" y="1601518"/>
                <a:pt x="1064159" y="1601518"/>
                <a:pt x="1064159" y="1601518"/>
              </a:cubicBezTo>
              <a:cubicBezTo>
                <a:pt x="1175542" y="1616181"/>
                <a:pt x="1175542" y="1616181"/>
                <a:pt x="1175542" y="1616181"/>
              </a:cubicBezTo>
              <a:cubicBezTo>
                <a:pt x="1287779" y="1621082"/>
                <a:pt x="1287779" y="1621082"/>
                <a:pt x="1287779" y="1621082"/>
              </a:cubicBezTo>
              <a:cubicBezTo>
                <a:pt x="1287780" y="1621082"/>
                <a:pt x="1287780" y="1621082"/>
                <a:pt x="1287780" y="1621082"/>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489523</xdr:colOff>
      <xdr:row>17</xdr:row>
      <xdr:rowOff>34500</xdr:rowOff>
    </xdr:from>
    <xdr:to>
      <xdr:col>19</xdr:col>
      <xdr:colOff>168427</xdr:colOff>
      <xdr:row>18</xdr:row>
      <xdr:rowOff>93729</xdr:rowOff>
    </xdr:to>
    <xdr:sp macro="" textlink="">
      <xdr:nvSpPr>
        <xdr:cNvPr id="66" name="テキスト ボックス 65">
          <a:extLst>
            <a:ext uri="{FF2B5EF4-FFF2-40B4-BE49-F238E27FC236}">
              <a16:creationId xmlns:a16="http://schemas.microsoft.com/office/drawing/2014/main" id="{480BB934-03A6-47E3-BFC8-CEFC015D3CF3}"/>
            </a:ext>
          </a:extLst>
        </xdr:cNvPr>
        <xdr:cNvSpPr txBox="1"/>
      </xdr:nvSpPr>
      <xdr:spPr>
        <a:xfrm>
          <a:off x="10052623" y="4396950"/>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α=105[°]</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18</xdr:col>
      <xdr:colOff>200571</xdr:colOff>
      <xdr:row>9</xdr:row>
      <xdr:rowOff>74295</xdr:rowOff>
    </xdr:from>
    <xdr:to>
      <xdr:col>21</xdr:col>
      <xdr:colOff>320178</xdr:colOff>
      <xdr:row>20</xdr:row>
      <xdr:rowOff>173356</xdr:rowOff>
    </xdr:to>
    <xdr:sp macro="" textlink="">
      <xdr:nvSpPr>
        <xdr:cNvPr id="67" name="フリーフォーム: 図形 66">
          <a:extLst>
            <a:ext uri="{FF2B5EF4-FFF2-40B4-BE49-F238E27FC236}">
              <a16:creationId xmlns:a16="http://schemas.microsoft.com/office/drawing/2014/main" id="{F309C93F-E87A-4677-AC04-A046D00B3F80}"/>
            </a:ext>
          </a:extLst>
        </xdr:cNvPr>
        <xdr:cNvSpPr/>
      </xdr:nvSpPr>
      <xdr:spPr>
        <a:xfrm>
          <a:off x="10316121" y="2455545"/>
          <a:ext cx="1776957" cy="2823211"/>
        </a:xfrm>
        <a:custGeom>
          <a:avLst/>
          <a:gdLst/>
          <a:ahLst/>
          <a:cxnLst/>
          <a:rect l="0" t="0" r="0" b="0"/>
          <a:pathLst>
            <a:path w="1776957" h="2823211">
              <a:moveTo>
                <a:pt x="1776956" y="48099"/>
              </a:moveTo>
              <a:cubicBezTo>
                <a:pt x="1656728" y="21445"/>
                <a:pt x="1656728" y="21445"/>
                <a:pt x="1656728" y="21445"/>
              </a:cubicBezTo>
              <a:cubicBezTo>
                <a:pt x="1534635" y="5372"/>
                <a:pt x="1534635" y="5372"/>
                <a:pt x="1534635" y="5372"/>
              </a:cubicBezTo>
              <a:cubicBezTo>
                <a:pt x="1411605" y="0"/>
                <a:pt x="1411605" y="0"/>
                <a:pt x="1411605" y="0"/>
              </a:cubicBezTo>
              <a:cubicBezTo>
                <a:pt x="1288575" y="5372"/>
                <a:pt x="1288575" y="5372"/>
                <a:pt x="1288575" y="5372"/>
              </a:cubicBezTo>
              <a:cubicBezTo>
                <a:pt x="1166483" y="21445"/>
                <a:pt x="1166483" y="21445"/>
                <a:pt x="1166483" y="21445"/>
              </a:cubicBezTo>
              <a:cubicBezTo>
                <a:pt x="1046255" y="48099"/>
                <a:pt x="1046255" y="48099"/>
                <a:pt x="1046255" y="48099"/>
              </a:cubicBezTo>
              <a:cubicBezTo>
                <a:pt x="928808" y="85130"/>
                <a:pt x="928808" y="85130"/>
                <a:pt x="928808" y="85130"/>
              </a:cubicBezTo>
              <a:cubicBezTo>
                <a:pt x="815035" y="132256"/>
                <a:pt x="815035" y="132256"/>
                <a:pt x="815035" y="132256"/>
              </a:cubicBezTo>
              <a:cubicBezTo>
                <a:pt x="705802" y="189119"/>
                <a:pt x="705802" y="189119"/>
                <a:pt x="705802" y="189119"/>
              </a:cubicBezTo>
              <a:cubicBezTo>
                <a:pt x="601942" y="255286"/>
                <a:pt x="601942" y="255286"/>
                <a:pt x="601942" y="255286"/>
              </a:cubicBezTo>
              <a:cubicBezTo>
                <a:pt x="504243" y="330253"/>
                <a:pt x="504243" y="330253"/>
                <a:pt x="504243" y="330253"/>
              </a:cubicBezTo>
              <a:cubicBezTo>
                <a:pt x="413450" y="413449"/>
                <a:pt x="413450" y="413449"/>
                <a:pt x="413450" y="413449"/>
              </a:cubicBezTo>
              <a:cubicBezTo>
                <a:pt x="330253" y="504243"/>
                <a:pt x="330253" y="504243"/>
                <a:pt x="330253" y="504243"/>
              </a:cubicBezTo>
              <a:cubicBezTo>
                <a:pt x="255286" y="601941"/>
                <a:pt x="255286" y="601941"/>
                <a:pt x="255286" y="601941"/>
              </a:cubicBezTo>
              <a:cubicBezTo>
                <a:pt x="189119" y="705802"/>
                <a:pt x="189119" y="705802"/>
                <a:pt x="189119" y="705802"/>
              </a:cubicBezTo>
              <a:cubicBezTo>
                <a:pt x="132257" y="815034"/>
                <a:pt x="132257" y="815034"/>
                <a:pt x="132257" y="815034"/>
              </a:cubicBezTo>
              <a:cubicBezTo>
                <a:pt x="85130" y="928807"/>
                <a:pt x="85130" y="928807"/>
                <a:pt x="85130" y="928807"/>
              </a:cubicBezTo>
              <a:cubicBezTo>
                <a:pt x="48099" y="1046254"/>
                <a:pt x="48099" y="1046254"/>
                <a:pt x="48099" y="1046254"/>
              </a:cubicBezTo>
              <a:cubicBezTo>
                <a:pt x="21446" y="1166482"/>
                <a:pt x="21446" y="1166482"/>
                <a:pt x="21446" y="1166482"/>
              </a:cubicBezTo>
              <a:cubicBezTo>
                <a:pt x="5371" y="1288575"/>
                <a:pt x="5371" y="1288575"/>
                <a:pt x="5371" y="1288575"/>
              </a:cubicBezTo>
              <a:cubicBezTo>
                <a:pt x="0" y="1411605"/>
                <a:pt x="0" y="1411605"/>
                <a:pt x="0" y="1411605"/>
              </a:cubicBezTo>
              <a:cubicBezTo>
                <a:pt x="5371" y="1534634"/>
                <a:pt x="5371" y="1534634"/>
                <a:pt x="5371" y="1534634"/>
              </a:cubicBezTo>
              <a:cubicBezTo>
                <a:pt x="21446" y="1656727"/>
                <a:pt x="21446" y="1656727"/>
                <a:pt x="21446" y="1656727"/>
              </a:cubicBezTo>
              <a:cubicBezTo>
                <a:pt x="48099" y="1776955"/>
                <a:pt x="48099" y="1776955"/>
                <a:pt x="48099" y="1776955"/>
              </a:cubicBezTo>
              <a:cubicBezTo>
                <a:pt x="85130" y="1894402"/>
                <a:pt x="85130" y="1894402"/>
                <a:pt x="85130" y="1894402"/>
              </a:cubicBezTo>
              <a:cubicBezTo>
                <a:pt x="132256" y="2008174"/>
                <a:pt x="132256" y="2008174"/>
                <a:pt x="132256" y="2008174"/>
              </a:cubicBezTo>
              <a:cubicBezTo>
                <a:pt x="189119" y="2117407"/>
                <a:pt x="189119" y="2117407"/>
                <a:pt x="189119" y="2117407"/>
              </a:cubicBezTo>
              <a:cubicBezTo>
                <a:pt x="255286" y="2221268"/>
                <a:pt x="255286" y="2221268"/>
                <a:pt x="255286" y="2221268"/>
              </a:cubicBezTo>
              <a:cubicBezTo>
                <a:pt x="330252" y="2318967"/>
                <a:pt x="330252" y="2318967"/>
                <a:pt x="330252" y="2318967"/>
              </a:cubicBezTo>
              <a:cubicBezTo>
                <a:pt x="413449" y="2409760"/>
                <a:pt x="413449" y="2409760"/>
                <a:pt x="413449" y="2409760"/>
              </a:cubicBezTo>
              <a:cubicBezTo>
                <a:pt x="504243" y="2492957"/>
                <a:pt x="504243" y="2492957"/>
                <a:pt x="504243" y="2492957"/>
              </a:cubicBezTo>
              <a:cubicBezTo>
                <a:pt x="601941" y="2567924"/>
                <a:pt x="601941" y="2567924"/>
                <a:pt x="601941" y="2567924"/>
              </a:cubicBezTo>
              <a:cubicBezTo>
                <a:pt x="705802" y="2634090"/>
                <a:pt x="705802" y="2634090"/>
                <a:pt x="705802" y="2634090"/>
              </a:cubicBezTo>
              <a:cubicBezTo>
                <a:pt x="815034" y="2690953"/>
                <a:pt x="815034" y="2690953"/>
                <a:pt x="815034" y="2690953"/>
              </a:cubicBezTo>
              <a:cubicBezTo>
                <a:pt x="928807" y="2738079"/>
                <a:pt x="928807" y="2738079"/>
                <a:pt x="928807" y="2738079"/>
              </a:cubicBezTo>
              <a:cubicBezTo>
                <a:pt x="1046254" y="2775111"/>
                <a:pt x="1046254" y="2775111"/>
                <a:pt x="1046254" y="2775111"/>
              </a:cubicBezTo>
              <a:cubicBezTo>
                <a:pt x="1166482" y="2801764"/>
                <a:pt x="1166482" y="2801764"/>
                <a:pt x="1166482" y="2801764"/>
              </a:cubicBezTo>
              <a:cubicBezTo>
                <a:pt x="1288575" y="2817839"/>
                <a:pt x="1288575" y="2817839"/>
                <a:pt x="1288575" y="2817839"/>
              </a:cubicBezTo>
              <a:cubicBezTo>
                <a:pt x="1411604" y="2823210"/>
                <a:pt x="1411604" y="2823210"/>
                <a:pt x="1411604" y="2823210"/>
              </a:cubicBezTo>
              <a:cubicBezTo>
                <a:pt x="1411605" y="2823210"/>
                <a:pt x="1411605" y="2823210"/>
                <a:pt x="1411605" y="2823210"/>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111659</xdr:colOff>
      <xdr:row>13</xdr:row>
      <xdr:rowOff>56898</xdr:rowOff>
    </xdr:from>
    <xdr:to>
      <xdr:col>18</xdr:col>
      <xdr:colOff>343013</xdr:colOff>
      <xdr:row>14</xdr:row>
      <xdr:rowOff>116127</xdr:rowOff>
    </xdr:to>
    <xdr:sp macro="" textlink="">
      <xdr:nvSpPr>
        <xdr:cNvPr id="68" name="テキスト ボックス 67">
          <a:extLst>
            <a:ext uri="{FF2B5EF4-FFF2-40B4-BE49-F238E27FC236}">
              <a16:creationId xmlns:a16="http://schemas.microsoft.com/office/drawing/2014/main" id="{DFDDB215-CEC8-4263-ADA0-FB17E3483BA3}"/>
            </a:ext>
          </a:extLst>
        </xdr:cNvPr>
        <xdr:cNvSpPr txBox="1"/>
      </xdr:nvSpPr>
      <xdr:spPr>
        <a:xfrm>
          <a:off x="9674759" y="3428748"/>
          <a:ext cx="783804"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α=195[°]</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19</xdr:col>
      <xdr:colOff>402882</xdr:colOff>
      <xdr:row>15</xdr:row>
      <xdr:rowOff>0</xdr:rowOff>
    </xdr:from>
    <xdr:to>
      <xdr:col>20</xdr:col>
      <xdr:colOff>507276</xdr:colOff>
      <xdr:row>28</xdr:row>
      <xdr:rowOff>97852</xdr:rowOff>
    </xdr:to>
    <xdr:cxnSp macro="">
      <xdr:nvCxnSpPr>
        <xdr:cNvPr id="69" name="直線コネクタ 68">
          <a:extLst>
            <a:ext uri="{FF2B5EF4-FFF2-40B4-BE49-F238E27FC236}">
              <a16:creationId xmlns:a16="http://schemas.microsoft.com/office/drawing/2014/main" id="{2E52602B-4A4A-4CB0-82AB-8CB1C59358F0}"/>
            </a:ext>
          </a:extLst>
        </xdr:cNvPr>
        <xdr:cNvCxnSpPr/>
      </xdr:nvCxnSpPr>
      <xdr:spPr>
        <a:xfrm flipH="1">
          <a:off x="11070882" y="3867150"/>
          <a:ext cx="656844" cy="3317302"/>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364782</xdr:colOff>
      <xdr:row>28</xdr:row>
      <xdr:rowOff>59752</xdr:rowOff>
    </xdr:from>
    <xdr:to>
      <xdr:col>19</xdr:col>
      <xdr:colOff>440982</xdr:colOff>
      <xdr:row>28</xdr:row>
      <xdr:rowOff>212152</xdr:rowOff>
    </xdr:to>
    <xdr:sp macro="" textlink="">
      <xdr:nvSpPr>
        <xdr:cNvPr id="70" name="矢印: 右 69">
          <a:extLst>
            <a:ext uri="{FF2B5EF4-FFF2-40B4-BE49-F238E27FC236}">
              <a16:creationId xmlns:a16="http://schemas.microsoft.com/office/drawing/2014/main" id="{C42C5B46-DA2C-427B-89F4-1EF29FFA8481}"/>
            </a:ext>
          </a:extLst>
        </xdr:cNvPr>
        <xdr:cNvSpPr/>
      </xdr:nvSpPr>
      <xdr:spPr>
        <a:xfrm rot="16860000">
          <a:off x="10994682" y="7184452"/>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13281</xdr:colOff>
      <xdr:row>28</xdr:row>
      <xdr:rowOff>155155</xdr:rowOff>
    </xdr:from>
    <xdr:to>
      <xdr:col>19</xdr:col>
      <xdr:colOff>454427</xdr:colOff>
      <xdr:row>30</xdr:row>
      <xdr:rowOff>14359</xdr:rowOff>
    </xdr:to>
    <xdr:sp macro="" textlink="">
      <xdr:nvSpPr>
        <xdr:cNvPr id="71" name="テキスト ボックス 70">
          <a:extLst>
            <a:ext uri="{FF2B5EF4-FFF2-40B4-BE49-F238E27FC236}">
              <a16:creationId xmlns:a16="http://schemas.microsoft.com/office/drawing/2014/main" id="{BA1820D5-D994-41F8-8148-7EED28118ED7}"/>
            </a:ext>
          </a:extLst>
        </xdr:cNvPr>
        <xdr:cNvSpPr txBox="1"/>
      </xdr:nvSpPr>
      <xdr:spPr>
        <a:xfrm>
          <a:off x="10681281" y="7241755"/>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12</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20</xdr:col>
      <xdr:colOff>109189</xdr:colOff>
      <xdr:row>23</xdr:row>
      <xdr:rowOff>29286</xdr:rowOff>
    </xdr:from>
    <xdr:to>
      <xdr:col>20</xdr:col>
      <xdr:colOff>507277</xdr:colOff>
      <xdr:row>23</xdr:row>
      <xdr:rowOff>68320</xdr:rowOff>
    </xdr:to>
    <xdr:sp macro="" textlink="">
      <xdr:nvSpPr>
        <xdr:cNvPr id="72" name="フリーフォーム: 図形 71">
          <a:extLst>
            <a:ext uri="{FF2B5EF4-FFF2-40B4-BE49-F238E27FC236}">
              <a16:creationId xmlns:a16="http://schemas.microsoft.com/office/drawing/2014/main" id="{C4C48EC8-D772-46A6-A64E-0852FF588B81}"/>
            </a:ext>
          </a:extLst>
        </xdr:cNvPr>
        <xdr:cNvSpPr/>
      </xdr:nvSpPr>
      <xdr:spPr>
        <a:xfrm>
          <a:off x="11329639" y="5877636"/>
          <a:ext cx="398088" cy="39034"/>
        </a:xfrm>
        <a:custGeom>
          <a:avLst/>
          <a:gdLst/>
          <a:ahLst/>
          <a:cxnLst/>
          <a:rect l="0" t="0" r="0" b="0"/>
          <a:pathLst>
            <a:path w="398088" h="39034">
              <a:moveTo>
                <a:pt x="0" y="0"/>
              </a:moveTo>
              <a:cubicBezTo>
                <a:pt x="176740" y="27045"/>
                <a:pt x="176740" y="27045"/>
                <a:pt x="176740" y="27045"/>
              </a:cubicBezTo>
              <a:cubicBezTo>
                <a:pt x="355165" y="38584"/>
                <a:pt x="355165" y="38584"/>
                <a:pt x="355165" y="38584"/>
              </a:cubicBezTo>
              <a:cubicBezTo>
                <a:pt x="398087" y="39033"/>
                <a:pt x="398087" y="39033"/>
                <a:pt x="398087" y="39033"/>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184008</xdr:colOff>
      <xdr:row>22</xdr:row>
      <xdr:rowOff>52037</xdr:rowOff>
    </xdr:from>
    <xdr:to>
      <xdr:col>20</xdr:col>
      <xdr:colOff>441395</xdr:colOff>
      <xdr:row>23</xdr:row>
      <xdr:rowOff>111266</xdr:rowOff>
    </xdr:to>
    <xdr:sp macro="" textlink="">
      <xdr:nvSpPr>
        <xdr:cNvPr id="73" name="テキスト ボックス 72">
          <a:extLst>
            <a:ext uri="{FF2B5EF4-FFF2-40B4-BE49-F238E27FC236}">
              <a16:creationId xmlns:a16="http://schemas.microsoft.com/office/drawing/2014/main" id="{4055CBC6-54E2-446B-8C32-B2C36276C052}"/>
            </a:ext>
          </a:extLst>
        </xdr:cNvPr>
        <xdr:cNvSpPr txBox="1"/>
      </xdr:nvSpPr>
      <xdr:spPr>
        <a:xfrm>
          <a:off x="10852008" y="5652737"/>
          <a:ext cx="80983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γ=11.2[°]</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20</xdr:col>
      <xdr:colOff>507276</xdr:colOff>
      <xdr:row>15</xdr:row>
      <xdr:rowOff>0</xdr:rowOff>
    </xdr:from>
    <xdr:to>
      <xdr:col>25</xdr:col>
      <xdr:colOff>538648</xdr:colOff>
      <xdr:row>22</xdr:row>
      <xdr:rowOff>172129</xdr:rowOff>
    </xdr:to>
    <xdr:cxnSp macro="">
      <xdr:nvCxnSpPr>
        <xdr:cNvPr id="74" name="直線コネクタ 73">
          <a:extLst>
            <a:ext uri="{FF2B5EF4-FFF2-40B4-BE49-F238E27FC236}">
              <a16:creationId xmlns:a16="http://schemas.microsoft.com/office/drawing/2014/main" id="{963D729F-4952-46C4-B32C-00099DECC355}"/>
            </a:ext>
          </a:extLst>
        </xdr:cNvPr>
        <xdr:cNvCxnSpPr/>
      </xdr:nvCxnSpPr>
      <xdr:spPr>
        <a:xfrm>
          <a:off x="11727726" y="3867150"/>
          <a:ext cx="2793622" cy="1905679"/>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462448</xdr:colOff>
      <xdr:row>22</xdr:row>
      <xdr:rowOff>172129</xdr:rowOff>
    </xdr:from>
    <xdr:to>
      <xdr:col>26</xdr:col>
      <xdr:colOff>62398</xdr:colOff>
      <xdr:row>23</xdr:row>
      <xdr:rowOff>679</xdr:rowOff>
    </xdr:to>
    <xdr:sp macro="" textlink="">
      <xdr:nvSpPr>
        <xdr:cNvPr id="75" name="矢印: 右 74">
          <a:extLst>
            <a:ext uri="{FF2B5EF4-FFF2-40B4-BE49-F238E27FC236}">
              <a16:creationId xmlns:a16="http://schemas.microsoft.com/office/drawing/2014/main" id="{6D73F699-0E47-4232-AA7A-E5DB387CD7FF}"/>
            </a:ext>
          </a:extLst>
        </xdr:cNvPr>
        <xdr:cNvSpPr/>
      </xdr:nvSpPr>
      <xdr:spPr>
        <a:xfrm rot="12840000">
          <a:off x="14445148" y="5772829"/>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540808</xdr:colOff>
      <xdr:row>22</xdr:row>
      <xdr:rowOff>96898</xdr:rowOff>
    </xdr:from>
    <xdr:to>
      <xdr:col>26</xdr:col>
      <xdr:colOff>365384</xdr:colOff>
      <xdr:row>23</xdr:row>
      <xdr:rowOff>156127</xdr:rowOff>
    </xdr:to>
    <xdr:sp macro="" textlink="">
      <xdr:nvSpPr>
        <xdr:cNvPr id="76" name="テキスト ボックス 75">
          <a:extLst>
            <a:ext uri="{FF2B5EF4-FFF2-40B4-BE49-F238E27FC236}">
              <a16:creationId xmlns:a16="http://schemas.microsoft.com/office/drawing/2014/main" id="{8BCAEE70-DD39-475E-8675-70C8FBC982DD}"/>
            </a:ext>
          </a:extLst>
        </xdr:cNvPr>
        <xdr:cNvSpPr txBox="1"/>
      </xdr:nvSpPr>
      <xdr:spPr>
        <a:xfrm>
          <a:off x="14523508" y="5697598"/>
          <a:ext cx="37702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9</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20</xdr:col>
      <xdr:colOff>507276</xdr:colOff>
      <xdr:row>20</xdr:row>
      <xdr:rowOff>32203</xdr:rowOff>
    </xdr:from>
    <xdr:to>
      <xdr:col>24</xdr:col>
      <xdr:colOff>159892</xdr:colOff>
      <xdr:row>24</xdr:row>
      <xdr:rowOff>25622</xdr:rowOff>
    </xdr:to>
    <xdr:sp macro="" textlink="">
      <xdr:nvSpPr>
        <xdr:cNvPr id="77" name="フリーフォーム: 図形 76">
          <a:extLst>
            <a:ext uri="{FF2B5EF4-FFF2-40B4-BE49-F238E27FC236}">
              <a16:creationId xmlns:a16="http://schemas.microsoft.com/office/drawing/2014/main" id="{3AD35894-1DB4-4C6A-ACE9-8DF34217AA86}"/>
            </a:ext>
          </a:extLst>
        </xdr:cNvPr>
        <xdr:cNvSpPr/>
      </xdr:nvSpPr>
      <xdr:spPr>
        <a:xfrm>
          <a:off x="11727726" y="5137603"/>
          <a:ext cx="1862416" cy="984019"/>
        </a:xfrm>
        <a:custGeom>
          <a:avLst/>
          <a:gdLst/>
          <a:ahLst/>
          <a:cxnLst/>
          <a:rect l="0" t="0" r="0" b="0"/>
          <a:pathLst>
            <a:path w="1862416" h="984019">
              <a:moveTo>
                <a:pt x="0" y="984018"/>
              </a:moveTo>
              <a:cubicBezTo>
                <a:pt x="196490" y="975439"/>
                <a:pt x="196490" y="975439"/>
                <a:pt x="196490" y="975439"/>
              </a:cubicBezTo>
              <a:cubicBezTo>
                <a:pt x="391485" y="949767"/>
                <a:pt x="391485" y="949767"/>
                <a:pt x="391485" y="949767"/>
              </a:cubicBezTo>
              <a:cubicBezTo>
                <a:pt x="583500" y="907199"/>
                <a:pt x="583500" y="907199"/>
                <a:pt x="583500" y="907199"/>
              </a:cubicBezTo>
              <a:cubicBezTo>
                <a:pt x="771075" y="848056"/>
                <a:pt x="771075" y="848056"/>
                <a:pt x="771075" y="848056"/>
              </a:cubicBezTo>
              <a:cubicBezTo>
                <a:pt x="952781" y="772791"/>
                <a:pt x="952781" y="772791"/>
                <a:pt x="952781" y="772791"/>
              </a:cubicBezTo>
              <a:cubicBezTo>
                <a:pt x="1127235" y="681976"/>
                <a:pt x="1127235" y="681976"/>
                <a:pt x="1127235" y="681976"/>
              </a:cubicBezTo>
              <a:cubicBezTo>
                <a:pt x="1293112" y="576301"/>
                <a:pt x="1293112" y="576301"/>
                <a:pt x="1293112" y="576301"/>
              </a:cubicBezTo>
              <a:cubicBezTo>
                <a:pt x="1449146" y="456572"/>
                <a:pt x="1449146" y="456572"/>
                <a:pt x="1449146" y="456572"/>
              </a:cubicBezTo>
              <a:cubicBezTo>
                <a:pt x="1594151" y="323699"/>
                <a:pt x="1594151" y="323699"/>
                <a:pt x="1594151" y="323699"/>
              </a:cubicBezTo>
              <a:cubicBezTo>
                <a:pt x="1727025" y="178693"/>
                <a:pt x="1727025" y="178693"/>
                <a:pt x="1727025" y="178693"/>
              </a:cubicBezTo>
              <a:cubicBezTo>
                <a:pt x="1846754" y="22659"/>
                <a:pt x="1846754" y="22659"/>
                <a:pt x="1846754" y="22659"/>
              </a:cubicBezTo>
              <a:cubicBezTo>
                <a:pt x="1862415" y="0"/>
                <a:pt x="1862415" y="0"/>
                <a:pt x="1862415" y="0"/>
              </a:cubicBezTo>
            </a:path>
          </a:pathLst>
        </a:custGeom>
        <a:ln>
          <a:headEnd type="oval" w="sm" len="sm"/>
          <a:tailEnd type="arrow"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278633</xdr:colOff>
      <xdr:row>22</xdr:row>
      <xdr:rowOff>5643</xdr:rowOff>
    </xdr:from>
    <xdr:to>
      <xdr:col>23</xdr:col>
      <xdr:colOff>47690</xdr:colOff>
      <xdr:row>23</xdr:row>
      <xdr:rowOff>64872</xdr:rowOff>
    </xdr:to>
    <xdr:sp macro="" textlink="">
      <xdr:nvSpPr>
        <xdr:cNvPr id="78" name="テキスト ボックス 77">
          <a:extLst>
            <a:ext uri="{FF2B5EF4-FFF2-40B4-BE49-F238E27FC236}">
              <a16:creationId xmlns:a16="http://schemas.microsoft.com/office/drawing/2014/main" id="{8A168445-7EBA-4856-9E9E-488740861CE7}"/>
            </a:ext>
          </a:extLst>
        </xdr:cNvPr>
        <xdr:cNvSpPr txBox="1"/>
      </xdr:nvSpPr>
      <xdr:spPr>
        <a:xfrm>
          <a:off x="12051533" y="5606343"/>
          <a:ext cx="87395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γ=-55.7[°]</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16</xdr:col>
      <xdr:colOff>2184</xdr:colOff>
      <xdr:row>15</xdr:row>
      <xdr:rowOff>0</xdr:rowOff>
    </xdr:from>
    <xdr:to>
      <xdr:col>20</xdr:col>
      <xdr:colOff>507276</xdr:colOff>
      <xdr:row>23</xdr:row>
      <xdr:rowOff>35057</xdr:rowOff>
    </xdr:to>
    <xdr:cxnSp macro="">
      <xdr:nvCxnSpPr>
        <xdr:cNvPr id="79" name="直線コネクタ 78">
          <a:extLst>
            <a:ext uri="{FF2B5EF4-FFF2-40B4-BE49-F238E27FC236}">
              <a16:creationId xmlns:a16="http://schemas.microsoft.com/office/drawing/2014/main" id="{4F146F14-969A-4B31-99AE-24C03E73559B}"/>
            </a:ext>
          </a:extLst>
        </xdr:cNvPr>
        <xdr:cNvCxnSpPr/>
      </xdr:nvCxnSpPr>
      <xdr:spPr>
        <a:xfrm flipH="1">
          <a:off x="9012834" y="3867150"/>
          <a:ext cx="2714892" cy="2016257"/>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478434</xdr:colOff>
      <xdr:row>23</xdr:row>
      <xdr:rowOff>35057</xdr:rowOff>
    </xdr:from>
    <xdr:to>
      <xdr:col>16</xdr:col>
      <xdr:colOff>78384</xdr:colOff>
      <xdr:row>23</xdr:row>
      <xdr:rowOff>111257</xdr:rowOff>
    </xdr:to>
    <xdr:sp macro="" textlink="">
      <xdr:nvSpPr>
        <xdr:cNvPr id="80" name="矢印: 右 79">
          <a:extLst>
            <a:ext uri="{FF2B5EF4-FFF2-40B4-BE49-F238E27FC236}">
              <a16:creationId xmlns:a16="http://schemas.microsoft.com/office/drawing/2014/main" id="{E0E8FF1F-8ED0-49E3-BCD4-EA670F6A7468}"/>
            </a:ext>
          </a:extLst>
        </xdr:cNvPr>
        <xdr:cNvSpPr/>
      </xdr:nvSpPr>
      <xdr:spPr>
        <a:xfrm rot="19380000">
          <a:off x="8936634" y="5883407"/>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581406</xdr:colOff>
      <xdr:row>22</xdr:row>
      <xdr:rowOff>217857</xdr:rowOff>
    </xdr:from>
    <xdr:to>
      <xdr:col>15</xdr:col>
      <xdr:colOff>412952</xdr:colOff>
      <xdr:row>24</xdr:row>
      <xdr:rowOff>29436</xdr:rowOff>
    </xdr:to>
    <xdr:sp macro="" textlink="">
      <xdr:nvSpPr>
        <xdr:cNvPr id="81" name="テキスト ボックス 80">
          <a:extLst>
            <a:ext uri="{FF2B5EF4-FFF2-40B4-BE49-F238E27FC236}">
              <a16:creationId xmlns:a16="http://schemas.microsoft.com/office/drawing/2014/main" id="{FFC207BE-F28F-4F93-A725-26339355256D}"/>
            </a:ext>
          </a:extLst>
        </xdr:cNvPr>
        <xdr:cNvSpPr txBox="1"/>
      </xdr:nvSpPr>
      <xdr:spPr>
        <a:xfrm>
          <a:off x="8430006" y="5818557"/>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14</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17</xdr:col>
      <xdr:colOff>190159</xdr:colOff>
      <xdr:row>20</xdr:row>
      <xdr:rowOff>228119</xdr:rowOff>
    </xdr:from>
    <xdr:to>
      <xdr:col>20</xdr:col>
      <xdr:colOff>507277</xdr:colOff>
      <xdr:row>24</xdr:row>
      <xdr:rowOff>230574</xdr:rowOff>
    </xdr:to>
    <xdr:sp macro="" textlink="">
      <xdr:nvSpPr>
        <xdr:cNvPr id="82" name="フリーフォーム: 図形 81">
          <a:extLst>
            <a:ext uri="{FF2B5EF4-FFF2-40B4-BE49-F238E27FC236}">
              <a16:creationId xmlns:a16="http://schemas.microsoft.com/office/drawing/2014/main" id="{EE1B58AA-68DC-4FA3-820A-196FE836688B}"/>
            </a:ext>
          </a:extLst>
        </xdr:cNvPr>
        <xdr:cNvSpPr/>
      </xdr:nvSpPr>
      <xdr:spPr>
        <a:xfrm>
          <a:off x="9753259" y="5333519"/>
          <a:ext cx="1974468" cy="993055"/>
        </a:xfrm>
        <a:custGeom>
          <a:avLst/>
          <a:gdLst/>
          <a:ahLst/>
          <a:cxnLst/>
          <a:rect l="0" t="0" r="0" b="0"/>
          <a:pathLst>
            <a:path w="1974468" h="993055">
              <a:moveTo>
                <a:pt x="0" y="0"/>
              </a:moveTo>
              <a:cubicBezTo>
                <a:pt x="135316" y="166507"/>
                <a:pt x="135316" y="166507"/>
                <a:pt x="135316" y="166507"/>
              </a:cubicBezTo>
              <a:cubicBezTo>
                <a:pt x="284628" y="320585"/>
                <a:pt x="284628" y="320585"/>
                <a:pt x="284628" y="320585"/>
              </a:cubicBezTo>
              <a:cubicBezTo>
                <a:pt x="446803" y="461065"/>
                <a:pt x="446803" y="461065"/>
                <a:pt x="446803" y="461065"/>
              </a:cubicBezTo>
              <a:cubicBezTo>
                <a:pt x="620603" y="586875"/>
                <a:pt x="620603" y="586875"/>
                <a:pt x="620603" y="586875"/>
              </a:cubicBezTo>
              <a:cubicBezTo>
                <a:pt x="804707" y="697059"/>
                <a:pt x="804707" y="697059"/>
                <a:pt x="804707" y="697059"/>
              </a:cubicBezTo>
              <a:cubicBezTo>
                <a:pt x="997713" y="790778"/>
                <a:pt x="997713" y="790778"/>
                <a:pt x="997713" y="790778"/>
              </a:cubicBezTo>
              <a:cubicBezTo>
                <a:pt x="1198153" y="867318"/>
                <a:pt x="1198153" y="867318"/>
                <a:pt x="1198153" y="867318"/>
              </a:cubicBezTo>
              <a:cubicBezTo>
                <a:pt x="1404502" y="926098"/>
                <a:pt x="1404502" y="926098"/>
                <a:pt x="1404502" y="926098"/>
              </a:cubicBezTo>
              <a:cubicBezTo>
                <a:pt x="1615187" y="966670"/>
                <a:pt x="1615187" y="966670"/>
                <a:pt x="1615187" y="966670"/>
              </a:cubicBezTo>
              <a:cubicBezTo>
                <a:pt x="1828608" y="988725"/>
                <a:pt x="1828608" y="988725"/>
                <a:pt x="1828608" y="988725"/>
              </a:cubicBezTo>
              <a:cubicBezTo>
                <a:pt x="1974467" y="993054"/>
                <a:pt x="1974467" y="993054"/>
                <a:pt x="1974467" y="993054"/>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383841</xdr:colOff>
      <xdr:row>22</xdr:row>
      <xdr:rowOff>209477</xdr:rowOff>
    </xdr:from>
    <xdr:to>
      <xdr:col>19</xdr:col>
      <xdr:colOff>88778</xdr:colOff>
      <xdr:row>24</xdr:row>
      <xdr:rowOff>21056</xdr:rowOff>
    </xdr:to>
    <xdr:sp macro="" textlink="">
      <xdr:nvSpPr>
        <xdr:cNvPr id="83" name="テキスト ボックス 82">
          <a:extLst>
            <a:ext uri="{FF2B5EF4-FFF2-40B4-BE49-F238E27FC236}">
              <a16:creationId xmlns:a16="http://schemas.microsoft.com/office/drawing/2014/main" id="{E68023DB-1FA6-4531-955B-889CACA83FA9}"/>
            </a:ext>
          </a:extLst>
        </xdr:cNvPr>
        <xdr:cNvSpPr txBox="1"/>
      </xdr:nvSpPr>
      <xdr:spPr>
        <a:xfrm>
          <a:off x="9946941" y="5810177"/>
          <a:ext cx="80983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γ=53.4[°]</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twoCellAnchor>
    <xdr:from>
      <xdr:col>14</xdr:col>
      <xdr:colOff>572550</xdr:colOff>
      <xdr:row>15</xdr:row>
      <xdr:rowOff>0</xdr:rowOff>
    </xdr:from>
    <xdr:to>
      <xdr:col>20</xdr:col>
      <xdr:colOff>507276</xdr:colOff>
      <xdr:row>17</xdr:row>
      <xdr:rowOff>213568</xdr:rowOff>
    </xdr:to>
    <xdr:cxnSp macro="">
      <xdr:nvCxnSpPr>
        <xdr:cNvPr id="84" name="直線コネクタ 83">
          <a:extLst>
            <a:ext uri="{FF2B5EF4-FFF2-40B4-BE49-F238E27FC236}">
              <a16:creationId xmlns:a16="http://schemas.microsoft.com/office/drawing/2014/main" id="{9B701BD9-BDF8-4329-9351-7E39524753F0}"/>
            </a:ext>
          </a:extLst>
        </xdr:cNvPr>
        <xdr:cNvCxnSpPr/>
      </xdr:nvCxnSpPr>
      <xdr:spPr>
        <a:xfrm flipH="1">
          <a:off x="8421150" y="3867150"/>
          <a:ext cx="3306576" cy="708868"/>
        </a:xfrm>
        <a:prstGeom prst="line">
          <a:avLst/>
        </a:prstGeom>
        <a:ln w="9525" cmpd="sng">
          <a:solidFill>
            <a:srgbClr xmlns:mc="http://schemas.openxmlformats.org/markup-compatibility/2006" xmlns:a14="http://schemas.microsoft.com/office/drawing/2010/main" val="FF0000" mc:Ignorable="a14" a14:legacySpreadsheetColorIndex="1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496350</xdr:colOff>
      <xdr:row>17</xdr:row>
      <xdr:rowOff>213568</xdr:rowOff>
    </xdr:from>
    <xdr:to>
      <xdr:col>15</xdr:col>
      <xdr:colOff>39150</xdr:colOff>
      <xdr:row>18</xdr:row>
      <xdr:rowOff>42118</xdr:rowOff>
    </xdr:to>
    <xdr:sp macro="" textlink="">
      <xdr:nvSpPr>
        <xdr:cNvPr id="85" name="矢印: 右 84">
          <a:extLst>
            <a:ext uri="{FF2B5EF4-FFF2-40B4-BE49-F238E27FC236}">
              <a16:creationId xmlns:a16="http://schemas.microsoft.com/office/drawing/2014/main" id="{4D7DBCB7-B9F3-4E23-A50E-7E5278095C92}"/>
            </a:ext>
          </a:extLst>
        </xdr:cNvPr>
        <xdr:cNvSpPr/>
      </xdr:nvSpPr>
      <xdr:spPr>
        <a:xfrm rot="20880000">
          <a:off x="8344950" y="4576018"/>
          <a:ext cx="152400" cy="76200"/>
        </a:xfrm>
        <a:prstGeom prst="rightArrow">
          <a:avLst/>
        </a:prstGeom>
        <a:solidFill>
          <a:srgbClr xmlns:mc="http://schemas.openxmlformats.org/markup-compatibility/2006" xmlns:a14="http://schemas.microsoft.com/office/drawing/2010/main" val="FF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543771</xdr:colOff>
      <xdr:row>17</xdr:row>
      <xdr:rowOff>25971</xdr:rowOff>
    </xdr:from>
    <xdr:to>
      <xdr:col>14</xdr:col>
      <xdr:colOff>375317</xdr:colOff>
      <xdr:row>18</xdr:row>
      <xdr:rowOff>85200</xdr:rowOff>
    </xdr:to>
    <xdr:sp macro="" textlink="">
      <xdr:nvSpPr>
        <xdr:cNvPr id="86" name="テキスト ボックス 85">
          <a:extLst>
            <a:ext uri="{FF2B5EF4-FFF2-40B4-BE49-F238E27FC236}">
              <a16:creationId xmlns:a16="http://schemas.microsoft.com/office/drawing/2014/main" id="{9E8BA11C-A465-4293-BC9E-3B4C4979F9F4}"/>
            </a:ext>
          </a:extLst>
        </xdr:cNvPr>
        <xdr:cNvSpPr txBox="1"/>
      </xdr:nvSpPr>
      <xdr:spPr>
        <a:xfrm>
          <a:off x="7782771" y="4388421"/>
          <a:ext cx="441146"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n-US" altLang="ja-JP" sz="1000" b="0" i="0" u="none" strike="noStrike" baseline="0">
              <a:solidFill>
                <a:srgbClr val="000000"/>
              </a:solidFill>
              <a:latin typeface="ＭＳ Ｐゴシック" panose="020B0600070205080204" pitchFamily="50" charset="-128"/>
            </a:rPr>
            <a:t>16</a:t>
          </a:r>
          <a:r>
            <a:rPr kumimoji="1" lang="ja-JP" altLang="en-US" sz="1000" b="0" i="0" u="none" strike="noStrike" baseline="0">
              <a:solidFill>
                <a:srgbClr val="000000"/>
              </a:solidFill>
              <a:latin typeface="ＭＳ Ｐゴシック" panose="020B0600070205080204" pitchFamily="50" charset="-128"/>
            </a:rPr>
            <a:t>時</a:t>
          </a:r>
        </a:p>
      </xdr:txBody>
    </xdr:sp>
    <xdr:clientData/>
  </xdr:twoCellAnchor>
  <xdr:twoCellAnchor>
    <xdr:from>
      <xdr:col>16</xdr:col>
      <xdr:colOff>111895</xdr:colOff>
      <xdr:row>17</xdr:row>
      <xdr:rowOff>63202</xdr:rowOff>
    </xdr:from>
    <xdr:to>
      <xdr:col>20</xdr:col>
      <xdr:colOff>507277</xdr:colOff>
      <xdr:row>25</xdr:row>
      <xdr:rowOff>187876</xdr:rowOff>
    </xdr:to>
    <xdr:sp macro="" textlink="">
      <xdr:nvSpPr>
        <xdr:cNvPr id="87" name="フリーフォーム: 図形 86">
          <a:extLst>
            <a:ext uri="{FF2B5EF4-FFF2-40B4-BE49-F238E27FC236}">
              <a16:creationId xmlns:a16="http://schemas.microsoft.com/office/drawing/2014/main" id="{0962A948-E06C-430A-9210-39283BFB0B2D}"/>
            </a:ext>
          </a:extLst>
        </xdr:cNvPr>
        <xdr:cNvSpPr/>
      </xdr:nvSpPr>
      <xdr:spPr>
        <a:xfrm>
          <a:off x="9122545" y="4425652"/>
          <a:ext cx="2605182" cy="2105874"/>
        </a:xfrm>
        <a:custGeom>
          <a:avLst/>
          <a:gdLst/>
          <a:ahLst/>
          <a:cxnLst/>
          <a:rect l="0" t="0" r="0" b="0"/>
          <a:pathLst>
            <a:path w="2605182" h="2105874">
              <a:moveTo>
                <a:pt x="0" y="0"/>
              </a:moveTo>
              <a:cubicBezTo>
                <a:pt x="58591" y="224932"/>
                <a:pt x="58591" y="224932"/>
                <a:pt x="58591" y="224932"/>
              </a:cubicBezTo>
              <a:cubicBezTo>
                <a:pt x="136562" y="443900"/>
                <a:pt x="136562" y="443900"/>
                <a:pt x="136562" y="443900"/>
              </a:cubicBezTo>
              <a:cubicBezTo>
                <a:pt x="233320" y="655240"/>
                <a:pt x="233320" y="655240"/>
                <a:pt x="233320" y="655240"/>
              </a:cubicBezTo>
              <a:cubicBezTo>
                <a:pt x="348130" y="857343"/>
                <a:pt x="348130" y="857343"/>
                <a:pt x="348130" y="857343"/>
              </a:cubicBezTo>
              <a:cubicBezTo>
                <a:pt x="480118" y="1048670"/>
                <a:pt x="480118" y="1048670"/>
                <a:pt x="480118" y="1048670"/>
              </a:cubicBezTo>
              <a:cubicBezTo>
                <a:pt x="628279" y="1227765"/>
                <a:pt x="628279" y="1227765"/>
                <a:pt x="628279" y="1227765"/>
              </a:cubicBezTo>
              <a:cubicBezTo>
                <a:pt x="791486" y="1393266"/>
                <a:pt x="791486" y="1393266"/>
                <a:pt x="791486" y="1393266"/>
              </a:cubicBezTo>
              <a:cubicBezTo>
                <a:pt x="968495" y="1543913"/>
                <a:pt x="968495" y="1543913"/>
                <a:pt x="968495" y="1543913"/>
              </a:cubicBezTo>
              <a:cubicBezTo>
                <a:pt x="1157961" y="1678560"/>
                <a:pt x="1157961" y="1678560"/>
                <a:pt x="1157961" y="1678560"/>
              </a:cubicBezTo>
              <a:cubicBezTo>
                <a:pt x="1358440" y="1796181"/>
                <a:pt x="1358440" y="1796181"/>
                <a:pt x="1358440" y="1796181"/>
              </a:cubicBezTo>
              <a:cubicBezTo>
                <a:pt x="1568409" y="1895881"/>
                <a:pt x="1568409" y="1895881"/>
                <a:pt x="1568409" y="1895881"/>
              </a:cubicBezTo>
              <a:cubicBezTo>
                <a:pt x="1786267" y="1976902"/>
                <a:pt x="1786267" y="1976902"/>
                <a:pt x="1786267" y="1976902"/>
              </a:cubicBezTo>
              <a:cubicBezTo>
                <a:pt x="2010358" y="2038627"/>
                <a:pt x="2010358" y="2038627"/>
                <a:pt x="2010358" y="2038627"/>
              </a:cubicBezTo>
              <a:cubicBezTo>
                <a:pt x="2238976" y="2080587"/>
                <a:pt x="2238976" y="2080587"/>
                <a:pt x="2238976" y="2080587"/>
              </a:cubicBezTo>
              <a:cubicBezTo>
                <a:pt x="2470381" y="2102460"/>
                <a:pt x="2470381" y="2102460"/>
                <a:pt x="2470381" y="2102460"/>
              </a:cubicBezTo>
              <a:cubicBezTo>
                <a:pt x="2605181" y="2105873"/>
                <a:pt x="2605181" y="2105873"/>
                <a:pt x="2605181" y="2105873"/>
              </a:cubicBezTo>
            </a:path>
          </a:pathLst>
        </a:custGeom>
        <a:ln>
          <a:headEnd type="arrow" w="sm" len="sm"/>
          <a:tailEnd type="oval"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366418</xdr:colOff>
      <xdr:row>22</xdr:row>
      <xdr:rowOff>84369</xdr:rowOff>
    </xdr:from>
    <xdr:to>
      <xdr:col>18</xdr:col>
      <xdr:colOff>71355</xdr:colOff>
      <xdr:row>23</xdr:row>
      <xdr:rowOff>143598</xdr:rowOff>
    </xdr:to>
    <xdr:sp macro="" textlink="">
      <xdr:nvSpPr>
        <xdr:cNvPr id="88" name="テキスト ボックス 87">
          <a:extLst>
            <a:ext uri="{FF2B5EF4-FFF2-40B4-BE49-F238E27FC236}">
              <a16:creationId xmlns:a16="http://schemas.microsoft.com/office/drawing/2014/main" id="{B6C4BE50-1119-4641-9423-75E3EF7CAF94}"/>
            </a:ext>
          </a:extLst>
        </xdr:cNvPr>
        <xdr:cNvSpPr txBox="1"/>
      </xdr:nvSpPr>
      <xdr:spPr>
        <a:xfrm>
          <a:off x="9377068" y="5685069"/>
          <a:ext cx="809837" cy="306879"/>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el-GR" altLang="ja-JP" sz="1000" b="0" i="0" u="none" strike="noStrike" baseline="0">
              <a:solidFill>
                <a:srgbClr val="000000"/>
              </a:solidFill>
              <a:latin typeface="ＭＳ Ｐゴシック" panose="020B0600070205080204" pitchFamily="50" charset="-128"/>
            </a:rPr>
            <a:t>γ=77.9[°]</a:t>
          </a:r>
          <a:endParaRPr kumimoji="1" lang="ja-JP" altLang="en-US" sz="1000" b="0" i="0" u="none" strike="noStrike" baseline="0">
            <a:solidFill>
              <a:srgbClr val="000000"/>
            </a:solidFill>
            <a:latin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285750</xdr:colOff>
      <xdr:row>1</xdr:row>
      <xdr:rowOff>3626</xdr:rowOff>
    </xdr:from>
    <xdr:to>
      <xdr:col>7</xdr:col>
      <xdr:colOff>495300</xdr:colOff>
      <xdr:row>8</xdr:row>
      <xdr:rowOff>74757</xdr:rowOff>
    </xdr:to>
    <xdr:grpSp>
      <xdr:nvGrpSpPr>
        <xdr:cNvPr id="2" name="グループ化 1">
          <a:extLst>
            <a:ext uri="{FF2B5EF4-FFF2-40B4-BE49-F238E27FC236}">
              <a16:creationId xmlns:a16="http://schemas.microsoft.com/office/drawing/2014/main" id="{EF5477D9-F3AD-44FA-BF5D-C33557C7E564}"/>
            </a:ext>
          </a:extLst>
        </xdr:cNvPr>
        <xdr:cNvGrpSpPr/>
      </xdr:nvGrpSpPr>
      <xdr:grpSpPr>
        <a:xfrm>
          <a:off x="2333625" y="325095"/>
          <a:ext cx="1745456" cy="1404631"/>
          <a:chOff x="2346614" y="371637"/>
          <a:chExt cx="1755197" cy="1404631"/>
        </a:xfrm>
      </xdr:grpSpPr>
      <xdr:sp macro="" textlink="">
        <xdr:nvSpPr>
          <xdr:cNvPr id="3" name="Line 2">
            <a:extLst>
              <a:ext uri="{FF2B5EF4-FFF2-40B4-BE49-F238E27FC236}">
                <a16:creationId xmlns:a16="http://schemas.microsoft.com/office/drawing/2014/main" id="{8DE98B8D-531D-4538-9C5C-71953BCAD1EF}"/>
              </a:ext>
            </a:extLst>
          </xdr:cNvPr>
          <xdr:cNvSpPr>
            <a:spLocks noChangeShapeType="1"/>
          </xdr:cNvSpPr>
        </xdr:nvSpPr>
        <xdr:spPr bwMode="auto">
          <a:xfrm flipV="1">
            <a:off x="3701761" y="1093643"/>
            <a:ext cx="0" cy="295275"/>
          </a:xfrm>
          <a:prstGeom prst="line">
            <a:avLst/>
          </a:prstGeom>
          <a:noFill/>
          <a:ln w="1">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4" name="Line 4">
            <a:extLst>
              <a:ext uri="{FF2B5EF4-FFF2-40B4-BE49-F238E27FC236}">
                <a16:creationId xmlns:a16="http://schemas.microsoft.com/office/drawing/2014/main" id="{30E4972E-1E63-442E-9711-573911844E76}"/>
              </a:ext>
            </a:extLst>
          </xdr:cNvPr>
          <xdr:cNvSpPr>
            <a:spLocks noChangeShapeType="1"/>
          </xdr:cNvSpPr>
        </xdr:nvSpPr>
        <xdr:spPr bwMode="auto">
          <a:xfrm>
            <a:off x="3129395" y="665018"/>
            <a:ext cx="0" cy="276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5">
            <a:extLst>
              <a:ext uri="{FF2B5EF4-FFF2-40B4-BE49-F238E27FC236}">
                <a16:creationId xmlns:a16="http://schemas.microsoft.com/office/drawing/2014/main" id="{2B0B881D-B76D-43B8-823D-C075F7C8FE4E}"/>
              </a:ext>
            </a:extLst>
          </xdr:cNvPr>
          <xdr:cNvSpPr>
            <a:spLocks noChangeShapeType="1"/>
          </xdr:cNvSpPr>
        </xdr:nvSpPr>
        <xdr:spPr bwMode="auto">
          <a:xfrm>
            <a:off x="3129395" y="941243"/>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6">
            <a:extLst>
              <a:ext uri="{FF2B5EF4-FFF2-40B4-BE49-F238E27FC236}">
                <a16:creationId xmlns:a16="http://schemas.microsoft.com/office/drawing/2014/main" id="{A7628E37-0B42-4432-A706-A484C601CF7F}"/>
              </a:ext>
            </a:extLst>
          </xdr:cNvPr>
          <xdr:cNvSpPr>
            <a:spLocks noChangeShapeType="1"/>
          </xdr:cNvSpPr>
        </xdr:nvSpPr>
        <xdr:spPr bwMode="auto">
          <a:xfrm flipV="1">
            <a:off x="3243695" y="884093"/>
            <a:ext cx="0" cy="57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7">
            <a:extLst>
              <a:ext uri="{FF2B5EF4-FFF2-40B4-BE49-F238E27FC236}">
                <a16:creationId xmlns:a16="http://schemas.microsoft.com/office/drawing/2014/main" id="{FE1F29A4-E27C-4259-A155-FA52B1CE8762}"/>
              </a:ext>
            </a:extLst>
          </xdr:cNvPr>
          <xdr:cNvSpPr>
            <a:spLocks noChangeShapeType="1"/>
          </xdr:cNvSpPr>
        </xdr:nvSpPr>
        <xdr:spPr bwMode="auto">
          <a:xfrm>
            <a:off x="3129395" y="6650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 name="Line 8">
            <a:extLst>
              <a:ext uri="{FF2B5EF4-FFF2-40B4-BE49-F238E27FC236}">
                <a16:creationId xmlns:a16="http://schemas.microsoft.com/office/drawing/2014/main" id="{BC72B4C9-516A-43AD-846A-BB0ED94407BE}"/>
              </a:ext>
            </a:extLst>
          </xdr:cNvPr>
          <xdr:cNvSpPr>
            <a:spLocks noChangeShapeType="1"/>
          </xdr:cNvSpPr>
        </xdr:nvSpPr>
        <xdr:spPr bwMode="auto">
          <a:xfrm>
            <a:off x="3243695" y="665018"/>
            <a:ext cx="0" cy="104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 name="Line 9">
            <a:extLst>
              <a:ext uri="{FF2B5EF4-FFF2-40B4-BE49-F238E27FC236}">
                <a16:creationId xmlns:a16="http://schemas.microsoft.com/office/drawing/2014/main" id="{8DBBC6C8-1E18-474C-8843-60662FCFC21B}"/>
              </a:ext>
            </a:extLst>
          </xdr:cNvPr>
          <xdr:cNvSpPr>
            <a:spLocks noChangeShapeType="1"/>
          </xdr:cNvSpPr>
        </xdr:nvSpPr>
        <xdr:spPr bwMode="auto">
          <a:xfrm>
            <a:off x="3243695" y="769793"/>
            <a:ext cx="5723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10">
            <a:extLst>
              <a:ext uri="{FF2B5EF4-FFF2-40B4-BE49-F238E27FC236}">
                <a16:creationId xmlns:a16="http://schemas.microsoft.com/office/drawing/2014/main" id="{50EF8B30-32A5-4FF4-8EEB-D8E39C6F2B10}"/>
              </a:ext>
            </a:extLst>
          </xdr:cNvPr>
          <xdr:cNvSpPr>
            <a:spLocks noChangeShapeType="1"/>
          </xdr:cNvSpPr>
        </xdr:nvSpPr>
        <xdr:spPr bwMode="auto">
          <a:xfrm>
            <a:off x="3243695" y="884093"/>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 name="Line 11">
            <a:extLst>
              <a:ext uri="{FF2B5EF4-FFF2-40B4-BE49-F238E27FC236}">
                <a16:creationId xmlns:a16="http://schemas.microsoft.com/office/drawing/2014/main" id="{0C4AE94F-5544-458B-A68D-544AE7E078FA}"/>
              </a:ext>
            </a:extLst>
          </xdr:cNvPr>
          <xdr:cNvSpPr>
            <a:spLocks noChangeShapeType="1"/>
          </xdr:cNvSpPr>
        </xdr:nvSpPr>
        <xdr:spPr bwMode="auto">
          <a:xfrm>
            <a:off x="3644611" y="884093"/>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Line 12">
            <a:extLst>
              <a:ext uri="{FF2B5EF4-FFF2-40B4-BE49-F238E27FC236}">
                <a16:creationId xmlns:a16="http://schemas.microsoft.com/office/drawing/2014/main" id="{74F9B5D3-995E-4416-962C-411C5C387A5C}"/>
              </a:ext>
            </a:extLst>
          </xdr:cNvPr>
          <xdr:cNvSpPr>
            <a:spLocks noChangeShapeType="1"/>
          </xdr:cNvSpPr>
        </xdr:nvSpPr>
        <xdr:spPr bwMode="auto">
          <a:xfrm>
            <a:off x="3644611" y="1093643"/>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 name="Line 13">
            <a:extLst>
              <a:ext uri="{FF2B5EF4-FFF2-40B4-BE49-F238E27FC236}">
                <a16:creationId xmlns:a16="http://schemas.microsoft.com/office/drawing/2014/main" id="{7582ECA6-5E14-4B7F-8415-990318CCDA3E}"/>
              </a:ext>
            </a:extLst>
          </xdr:cNvPr>
          <xdr:cNvSpPr>
            <a:spLocks noChangeShapeType="1"/>
          </xdr:cNvSpPr>
        </xdr:nvSpPr>
        <xdr:spPr bwMode="auto">
          <a:xfrm flipV="1">
            <a:off x="3758911" y="884093"/>
            <a:ext cx="0"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Line 14">
            <a:extLst>
              <a:ext uri="{FF2B5EF4-FFF2-40B4-BE49-F238E27FC236}">
                <a16:creationId xmlns:a16="http://schemas.microsoft.com/office/drawing/2014/main" id="{EC6C56B2-BB62-4EC7-A991-D50E51F87F25}"/>
              </a:ext>
            </a:extLst>
          </xdr:cNvPr>
          <xdr:cNvSpPr>
            <a:spLocks noChangeShapeType="1"/>
          </xdr:cNvSpPr>
        </xdr:nvSpPr>
        <xdr:spPr bwMode="auto">
          <a:xfrm>
            <a:off x="3758911" y="884093"/>
            <a:ext cx="5715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15" name="Line 15">
            <a:extLst>
              <a:ext uri="{FF2B5EF4-FFF2-40B4-BE49-F238E27FC236}">
                <a16:creationId xmlns:a16="http://schemas.microsoft.com/office/drawing/2014/main" id="{B21F9E19-1EF5-4091-AB30-71F14FA2372A}"/>
              </a:ext>
            </a:extLst>
          </xdr:cNvPr>
          <xdr:cNvSpPr>
            <a:spLocks noChangeShapeType="1"/>
          </xdr:cNvSpPr>
        </xdr:nvSpPr>
        <xdr:spPr bwMode="auto">
          <a:xfrm flipV="1">
            <a:off x="3644611" y="1388917"/>
            <a:ext cx="0" cy="38576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16">
            <a:extLst>
              <a:ext uri="{FF2B5EF4-FFF2-40B4-BE49-F238E27FC236}">
                <a16:creationId xmlns:a16="http://schemas.microsoft.com/office/drawing/2014/main" id="{9E09859D-2B4E-461A-AE7A-83F134947FD8}"/>
              </a:ext>
            </a:extLst>
          </xdr:cNvPr>
          <xdr:cNvSpPr>
            <a:spLocks noChangeShapeType="1"/>
          </xdr:cNvSpPr>
        </xdr:nvSpPr>
        <xdr:spPr bwMode="auto">
          <a:xfrm flipV="1">
            <a:off x="3758911" y="1384155"/>
            <a:ext cx="0" cy="20478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Line 17">
            <a:extLst>
              <a:ext uri="{FF2B5EF4-FFF2-40B4-BE49-F238E27FC236}">
                <a16:creationId xmlns:a16="http://schemas.microsoft.com/office/drawing/2014/main" id="{4D86043D-5337-480E-94A1-3F6BBB891239}"/>
              </a:ext>
            </a:extLst>
          </xdr:cNvPr>
          <xdr:cNvSpPr>
            <a:spLocks noChangeShapeType="1"/>
          </xdr:cNvSpPr>
        </xdr:nvSpPr>
        <xdr:spPr bwMode="auto">
          <a:xfrm>
            <a:off x="3644611" y="13889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 name="Line 18">
            <a:extLst>
              <a:ext uri="{FF2B5EF4-FFF2-40B4-BE49-F238E27FC236}">
                <a16:creationId xmlns:a16="http://schemas.microsoft.com/office/drawing/2014/main" id="{445872D9-ABD0-4AB2-B765-4B1DD4800EDB}"/>
              </a:ext>
            </a:extLst>
          </xdr:cNvPr>
          <xdr:cNvSpPr>
            <a:spLocks noChangeShapeType="1"/>
          </xdr:cNvSpPr>
        </xdr:nvSpPr>
        <xdr:spPr bwMode="auto">
          <a:xfrm>
            <a:off x="3758911" y="1588943"/>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 name="Line 19">
            <a:extLst>
              <a:ext uri="{FF2B5EF4-FFF2-40B4-BE49-F238E27FC236}">
                <a16:creationId xmlns:a16="http://schemas.microsoft.com/office/drawing/2014/main" id="{E83BD82B-5E20-4DC8-8674-B46B8034E0F3}"/>
              </a:ext>
            </a:extLst>
          </xdr:cNvPr>
          <xdr:cNvSpPr>
            <a:spLocks noChangeShapeType="1"/>
          </xdr:cNvSpPr>
        </xdr:nvSpPr>
        <xdr:spPr bwMode="auto">
          <a:xfrm flipH="1">
            <a:off x="3758911" y="1703243"/>
            <a:ext cx="342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 name="Line 20">
            <a:extLst>
              <a:ext uri="{FF2B5EF4-FFF2-40B4-BE49-F238E27FC236}">
                <a16:creationId xmlns:a16="http://schemas.microsoft.com/office/drawing/2014/main" id="{21EAD421-84AB-43FB-89A2-AC02FA90EAD3}"/>
              </a:ext>
            </a:extLst>
          </xdr:cNvPr>
          <xdr:cNvSpPr>
            <a:spLocks noChangeShapeType="1"/>
          </xdr:cNvSpPr>
        </xdr:nvSpPr>
        <xdr:spPr bwMode="auto">
          <a:xfrm>
            <a:off x="3758911" y="1703243"/>
            <a:ext cx="0" cy="73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21">
            <a:extLst>
              <a:ext uri="{FF2B5EF4-FFF2-40B4-BE49-F238E27FC236}">
                <a16:creationId xmlns:a16="http://schemas.microsoft.com/office/drawing/2014/main" id="{DF1EDDF2-2846-438A-BD19-4CF783A0721B}"/>
              </a:ext>
            </a:extLst>
          </xdr:cNvPr>
          <xdr:cNvSpPr>
            <a:spLocks noChangeShapeType="1"/>
          </xdr:cNvSpPr>
        </xdr:nvSpPr>
        <xdr:spPr bwMode="auto">
          <a:xfrm>
            <a:off x="3644611" y="1769918"/>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Line 3">
            <a:extLst>
              <a:ext uri="{FF2B5EF4-FFF2-40B4-BE49-F238E27FC236}">
                <a16:creationId xmlns:a16="http://schemas.microsoft.com/office/drawing/2014/main" id="{D6BD016D-83AE-40D4-B8CA-6733D8822983}"/>
              </a:ext>
            </a:extLst>
          </xdr:cNvPr>
          <xdr:cNvSpPr>
            <a:spLocks noChangeShapeType="1"/>
          </xdr:cNvSpPr>
        </xdr:nvSpPr>
        <xdr:spPr bwMode="auto">
          <a:xfrm flipV="1">
            <a:off x="3754677" y="535901"/>
            <a:ext cx="0" cy="176742"/>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3" name="Line 22">
            <a:extLst>
              <a:ext uri="{FF2B5EF4-FFF2-40B4-BE49-F238E27FC236}">
                <a16:creationId xmlns:a16="http://schemas.microsoft.com/office/drawing/2014/main" id="{417444FA-C4C7-47F5-8D81-3B3B72D1361B}"/>
              </a:ext>
            </a:extLst>
          </xdr:cNvPr>
          <xdr:cNvSpPr>
            <a:spLocks noChangeShapeType="1"/>
          </xdr:cNvSpPr>
        </xdr:nvSpPr>
        <xdr:spPr bwMode="auto">
          <a:xfrm flipV="1">
            <a:off x="3129395" y="535901"/>
            <a:ext cx="0" cy="100995"/>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4" name="Line 23">
            <a:extLst>
              <a:ext uri="{FF2B5EF4-FFF2-40B4-BE49-F238E27FC236}">
                <a16:creationId xmlns:a16="http://schemas.microsoft.com/office/drawing/2014/main" id="{4B3CE535-02EA-4D0C-85C0-97AF2D3556FD}"/>
              </a:ext>
            </a:extLst>
          </xdr:cNvPr>
          <xdr:cNvSpPr>
            <a:spLocks noChangeShapeType="1"/>
          </xdr:cNvSpPr>
        </xdr:nvSpPr>
        <xdr:spPr bwMode="auto">
          <a:xfrm>
            <a:off x="3129395" y="535901"/>
            <a:ext cx="625282"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25" name="Line 24">
            <a:extLst>
              <a:ext uri="{FF2B5EF4-FFF2-40B4-BE49-F238E27FC236}">
                <a16:creationId xmlns:a16="http://schemas.microsoft.com/office/drawing/2014/main" id="{A5D0A06B-45CF-43ED-B08B-CB6E83BAED5F}"/>
              </a:ext>
            </a:extLst>
          </xdr:cNvPr>
          <xdr:cNvSpPr>
            <a:spLocks noChangeShapeType="1"/>
          </xdr:cNvSpPr>
        </xdr:nvSpPr>
        <xdr:spPr bwMode="auto">
          <a:xfrm flipH="1">
            <a:off x="2499014" y="931718"/>
            <a:ext cx="5723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6" name="Line 25">
            <a:extLst>
              <a:ext uri="{FF2B5EF4-FFF2-40B4-BE49-F238E27FC236}">
                <a16:creationId xmlns:a16="http://schemas.microsoft.com/office/drawing/2014/main" id="{D6A9E493-F239-4C4A-931C-3269206F9E55}"/>
              </a:ext>
            </a:extLst>
          </xdr:cNvPr>
          <xdr:cNvSpPr>
            <a:spLocks noChangeShapeType="1"/>
          </xdr:cNvSpPr>
        </xdr:nvSpPr>
        <xdr:spPr bwMode="auto">
          <a:xfrm flipH="1">
            <a:off x="2499014" y="1731818"/>
            <a:ext cx="1030431"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7" name="Line 26">
            <a:extLst>
              <a:ext uri="{FF2B5EF4-FFF2-40B4-BE49-F238E27FC236}">
                <a16:creationId xmlns:a16="http://schemas.microsoft.com/office/drawing/2014/main" id="{C3E8FDC6-FDA2-4A87-99A3-7E8504E53CA0}"/>
              </a:ext>
            </a:extLst>
          </xdr:cNvPr>
          <xdr:cNvSpPr>
            <a:spLocks noChangeShapeType="1"/>
          </xdr:cNvSpPr>
        </xdr:nvSpPr>
        <xdr:spPr bwMode="auto">
          <a:xfrm flipV="1">
            <a:off x="2499014" y="931717"/>
            <a:ext cx="0" cy="809625"/>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28" name="Line 27">
            <a:extLst>
              <a:ext uri="{FF2B5EF4-FFF2-40B4-BE49-F238E27FC236}">
                <a16:creationId xmlns:a16="http://schemas.microsoft.com/office/drawing/2014/main" id="{B03E133A-FAC0-4B3B-9337-8AF35EC8AAA7}"/>
              </a:ext>
            </a:extLst>
          </xdr:cNvPr>
          <xdr:cNvSpPr>
            <a:spLocks noChangeShapeType="1"/>
          </xdr:cNvSpPr>
        </xdr:nvSpPr>
        <xdr:spPr bwMode="auto">
          <a:xfrm flipH="1">
            <a:off x="2728480" y="1388918"/>
            <a:ext cx="800965"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29" name="Line 28">
            <a:extLst>
              <a:ext uri="{FF2B5EF4-FFF2-40B4-BE49-F238E27FC236}">
                <a16:creationId xmlns:a16="http://schemas.microsoft.com/office/drawing/2014/main" id="{222EEC56-DEA4-4371-A328-DEAA5A39DFDA}"/>
              </a:ext>
            </a:extLst>
          </xdr:cNvPr>
          <xdr:cNvSpPr>
            <a:spLocks noChangeShapeType="1"/>
          </xdr:cNvSpPr>
        </xdr:nvSpPr>
        <xdr:spPr bwMode="auto">
          <a:xfrm flipV="1">
            <a:off x="2728480" y="1388918"/>
            <a:ext cx="0" cy="34290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30" name="Line 29">
            <a:extLst>
              <a:ext uri="{FF2B5EF4-FFF2-40B4-BE49-F238E27FC236}">
                <a16:creationId xmlns:a16="http://schemas.microsoft.com/office/drawing/2014/main" id="{CBD66EAB-B58E-418F-A7ED-01059FBDC4ED}"/>
              </a:ext>
            </a:extLst>
          </xdr:cNvPr>
          <xdr:cNvSpPr>
            <a:spLocks noChangeShapeType="1"/>
          </xdr:cNvSpPr>
        </xdr:nvSpPr>
        <xdr:spPr bwMode="auto">
          <a:xfrm flipV="1">
            <a:off x="2728480" y="1088881"/>
            <a:ext cx="0" cy="296574"/>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31" name="Line 30">
            <a:extLst>
              <a:ext uri="{FF2B5EF4-FFF2-40B4-BE49-F238E27FC236}">
                <a16:creationId xmlns:a16="http://schemas.microsoft.com/office/drawing/2014/main" id="{D7393D4A-0252-460B-8B9D-DD45133EB1A3}"/>
              </a:ext>
            </a:extLst>
          </xdr:cNvPr>
          <xdr:cNvSpPr>
            <a:spLocks noChangeShapeType="1"/>
          </xdr:cNvSpPr>
        </xdr:nvSpPr>
        <xdr:spPr bwMode="auto">
          <a:xfrm flipH="1">
            <a:off x="2728480" y="1093643"/>
            <a:ext cx="858115"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32" name="テキスト 63">
            <a:extLst>
              <a:ext uri="{FF2B5EF4-FFF2-40B4-BE49-F238E27FC236}">
                <a16:creationId xmlns:a16="http://schemas.microsoft.com/office/drawing/2014/main" id="{EE61F7E9-5645-410E-9F94-A3B02FFC0ADA}"/>
              </a:ext>
            </a:extLst>
          </xdr:cNvPr>
          <xdr:cNvSpPr txBox="1">
            <a:spLocks noChangeArrowheads="1"/>
          </xdr:cNvSpPr>
        </xdr:nvSpPr>
        <xdr:spPr bwMode="auto">
          <a:xfrm>
            <a:off x="2346614" y="1222232"/>
            <a:ext cx="190500" cy="138112"/>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3" name="テキスト 64">
            <a:extLst>
              <a:ext uri="{FF2B5EF4-FFF2-40B4-BE49-F238E27FC236}">
                <a16:creationId xmlns:a16="http://schemas.microsoft.com/office/drawing/2014/main" id="{2B97996C-1B24-4EDE-94F6-3215D7F86FAA}"/>
              </a:ext>
            </a:extLst>
          </xdr:cNvPr>
          <xdr:cNvSpPr txBox="1">
            <a:spLocks noChangeArrowheads="1"/>
          </xdr:cNvSpPr>
        </xdr:nvSpPr>
        <xdr:spPr bwMode="auto">
          <a:xfrm>
            <a:off x="2576080" y="1198418"/>
            <a:ext cx="209550" cy="12382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4" name="テキスト 65">
            <a:extLst>
              <a:ext uri="{FF2B5EF4-FFF2-40B4-BE49-F238E27FC236}">
                <a16:creationId xmlns:a16="http://schemas.microsoft.com/office/drawing/2014/main" id="{4DA6E8E7-EC40-4049-8D7B-DD71129BB1E6}"/>
              </a:ext>
            </a:extLst>
          </xdr:cNvPr>
          <xdr:cNvSpPr txBox="1">
            <a:spLocks noChangeArrowheads="1"/>
          </xdr:cNvSpPr>
        </xdr:nvSpPr>
        <xdr:spPr bwMode="auto">
          <a:xfrm>
            <a:off x="2576080" y="1450831"/>
            <a:ext cx="209550" cy="1905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vert270"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h'</a:t>
            </a:r>
            <a:endParaRPr lang="ja-JP" altLang="en-US"/>
          </a:p>
        </xdr:txBody>
      </xdr:sp>
      <xdr:sp macro="" textlink="">
        <xdr:nvSpPr>
          <xdr:cNvPr id="35" name="テキスト 66">
            <a:extLst>
              <a:ext uri="{FF2B5EF4-FFF2-40B4-BE49-F238E27FC236}">
                <a16:creationId xmlns:a16="http://schemas.microsoft.com/office/drawing/2014/main" id="{7D929E6C-7D34-4C9F-B071-AD282B24FB57}"/>
              </a:ext>
            </a:extLst>
          </xdr:cNvPr>
          <xdr:cNvSpPr txBox="1">
            <a:spLocks noChangeArrowheads="1"/>
          </xdr:cNvSpPr>
        </xdr:nvSpPr>
        <xdr:spPr bwMode="auto">
          <a:xfrm>
            <a:off x="3359856" y="371637"/>
            <a:ext cx="133606" cy="203645"/>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noAutofit/>
          </a:bodyPr>
          <a:lstStyle/>
          <a:p>
            <a:pPr algn="ctr" rtl="0">
              <a:defRPr sz="1000"/>
            </a:pPr>
            <a:r>
              <a:rPr lang="ja-JP" altLang="en-US" sz="1000" b="0" i="0" u="none" strike="noStrike" baseline="0">
                <a:solidFill>
                  <a:srgbClr val="000000"/>
                </a:solidFill>
                <a:latin typeface="ＭＳ ゴシック"/>
                <a:ea typeface="ＭＳ ゴシック"/>
              </a:rPr>
              <a:t>W</a:t>
            </a:r>
            <a:endParaRPr lang="ja-JP" altLang="en-US"/>
          </a:p>
        </xdr:txBody>
      </xdr:sp>
    </xdr:grpSp>
    <xdr:clientData/>
  </xdr:twoCellAnchor>
  <xdr:twoCellAnchor>
    <xdr:from>
      <xdr:col>8</xdr:col>
      <xdr:colOff>152399</xdr:colOff>
      <xdr:row>3</xdr:row>
      <xdr:rowOff>24246</xdr:rowOff>
    </xdr:from>
    <xdr:to>
      <xdr:col>13</xdr:col>
      <xdr:colOff>304799</xdr:colOff>
      <xdr:row>8</xdr:row>
      <xdr:rowOff>50827</xdr:rowOff>
    </xdr:to>
    <xdr:grpSp>
      <xdr:nvGrpSpPr>
        <xdr:cNvPr id="36" name="グループ化 35">
          <a:extLst>
            <a:ext uri="{FF2B5EF4-FFF2-40B4-BE49-F238E27FC236}">
              <a16:creationId xmlns:a16="http://schemas.microsoft.com/office/drawing/2014/main" id="{62D7BEF5-56E8-4C84-B647-7094D8C62838}"/>
            </a:ext>
          </a:extLst>
        </xdr:cNvPr>
        <xdr:cNvGrpSpPr/>
      </xdr:nvGrpSpPr>
      <xdr:grpSpPr>
        <a:xfrm>
          <a:off x="4248149" y="726715"/>
          <a:ext cx="2712244" cy="979081"/>
          <a:chOff x="4274127" y="855518"/>
          <a:chExt cx="2728480" cy="979081"/>
        </a:xfrm>
      </xdr:grpSpPr>
      <xdr:sp macro="" textlink="">
        <xdr:nvSpPr>
          <xdr:cNvPr id="37" name="Line 37">
            <a:extLst>
              <a:ext uri="{FF2B5EF4-FFF2-40B4-BE49-F238E27FC236}">
                <a16:creationId xmlns:a16="http://schemas.microsoft.com/office/drawing/2014/main" id="{2FCB5981-C189-4B95-9ED2-D1FCB2AB34EA}"/>
              </a:ext>
            </a:extLst>
          </xdr:cNvPr>
          <xdr:cNvSpPr>
            <a:spLocks noChangeShapeType="1"/>
          </xdr:cNvSpPr>
        </xdr:nvSpPr>
        <xdr:spPr bwMode="auto">
          <a:xfrm>
            <a:off x="4770293" y="855518"/>
            <a:ext cx="6295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 name="Line 38">
            <a:extLst>
              <a:ext uri="{FF2B5EF4-FFF2-40B4-BE49-F238E27FC236}">
                <a16:creationId xmlns:a16="http://schemas.microsoft.com/office/drawing/2014/main" id="{2533CF55-0243-482F-AEA3-E38772EA3B5E}"/>
              </a:ext>
            </a:extLst>
          </xdr:cNvPr>
          <xdr:cNvSpPr>
            <a:spLocks noChangeShapeType="1"/>
          </xdr:cNvSpPr>
        </xdr:nvSpPr>
        <xdr:spPr bwMode="auto">
          <a:xfrm>
            <a:off x="5399809" y="855518"/>
            <a:ext cx="0" cy="1151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 name="Line 39">
            <a:extLst>
              <a:ext uri="{FF2B5EF4-FFF2-40B4-BE49-F238E27FC236}">
                <a16:creationId xmlns:a16="http://schemas.microsoft.com/office/drawing/2014/main" id="{E15EF7CA-2CD6-4716-AF93-049AF0759930}"/>
              </a:ext>
            </a:extLst>
          </xdr:cNvPr>
          <xdr:cNvSpPr>
            <a:spLocks noChangeShapeType="1"/>
          </xdr:cNvSpPr>
        </xdr:nvSpPr>
        <xdr:spPr bwMode="auto">
          <a:xfrm flipH="1">
            <a:off x="4998893" y="970704"/>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 name="Line 40">
            <a:extLst>
              <a:ext uri="{FF2B5EF4-FFF2-40B4-BE49-F238E27FC236}">
                <a16:creationId xmlns:a16="http://schemas.microsoft.com/office/drawing/2014/main" id="{F0B43D96-B143-4AB2-B671-518E14CD97A6}"/>
              </a:ext>
            </a:extLst>
          </xdr:cNvPr>
          <xdr:cNvSpPr>
            <a:spLocks noChangeShapeType="1"/>
          </xdr:cNvSpPr>
        </xdr:nvSpPr>
        <xdr:spPr bwMode="auto">
          <a:xfrm>
            <a:off x="4998893"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 name="Line 41">
            <a:extLst>
              <a:ext uri="{FF2B5EF4-FFF2-40B4-BE49-F238E27FC236}">
                <a16:creationId xmlns:a16="http://schemas.microsoft.com/office/drawing/2014/main" id="{65CDE9E6-CABB-4A4D-886B-C7CA7D83F7C3}"/>
              </a:ext>
            </a:extLst>
          </xdr:cNvPr>
          <xdr:cNvSpPr>
            <a:spLocks noChangeShapeType="1"/>
          </xdr:cNvSpPr>
        </xdr:nvSpPr>
        <xdr:spPr bwMode="auto">
          <a:xfrm flipH="1">
            <a:off x="4884593" y="1201076"/>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 name="Line 42">
            <a:extLst>
              <a:ext uri="{FF2B5EF4-FFF2-40B4-BE49-F238E27FC236}">
                <a16:creationId xmlns:a16="http://schemas.microsoft.com/office/drawing/2014/main" id="{F29CCC80-DDA1-4F3D-A923-2354A8798FF0}"/>
              </a:ext>
            </a:extLst>
          </xdr:cNvPr>
          <xdr:cNvSpPr>
            <a:spLocks noChangeShapeType="1"/>
          </xdr:cNvSpPr>
        </xdr:nvSpPr>
        <xdr:spPr bwMode="auto">
          <a:xfrm flipV="1">
            <a:off x="4884593"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 name="Line 43">
            <a:extLst>
              <a:ext uri="{FF2B5EF4-FFF2-40B4-BE49-F238E27FC236}">
                <a16:creationId xmlns:a16="http://schemas.microsoft.com/office/drawing/2014/main" id="{F22B0204-C4A7-4123-8292-EA92E2F816EC}"/>
              </a:ext>
            </a:extLst>
          </xdr:cNvPr>
          <xdr:cNvSpPr>
            <a:spLocks noChangeShapeType="1"/>
          </xdr:cNvSpPr>
        </xdr:nvSpPr>
        <xdr:spPr bwMode="auto">
          <a:xfrm flipH="1">
            <a:off x="4770293" y="970704"/>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4" name="Line 44">
            <a:extLst>
              <a:ext uri="{FF2B5EF4-FFF2-40B4-BE49-F238E27FC236}">
                <a16:creationId xmlns:a16="http://schemas.microsoft.com/office/drawing/2014/main" id="{B22136B4-5253-4C97-ADCC-6D142752151F}"/>
              </a:ext>
            </a:extLst>
          </xdr:cNvPr>
          <xdr:cNvSpPr>
            <a:spLocks noChangeShapeType="1"/>
          </xdr:cNvSpPr>
        </xdr:nvSpPr>
        <xdr:spPr bwMode="auto">
          <a:xfrm flipV="1">
            <a:off x="6315941" y="855518"/>
            <a:ext cx="68666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5" name="Line 45">
            <a:extLst>
              <a:ext uri="{FF2B5EF4-FFF2-40B4-BE49-F238E27FC236}">
                <a16:creationId xmlns:a16="http://schemas.microsoft.com/office/drawing/2014/main" id="{5711E35B-E33B-4CC6-9147-E9C06AD5DB09}"/>
              </a:ext>
            </a:extLst>
          </xdr:cNvPr>
          <xdr:cNvSpPr>
            <a:spLocks noChangeShapeType="1"/>
          </xdr:cNvSpPr>
        </xdr:nvSpPr>
        <xdr:spPr bwMode="auto">
          <a:xfrm>
            <a:off x="6315941" y="855518"/>
            <a:ext cx="0" cy="11518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6" name="Line 46">
            <a:extLst>
              <a:ext uri="{FF2B5EF4-FFF2-40B4-BE49-F238E27FC236}">
                <a16:creationId xmlns:a16="http://schemas.microsoft.com/office/drawing/2014/main" id="{355667DA-64BA-47FA-A688-4373A5F5EC77}"/>
              </a:ext>
            </a:extLst>
          </xdr:cNvPr>
          <xdr:cNvSpPr>
            <a:spLocks noChangeShapeType="1"/>
          </xdr:cNvSpPr>
        </xdr:nvSpPr>
        <xdr:spPr bwMode="auto">
          <a:xfrm>
            <a:off x="6315941" y="970704"/>
            <a:ext cx="4009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7" name="Line 47">
            <a:extLst>
              <a:ext uri="{FF2B5EF4-FFF2-40B4-BE49-F238E27FC236}">
                <a16:creationId xmlns:a16="http://schemas.microsoft.com/office/drawing/2014/main" id="{5B52FF1C-3B24-4826-8774-3239739B4901}"/>
              </a:ext>
            </a:extLst>
          </xdr:cNvPr>
          <xdr:cNvSpPr>
            <a:spLocks noChangeShapeType="1"/>
          </xdr:cNvSpPr>
        </xdr:nvSpPr>
        <xdr:spPr bwMode="auto">
          <a:xfrm>
            <a:off x="5399809" y="913111"/>
            <a:ext cx="916132" cy="0"/>
          </a:xfrm>
          <a:prstGeom prst="line">
            <a:avLst/>
          </a:prstGeom>
          <a:noFill/>
          <a:ln w="1">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sp macro="" textlink="">
        <xdr:nvSpPr>
          <xdr:cNvPr id="48" name="Line 48">
            <a:extLst>
              <a:ext uri="{FF2B5EF4-FFF2-40B4-BE49-F238E27FC236}">
                <a16:creationId xmlns:a16="http://schemas.microsoft.com/office/drawing/2014/main" id="{ACC49793-4245-4EDD-A481-840E148E8470}"/>
              </a:ext>
            </a:extLst>
          </xdr:cNvPr>
          <xdr:cNvSpPr>
            <a:spLocks noChangeShapeType="1"/>
          </xdr:cNvSpPr>
        </xdr:nvSpPr>
        <xdr:spPr bwMode="auto">
          <a:xfrm>
            <a:off x="6831157"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9" name="Line 49">
            <a:extLst>
              <a:ext uri="{FF2B5EF4-FFF2-40B4-BE49-F238E27FC236}">
                <a16:creationId xmlns:a16="http://schemas.microsoft.com/office/drawing/2014/main" id="{DBAA6A0B-70A0-48C0-9B20-6C5E04F4A6D1}"/>
              </a:ext>
            </a:extLst>
          </xdr:cNvPr>
          <xdr:cNvSpPr>
            <a:spLocks noChangeShapeType="1"/>
          </xdr:cNvSpPr>
        </xdr:nvSpPr>
        <xdr:spPr bwMode="auto">
          <a:xfrm flipH="1">
            <a:off x="6716857" y="1201076"/>
            <a:ext cx="114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0" name="Line 50">
            <a:extLst>
              <a:ext uri="{FF2B5EF4-FFF2-40B4-BE49-F238E27FC236}">
                <a16:creationId xmlns:a16="http://schemas.microsoft.com/office/drawing/2014/main" id="{DA13D4DE-580B-46AF-920D-AD5F02008E7C}"/>
              </a:ext>
            </a:extLst>
          </xdr:cNvPr>
          <xdr:cNvSpPr>
            <a:spLocks noChangeShapeType="1"/>
          </xdr:cNvSpPr>
        </xdr:nvSpPr>
        <xdr:spPr bwMode="auto">
          <a:xfrm flipV="1">
            <a:off x="6716857" y="970704"/>
            <a:ext cx="0" cy="23037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1" name="Line 51">
            <a:extLst>
              <a:ext uri="{FF2B5EF4-FFF2-40B4-BE49-F238E27FC236}">
                <a16:creationId xmlns:a16="http://schemas.microsoft.com/office/drawing/2014/main" id="{E6D2B0CC-ABEF-400A-8DE6-34E70AFB4BE8}"/>
              </a:ext>
            </a:extLst>
          </xdr:cNvPr>
          <xdr:cNvSpPr>
            <a:spLocks noChangeShapeType="1"/>
          </xdr:cNvSpPr>
        </xdr:nvSpPr>
        <xdr:spPr bwMode="auto">
          <a:xfrm>
            <a:off x="6831157" y="970704"/>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2" name="Line 52">
            <a:extLst>
              <a:ext uri="{FF2B5EF4-FFF2-40B4-BE49-F238E27FC236}">
                <a16:creationId xmlns:a16="http://schemas.microsoft.com/office/drawing/2014/main" id="{3FD3CB8A-1AD2-4197-BFD9-4508F2690C56}"/>
              </a:ext>
            </a:extLst>
          </xdr:cNvPr>
          <xdr:cNvSpPr>
            <a:spLocks noChangeShapeType="1"/>
          </xdr:cNvSpPr>
        </xdr:nvSpPr>
        <xdr:spPr bwMode="auto">
          <a:xfrm>
            <a:off x="5399809" y="1028297"/>
            <a:ext cx="0" cy="460744"/>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3" name="Line 53">
            <a:extLst>
              <a:ext uri="{FF2B5EF4-FFF2-40B4-BE49-F238E27FC236}">
                <a16:creationId xmlns:a16="http://schemas.microsoft.com/office/drawing/2014/main" id="{60023F5A-2633-4928-952B-98FA27C907EE}"/>
              </a:ext>
            </a:extLst>
          </xdr:cNvPr>
          <xdr:cNvSpPr>
            <a:spLocks noChangeShapeType="1"/>
          </xdr:cNvSpPr>
        </xdr:nvSpPr>
        <xdr:spPr bwMode="auto">
          <a:xfrm>
            <a:off x="6315941" y="1028297"/>
            <a:ext cx="0" cy="460744"/>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4" name="Line 54">
            <a:extLst>
              <a:ext uri="{FF2B5EF4-FFF2-40B4-BE49-F238E27FC236}">
                <a16:creationId xmlns:a16="http://schemas.microsoft.com/office/drawing/2014/main" id="{6B463FA0-BC5F-4636-8743-282B01B04D46}"/>
              </a:ext>
            </a:extLst>
          </xdr:cNvPr>
          <xdr:cNvSpPr>
            <a:spLocks noChangeShapeType="1"/>
          </xdr:cNvSpPr>
        </xdr:nvSpPr>
        <xdr:spPr bwMode="auto">
          <a:xfrm>
            <a:off x="4998893" y="1258669"/>
            <a:ext cx="0" cy="57593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5" name="Line 55">
            <a:extLst>
              <a:ext uri="{FF2B5EF4-FFF2-40B4-BE49-F238E27FC236}">
                <a16:creationId xmlns:a16="http://schemas.microsoft.com/office/drawing/2014/main" id="{F375EE49-DEEE-4749-9C41-5CD18EBC5F61}"/>
              </a:ext>
            </a:extLst>
          </xdr:cNvPr>
          <xdr:cNvSpPr>
            <a:spLocks noChangeShapeType="1"/>
          </xdr:cNvSpPr>
        </xdr:nvSpPr>
        <xdr:spPr bwMode="auto">
          <a:xfrm>
            <a:off x="6716857" y="1258669"/>
            <a:ext cx="0" cy="57593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6" name="Line 56">
            <a:extLst>
              <a:ext uri="{FF2B5EF4-FFF2-40B4-BE49-F238E27FC236}">
                <a16:creationId xmlns:a16="http://schemas.microsoft.com/office/drawing/2014/main" id="{8B57FFC2-78BA-4E76-B515-CC633D9FB73D}"/>
              </a:ext>
            </a:extLst>
          </xdr:cNvPr>
          <xdr:cNvSpPr>
            <a:spLocks noChangeShapeType="1"/>
          </xdr:cNvSpPr>
        </xdr:nvSpPr>
        <xdr:spPr bwMode="auto">
          <a:xfrm flipH="1">
            <a:off x="4426527" y="913111"/>
            <a:ext cx="2294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7" name="Line 57">
            <a:extLst>
              <a:ext uri="{FF2B5EF4-FFF2-40B4-BE49-F238E27FC236}">
                <a16:creationId xmlns:a16="http://schemas.microsoft.com/office/drawing/2014/main" id="{F2794381-96B2-440C-A87D-55D1962926EF}"/>
              </a:ext>
            </a:extLst>
          </xdr:cNvPr>
          <xdr:cNvSpPr>
            <a:spLocks noChangeShapeType="1"/>
          </xdr:cNvSpPr>
        </xdr:nvSpPr>
        <xdr:spPr bwMode="auto">
          <a:xfrm flipH="1">
            <a:off x="4426527" y="1201076"/>
            <a:ext cx="343766"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sp macro="" textlink="">
        <xdr:nvSpPr>
          <xdr:cNvPr id="58" name="Line 58">
            <a:extLst>
              <a:ext uri="{FF2B5EF4-FFF2-40B4-BE49-F238E27FC236}">
                <a16:creationId xmlns:a16="http://schemas.microsoft.com/office/drawing/2014/main" id="{6C0DA405-F0AF-49BC-9CDA-4B14237A53FB}"/>
              </a:ext>
            </a:extLst>
          </xdr:cNvPr>
          <xdr:cNvSpPr>
            <a:spLocks noChangeShapeType="1"/>
          </xdr:cNvSpPr>
        </xdr:nvSpPr>
        <xdr:spPr bwMode="auto">
          <a:xfrm>
            <a:off x="4998893" y="1489041"/>
            <a:ext cx="400916"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59" name="Line 59">
            <a:extLst>
              <a:ext uri="{FF2B5EF4-FFF2-40B4-BE49-F238E27FC236}">
                <a16:creationId xmlns:a16="http://schemas.microsoft.com/office/drawing/2014/main" id="{0EFF54C0-9AFA-4A9F-8043-6E00631C3CC8}"/>
              </a:ext>
            </a:extLst>
          </xdr:cNvPr>
          <xdr:cNvSpPr>
            <a:spLocks noChangeShapeType="1"/>
          </xdr:cNvSpPr>
        </xdr:nvSpPr>
        <xdr:spPr bwMode="auto">
          <a:xfrm>
            <a:off x="5399809" y="1489041"/>
            <a:ext cx="916132"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0" name="Line 60">
            <a:extLst>
              <a:ext uri="{FF2B5EF4-FFF2-40B4-BE49-F238E27FC236}">
                <a16:creationId xmlns:a16="http://schemas.microsoft.com/office/drawing/2014/main" id="{1719BB7D-0087-4496-8DE2-FC6BCAE0E160}"/>
              </a:ext>
            </a:extLst>
          </xdr:cNvPr>
          <xdr:cNvSpPr>
            <a:spLocks noChangeShapeType="1"/>
          </xdr:cNvSpPr>
        </xdr:nvSpPr>
        <xdr:spPr bwMode="auto">
          <a:xfrm>
            <a:off x="6315941" y="1489041"/>
            <a:ext cx="400916"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1" name="Line 61">
            <a:extLst>
              <a:ext uri="{FF2B5EF4-FFF2-40B4-BE49-F238E27FC236}">
                <a16:creationId xmlns:a16="http://schemas.microsoft.com/office/drawing/2014/main" id="{395C6FD3-02D2-4717-9DD2-9765D78D7C7A}"/>
              </a:ext>
            </a:extLst>
          </xdr:cNvPr>
          <xdr:cNvSpPr>
            <a:spLocks noChangeShapeType="1"/>
          </xdr:cNvSpPr>
        </xdr:nvSpPr>
        <xdr:spPr bwMode="auto">
          <a:xfrm flipV="1">
            <a:off x="4426527" y="913111"/>
            <a:ext cx="0" cy="287965"/>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2" name="Line 62">
            <a:extLst>
              <a:ext uri="{FF2B5EF4-FFF2-40B4-BE49-F238E27FC236}">
                <a16:creationId xmlns:a16="http://schemas.microsoft.com/office/drawing/2014/main" id="{D48DCFD9-BF39-4512-8323-29BCCFF525E5}"/>
              </a:ext>
            </a:extLst>
          </xdr:cNvPr>
          <xdr:cNvSpPr>
            <a:spLocks noChangeShapeType="1"/>
          </xdr:cNvSpPr>
        </xdr:nvSpPr>
        <xdr:spPr bwMode="auto">
          <a:xfrm>
            <a:off x="4998893" y="1777006"/>
            <a:ext cx="1717964" cy="0"/>
          </a:xfrm>
          <a:prstGeom prst="line">
            <a:avLst/>
          </a:prstGeom>
          <a:noFill/>
          <a:ln w="1">
            <a:solidFill>
              <a:srgbClr xmlns:mc="http://schemas.openxmlformats.org/markup-compatibility/2006" xmlns:a14="http://schemas.microsoft.com/office/drawing/2010/main" val="000000" mc:Ignorable="a14" a14:legacySpreadsheetColorIndex="8"/>
            </a:solidFill>
            <a:round/>
            <a:headEnd type="arrow" w="sm" len="sm"/>
            <a:tailEnd type="arrow" w="sm" len="sm"/>
          </a:ln>
          <a:extLst>
            <a:ext uri="{909E8E84-426E-40DD-AFC4-6F175D3DCCD1}">
              <a14:hiddenFill xmlns:a14="http://schemas.microsoft.com/office/drawing/2010/main">
                <a:noFill/>
              </a14:hiddenFill>
            </a:ext>
          </a:extLst>
        </xdr:spPr>
      </xdr:sp>
      <xdr:sp macro="" textlink="">
        <xdr:nvSpPr>
          <xdr:cNvPr id="63" name="テキスト 62">
            <a:extLst>
              <a:ext uri="{FF2B5EF4-FFF2-40B4-BE49-F238E27FC236}">
                <a16:creationId xmlns:a16="http://schemas.microsoft.com/office/drawing/2014/main" id="{30DC4D30-FF2E-4F38-B764-7D98CD41B075}"/>
              </a:ext>
            </a:extLst>
          </xdr:cNvPr>
          <xdr:cNvSpPr txBox="1">
            <a:spLocks noChangeArrowheads="1"/>
          </xdr:cNvSpPr>
        </xdr:nvSpPr>
        <xdr:spPr bwMode="auto">
          <a:xfrm>
            <a:off x="4274127" y="1018698"/>
            <a:ext cx="180975" cy="105587"/>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18288" rIns="27432" bIns="18288" anchor="ctr" upright="1"/>
          <a:lstStyle/>
          <a:p>
            <a:pPr algn="ctr" rtl="0">
              <a:defRPr sz="1000"/>
            </a:pPr>
            <a:r>
              <a:rPr lang="ja-JP" altLang="en-US" sz="1000" b="0" i="0" u="none" strike="noStrike" baseline="0">
                <a:solidFill>
                  <a:srgbClr val="000000"/>
                </a:solidFill>
                <a:latin typeface="ＭＳ ゴシック"/>
                <a:ea typeface="ＭＳ ゴシック"/>
              </a:rPr>
              <a:t>V</a:t>
            </a:r>
            <a:endParaRPr lang="ja-JP" altLang="en-US"/>
          </a:p>
        </xdr:txBody>
      </xdr:sp>
      <xdr:sp macro="" textlink="">
        <xdr:nvSpPr>
          <xdr:cNvPr id="64" name="テキスト 67">
            <a:extLst>
              <a:ext uri="{FF2B5EF4-FFF2-40B4-BE49-F238E27FC236}">
                <a16:creationId xmlns:a16="http://schemas.microsoft.com/office/drawing/2014/main" id="{8FB36BDF-EB47-49E9-A6D0-1BF014BF5D4E}"/>
              </a:ext>
            </a:extLst>
          </xdr:cNvPr>
          <xdr:cNvSpPr txBox="1">
            <a:spLocks noChangeArrowheads="1"/>
          </xdr:cNvSpPr>
        </xdr:nvSpPr>
        <xdr:spPr bwMode="auto">
          <a:xfrm>
            <a:off x="5132243" y="1306663"/>
            <a:ext cx="162791"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5" name="テキスト 68">
            <a:extLst>
              <a:ext uri="{FF2B5EF4-FFF2-40B4-BE49-F238E27FC236}">
                <a16:creationId xmlns:a16="http://schemas.microsoft.com/office/drawing/2014/main" id="{B91A717B-754F-4D75-BA9A-55D457BCC308}"/>
              </a:ext>
            </a:extLst>
          </xdr:cNvPr>
          <xdr:cNvSpPr txBox="1">
            <a:spLocks noChangeArrowheads="1"/>
          </xdr:cNvSpPr>
        </xdr:nvSpPr>
        <xdr:spPr bwMode="auto">
          <a:xfrm>
            <a:off x="5791200" y="1306663"/>
            <a:ext cx="10477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6" name="テキスト 69">
            <a:extLst>
              <a:ext uri="{FF2B5EF4-FFF2-40B4-BE49-F238E27FC236}">
                <a16:creationId xmlns:a16="http://schemas.microsoft.com/office/drawing/2014/main" id="{712629AC-CE0F-4D68-AA19-522DE0F9708C}"/>
              </a:ext>
            </a:extLst>
          </xdr:cNvPr>
          <xdr:cNvSpPr txBox="1">
            <a:spLocks noChangeArrowheads="1"/>
          </xdr:cNvSpPr>
        </xdr:nvSpPr>
        <xdr:spPr bwMode="auto">
          <a:xfrm>
            <a:off x="6439766" y="1306663"/>
            <a:ext cx="16192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sp macro="" textlink="">
        <xdr:nvSpPr>
          <xdr:cNvPr id="67" name="テキスト 70">
            <a:extLst>
              <a:ext uri="{FF2B5EF4-FFF2-40B4-BE49-F238E27FC236}">
                <a16:creationId xmlns:a16="http://schemas.microsoft.com/office/drawing/2014/main" id="{3DA16526-FBFA-473C-8F9D-16354300B1E3}"/>
              </a:ext>
            </a:extLst>
          </xdr:cNvPr>
          <xdr:cNvSpPr txBox="1">
            <a:spLocks noChangeArrowheads="1"/>
          </xdr:cNvSpPr>
        </xdr:nvSpPr>
        <xdr:spPr bwMode="auto">
          <a:xfrm>
            <a:off x="5791200" y="1565832"/>
            <a:ext cx="104775" cy="201576"/>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wrap="none" lIns="18288" tIns="18288" rIns="18288" bIns="18288" anchor="ctr" upright="1">
            <a:spAutoFit/>
          </a:bodyPr>
          <a:lstStyle/>
          <a:p>
            <a:pPr algn="ctr" rtl="0">
              <a:defRPr sz="1000"/>
            </a:pPr>
            <a:r>
              <a:rPr lang="ja-JP" altLang="en-US" sz="1000" b="0" i="0" u="none" strike="noStrike" baseline="0">
                <a:solidFill>
                  <a:srgbClr val="000000"/>
                </a:solidFill>
                <a:latin typeface="ＭＳ ゴシック"/>
                <a:ea typeface="ＭＳ ゴシック"/>
              </a:rPr>
              <a:t>B</a:t>
            </a:r>
            <a:endParaRPr lang="ja-JP" alt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176927</xdr:colOff>
      <xdr:row>67</xdr:row>
      <xdr:rowOff>112514</xdr:rowOff>
    </xdr:from>
    <xdr:to>
      <xdr:col>6</xdr:col>
      <xdr:colOff>1117044</xdr:colOff>
      <xdr:row>67</xdr:row>
      <xdr:rowOff>128588</xdr:rowOff>
    </xdr:to>
    <xdr:sp macro="" textlink="">
      <xdr:nvSpPr>
        <xdr:cNvPr id="82" name="正方形/長方形 81">
          <a:extLst>
            <a:ext uri="{FF2B5EF4-FFF2-40B4-BE49-F238E27FC236}">
              <a16:creationId xmlns:a16="http://schemas.microsoft.com/office/drawing/2014/main" id="{20F822E4-2A86-4DBE-873B-31F1ECE8148B}"/>
            </a:ext>
          </a:extLst>
        </xdr:cNvPr>
        <xdr:cNvSpPr/>
      </xdr:nvSpPr>
      <xdr:spPr>
        <a:xfrm>
          <a:off x="5177552" y="11571089"/>
          <a:ext cx="940117" cy="16074"/>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67</xdr:row>
      <xdr:rowOff>96441</xdr:rowOff>
    </xdr:from>
    <xdr:to>
      <xdr:col>6</xdr:col>
      <xdr:colOff>1117044</xdr:colOff>
      <xdr:row>67</xdr:row>
      <xdr:rowOff>112514</xdr:rowOff>
    </xdr:to>
    <xdr:sp macro="" textlink="">
      <xdr:nvSpPr>
        <xdr:cNvPr id="80" name="正方形/長方形 79">
          <a:extLst>
            <a:ext uri="{FF2B5EF4-FFF2-40B4-BE49-F238E27FC236}">
              <a16:creationId xmlns:a16="http://schemas.microsoft.com/office/drawing/2014/main" id="{5C881595-7BE2-4EEC-AA98-094AED992DCF}"/>
            </a:ext>
          </a:extLst>
        </xdr:cNvPr>
        <xdr:cNvSpPr/>
      </xdr:nvSpPr>
      <xdr:spPr>
        <a:xfrm>
          <a:off x="5177552" y="11555016"/>
          <a:ext cx="940117" cy="16073"/>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63</xdr:row>
      <xdr:rowOff>107156</xdr:rowOff>
    </xdr:from>
    <xdr:to>
      <xdr:col>6</xdr:col>
      <xdr:colOff>1117044</xdr:colOff>
      <xdr:row>64</xdr:row>
      <xdr:rowOff>128588</xdr:rowOff>
    </xdr:to>
    <xdr:sp macro="" textlink="">
      <xdr:nvSpPr>
        <xdr:cNvPr id="77" name="正方形/長方形 76">
          <a:extLst>
            <a:ext uri="{FF2B5EF4-FFF2-40B4-BE49-F238E27FC236}">
              <a16:creationId xmlns:a16="http://schemas.microsoft.com/office/drawing/2014/main" id="{511D9EE0-CDAC-4BA7-8F30-E8F689E2E212}"/>
            </a:ext>
          </a:extLst>
        </xdr:cNvPr>
        <xdr:cNvSpPr/>
      </xdr:nvSpPr>
      <xdr:spPr>
        <a:xfrm>
          <a:off x="5177552" y="10879931"/>
          <a:ext cx="940117" cy="192882"/>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63</xdr:row>
      <xdr:rowOff>58936</xdr:rowOff>
    </xdr:from>
    <xdr:to>
      <xdr:col>6</xdr:col>
      <xdr:colOff>1117044</xdr:colOff>
      <xdr:row>63</xdr:row>
      <xdr:rowOff>107156</xdr:rowOff>
    </xdr:to>
    <xdr:sp macro="" textlink="">
      <xdr:nvSpPr>
        <xdr:cNvPr id="75" name="正方形/長方形 74">
          <a:extLst>
            <a:ext uri="{FF2B5EF4-FFF2-40B4-BE49-F238E27FC236}">
              <a16:creationId xmlns:a16="http://schemas.microsoft.com/office/drawing/2014/main" id="{EB088874-71A6-43CC-8C9A-AED8AB8631EC}"/>
            </a:ext>
          </a:extLst>
        </xdr:cNvPr>
        <xdr:cNvSpPr/>
      </xdr:nvSpPr>
      <xdr:spPr>
        <a:xfrm>
          <a:off x="5177552" y="10831711"/>
          <a:ext cx="940117" cy="48220"/>
        </a:xfrm>
        <a:prstGeom prst="rect">
          <a:avLst/>
        </a:prstGeom>
        <a:pattFill prst="smConfetti">
          <a:fgClr>
            <a:srgbClr xmlns:mc="http://schemas.openxmlformats.org/markup-compatibility/2006" xmlns:a14="http://schemas.microsoft.com/office/drawing/2010/main" val="FFCC00" mc:Ignorable="a14" a14:legacySpreadsheetColorIndex="5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00" mc:Ignorable="a14" a14:legacySpreadsheetColorIndex="5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63</xdr:row>
      <xdr:rowOff>42863</xdr:rowOff>
    </xdr:from>
    <xdr:to>
      <xdr:col>6</xdr:col>
      <xdr:colOff>1117044</xdr:colOff>
      <xdr:row>63</xdr:row>
      <xdr:rowOff>58936</xdr:rowOff>
    </xdr:to>
    <xdr:sp macro="" textlink="">
      <xdr:nvSpPr>
        <xdr:cNvPr id="73" name="正方形/長方形 72">
          <a:extLst>
            <a:ext uri="{FF2B5EF4-FFF2-40B4-BE49-F238E27FC236}">
              <a16:creationId xmlns:a16="http://schemas.microsoft.com/office/drawing/2014/main" id="{084B0450-966D-4B8E-9DDD-9003FC8547CA}"/>
            </a:ext>
          </a:extLst>
        </xdr:cNvPr>
        <xdr:cNvSpPr/>
      </xdr:nvSpPr>
      <xdr:spPr>
        <a:xfrm>
          <a:off x="5177552" y="10815638"/>
          <a:ext cx="940117" cy="16073"/>
        </a:xfrm>
        <a:prstGeom prst="rect">
          <a:avLst/>
        </a:prstGeom>
        <a:pattFill prst="pct50">
          <a:fgClr>
            <a:srgbClr xmlns:mc="http://schemas.openxmlformats.org/markup-compatibility/2006" xmlns:a14="http://schemas.microsoft.com/office/drawing/2010/main" val="CCCCFF" mc:Ignorable="a14" a14:legacySpreadsheetColorIndex="3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Plastic">
          <a:extrusionClr>
            <a:srgbClr xmlns:mc="http://schemas.openxmlformats.org/markup-compatibility/2006" xmlns:a14="http://schemas.microsoft.com/office/drawing/2010/main" val="CCCCFF" mc:Ignorable="a14" a14:legacySpreadsheetColorIndex="3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50</xdr:row>
      <xdr:rowOff>124013</xdr:rowOff>
    </xdr:from>
    <xdr:to>
      <xdr:col>6</xdr:col>
      <xdr:colOff>1117044</xdr:colOff>
      <xdr:row>50</xdr:row>
      <xdr:rowOff>128588</xdr:rowOff>
    </xdr:to>
    <xdr:sp macro="" textlink="">
      <xdr:nvSpPr>
        <xdr:cNvPr id="69" name="正方形/長方形 68">
          <a:extLst>
            <a:ext uri="{FF2B5EF4-FFF2-40B4-BE49-F238E27FC236}">
              <a16:creationId xmlns:a16="http://schemas.microsoft.com/office/drawing/2014/main" id="{8FF41E9D-A2DE-4E01-A865-6397CA96B7C4}"/>
            </a:ext>
          </a:extLst>
        </xdr:cNvPr>
        <xdr:cNvSpPr/>
      </xdr:nvSpPr>
      <xdr:spPr>
        <a:xfrm>
          <a:off x="5177552" y="8667938"/>
          <a:ext cx="940117" cy="4575"/>
        </a:xfrm>
        <a:prstGeom prst="rect">
          <a:avLst/>
        </a:prstGeom>
        <a:gradFill flip="none" rotWithShape="1">
          <a:gsLst>
            <a:gs pos="0">
              <a:srgbClr xmlns:mc="http://schemas.openxmlformats.org/markup-compatibility/2006" xmlns:a14="http://schemas.microsoft.com/office/drawing/2010/main" val="000000" mc:Ignorable="a14" a14:legacySpreadsheetColorIndex="8"/>
            </a:gs>
            <a:gs pos="50000">
              <a:srgbClr xmlns:mc="http://schemas.openxmlformats.org/markup-compatibility/2006" xmlns:a14="http://schemas.microsoft.com/office/drawing/2010/main" val="E7E7E7" mc:Ignorable="a14" a14:legacySpreadsheetColorIndex="8">
                <a:tint val="20000"/>
              </a:srgbClr>
            </a:gs>
            <a:gs pos="100000">
              <a:srgbClr xmlns:mc="http://schemas.openxmlformats.org/markup-compatibility/2006" xmlns:a14="http://schemas.microsoft.com/office/drawing/2010/main" val="000000" mc:Ignorable="a14" a14:legacySpreadsheetColorIndex="8"/>
            </a:gs>
          </a:gsLst>
          <a:lin ang="0" scaled="1"/>
          <a:tileRect/>
        </a:gradFill>
        <a:ln w="3175" cap="flat" cmpd="sng" algn="ctr">
          <a:noFill/>
          <a:prstDash val="solid"/>
          <a:miter lim="800000"/>
          <a:headEnd type="none" w="med" len="med"/>
          <a:tailEnd type="none" w="med" len="med"/>
        </a:ln>
        <a:effectLst/>
        <a:scene3d>
          <a:camera prst="legacyObliqueTopRight"/>
          <a:lightRig rig="soft" dir="tl"/>
        </a:scene3d>
        <a:sp3d extrusionH="457200" prstMaterial="legacyMetal">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50</xdr:row>
      <xdr:rowOff>63023</xdr:rowOff>
    </xdr:from>
    <xdr:to>
      <xdr:col>6</xdr:col>
      <xdr:colOff>1117044</xdr:colOff>
      <xdr:row>50</xdr:row>
      <xdr:rowOff>124013</xdr:rowOff>
    </xdr:to>
    <xdr:sp macro="" textlink="">
      <xdr:nvSpPr>
        <xdr:cNvPr id="67" name="正方形/長方形 66">
          <a:extLst>
            <a:ext uri="{FF2B5EF4-FFF2-40B4-BE49-F238E27FC236}">
              <a16:creationId xmlns:a16="http://schemas.microsoft.com/office/drawing/2014/main" id="{588C68BF-74E7-40D3-95A3-828F25A24856}"/>
            </a:ext>
          </a:extLst>
        </xdr:cNvPr>
        <xdr:cNvSpPr/>
      </xdr:nvSpPr>
      <xdr:spPr>
        <a:xfrm>
          <a:off x="5177552" y="8606948"/>
          <a:ext cx="940117" cy="60990"/>
        </a:xfrm>
        <a:prstGeom prst="rect">
          <a:avLst/>
        </a:prstGeom>
        <a:pattFill prst="openDmnd">
          <a:fgClr>
            <a:srgbClr val="FFFF00"/>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FF99" mc:Ignorable="a14" a14:legacySpreadsheetColorIndex="4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50</xdr:row>
      <xdr:rowOff>58449</xdr:rowOff>
    </xdr:from>
    <xdr:to>
      <xdr:col>6</xdr:col>
      <xdr:colOff>1117044</xdr:colOff>
      <xdr:row>50</xdr:row>
      <xdr:rowOff>63023</xdr:rowOff>
    </xdr:to>
    <xdr:sp macro="" textlink="">
      <xdr:nvSpPr>
        <xdr:cNvPr id="65" name="正方形/長方形 64">
          <a:extLst>
            <a:ext uri="{FF2B5EF4-FFF2-40B4-BE49-F238E27FC236}">
              <a16:creationId xmlns:a16="http://schemas.microsoft.com/office/drawing/2014/main" id="{F9A33391-11AA-4C71-BF64-CF260CD1E634}"/>
            </a:ext>
          </a:extLst>
        </xdr:cNvPr>
        <xdr:cNvSpPr/>
      </xdr:nvSpPr>
      <xdr:spPr>
        <a:xfrm>
          <a:off x="5177552" y="8602374"/>
          <a:ext cx="940117" cy="4574"/>
        </a:xfrm>
        <a:prstGeom prst="rect">
          <a:avLst/>
        </a:prstGeom>
        <a:gradFill flip="none" rotWithShape="1">
          <a:gsLst>
            <a:gs pos="0">
              <a:srgbClr xmlns:mc="http://schemas.openxmlformats.org/markup-compatibility/2006" xmlns:a14="http://schemas.microsoft.com/office/drawing/2010/main" val="000000" mc:Ignorable="a14" a14:legacySpreadsheetColorIndex="8"/>
            </a:gs>
            <a:gs pos="50000">
              <a:srgbClr xmlns:mc="http://schemas.openxmlformats.org/markup-compatibility/2006" xmlns:a14="http://schemas.microsoft.com/office/drawing/2010/main" val="E7E7E7" mc:Ignorable="a14" a14:legacySpreadsheetColorIndex="8">
                <a:tint val="20000"/>
              </a:srgbClr>
            </a:gs>
            <a:gs pos="100000">
              <a:srgbClr xmlns:mc="http://schemas.openxmlformats.org/markup-compatibility/2006" xmlns:a14="http://schemas.microsoft.com/office/drawing/2010/main" val="000000" mc:Ignorable="a14" a14:legacySpreadsheetColorIndex="8"/>
            </a:gs>
          </a:gsLst>
          <a:lin ang="0" scaled="1"/>
          <a:tileRect/>
        </a:gradFill>
        <a:ln w="3175" cap="flat" cmpd="sng" algn="ctr">
          <a:noFill/>
          <a:prstDash val="solid"/>
          <a:miter lim="800000"/>
          <a:headEnd type="none" w="med" len="med"/>
          <a:tailEnd type="none" w="med" len="med"/>
        </a:ln>
        <a:effectLst/>
        <a:scene3d>
          <a:camera prst="legacyObliqueTopRight"/>
          <a:lightRig rig="soft" dir="tl"/>
        </a:scene3d>
        <a:sp3d extrusionH="457200" prstMaterial="legacyMetal">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46</xdr:row>
      <xdr:rowOff>103853</xdr:rowOff>
    </xdr:from>
    <xdr:to>
      <xdr:col>6</xdr:col>
      <xdr:colOff>1117044</xdr:colOff>
      <xdr:row>47</xdr:row>
      <xdr:rowOff>115374</xdr:rowOff>
    </xdr:to>
    <xdr:sp macro="" textlink="">
      <xdr:nvSpPr>
        <xdr:cNvPr id="62" name="正方形/長方形 61">
          <a:extLst>
            <a:ext uri="{FF2B5EF4-FFF2-40B4-BE49-F238E27FC236}">
              <a16:creationId xmlns:a16="http://schemas.microsoft.com/office/drawing/2014/main" id="{61CC5B74-5CCD-441C-B818-0BA5E078CAF4}"/>
            </a:ext>
          </a:extLst>
        </xdr:cNvPr>
        <xdr:cNvSpPr/>
      </xdr:nvSpPr>
      <xdr:spPr>
        <a:xfrm>
          <a:off x="5177552" y="7961978"/>
          <a:ext cx="940117" cy="182971"/>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46</xdr:row>
      <xdr:rowOff>58110</xdr:rowOff>
    </xdr:from>
    <xdr:to>
      <xdr:col>6</xdr:col>
      <xdr:colOff>1117044</xdr:colOff>
      <xdr:row>46</xdr:row>
      <xdr:rowOff>103853</xdr:rowOff>
    </xdr:to>
    <xdr:sp macro="" textlink="">
      <xdr:nvSpPr>
        <xdr:cNvPr id="60" name="正方形/長方形 59">
          <a:extLst>
            <a:ext uri="{FF2B5EF4-FFF2-40B4-BE49-F238E27FC236}">
              <a16:creationId xmlns:a16="http://schemas.microsoft.com/office/drawing/2014/main" id="{6D3F550D-BF00-44C5-8F76-8F38B3925B80}"/>
            </a:ext>
          </a:extLst>
        </xdr:cNvPr>
        <xdr:cNvSpPr/>
      </xdr:nvSpPr>
      <xdr:spPr>
        <a:xfrm>
          <a:off x="5177552" y="7916235"/>
          <a:ext cx="940117" cy="45743"/>
        </a:xfrm>
        <a:prstGeom prst="rect">
          <a:avLst/>
        </a:prstGeom>
        <a:pattFill prst="smConfetti">
          <a:fgClr>
            <a:srgbClr xmlns:mc="http://schemas.openxmlformats.org/markup-compatibility/2006" xmlns:a14="http://schemas.microsoft.com/office/drawing/2010/main" val="FFCC00" mc:Ignorable="a14" a14:legacySpreadsheetColorIndex="5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00" mc:Ignorable="a14" a14:legacySpreadsheetColorIndex="5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46</xdr:row>
      <xdr:rowOff>42863</xdr:rowOff>
    </xdr:from>
    <xdr:to>
      <xdr:col>6</xdr:col>
      <xdr:colOff>1117044</xdr:colOff>
      <xdr:row>46</xdr:row>
      <xdr:rowOff>58110</xdr:rowOff>
    </xdr:to>
    <xdr:sp macro="" textlink="">
      <xdr:nvSpPr>
        <xdr:cNvPr id="58" name="正方形/長方形 57">
          <a:extLst>
            <a:ext uri="{FF2B5EF4-FFF2-40B4-BE49-F238E27FC236}">
              <a16:creationId xmlns:a16="http://schemas.microsoft.com/office/drawing/2014/main" id="{CB64883B-5AD7-45B2-80DA-5200E721E6C8}"/>
            </a:ext>
          </a:extLst>
        </xdr:cNvPr>
        <xdr:cNvSpPr/>
      </xdr:nvSpPr>
      <xdr:spPr>
        <a:xfrm>
          <a:off x="5177552" y="7900988"/>
          <a:ext cx="940117" cy="15247"/>
        </a:xfrm>
        <a:prstGeom prst="rect">
          <a:avLst/>
        </a:prstGeom>
        <a:pattFill prst="pct50">
          <a:fgClr>
            <a:srgbClr xmlns:mc="http://schemas.openxmlformats.org/markup-compatibility/2006" xmlns:a14="http://schemas.microsoft.com/office/drawing/2010/main" val="CCCCFF" mc:Ignorable="a14" a14:legacySpreadsheetColorIndex="3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Plastic">
          <a:extrusionClr>
            <a:srgbClr xmlns:mc="http://schemas.openxmlformats.org/markup-compatibility/2006" xmlns:a14="http://schemas.microsoft.com/office/drawing/2010/main" val="CCCCFF" mc:Ignorable="a14" a14:legacySpreadsheetColorIndex="3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33</xdr:row>
      <xdr:rowOff>116144</xdr:rowOff>
    </xdr:from>
    <xdr:to>
      <xdr:col>6</xdr:col>
      <xdr:colOff>1117044</xdr:colOff>
      <xdr:row>33</xdr:row>
      <xdr:rowOff>128588</xdr:rowOff>
    </xdr:to>
    <xdr:sp macro="" textlink="">
      <xdr:nvSpPr>
        <xdr:cNvPr id="39" name="正方形/長方形 38">
          <a:extLst>
            <a:ext uri="{FF2B5EF4-FFF2-40B4-BE49-F238E27FC236}">
              <a16:creationId xmlns:a16="http://schemas.microsoft.com/office/drawing/2014/main" id="{80BD664E-3DE2-4788-A927-8C24AE452203}"/>
            </a:ext>
          </a:extLst>
        </xdr:cNvPr>
        <xdr:cNvSpPr/>
      </xdr:nvSpPr>
      <xdr:spPr>
        <a:xfrm>
          <a:off x="5177552" y="5745419"/>
          <a:ext cx="940117" cy="12444"/>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30</xdr:row>
      <xdr:rowOff>70516</xdr:rowOff>
    </xdr:from>
    <xdr:to>
      <xdr:col>6</xdr:col>
      <xdr:colOff>1117044</xdr:colOff>
      <xdr:row>31</xdr:row>
      <xdr:rowOff>85725</xdr:rowOff>
    </xdr:to>
    <xdr:sp macro="" textlink="">
      <xdr:nvSpPr>
        <xdr:cNvPr id="36" name="正方形/長方形 35">
          <a:extLst>
            <a:ext uri="{FF2B5EF4-FFF2-40B4-BE49-F238E27FC236}">
              <a16:creationId xmlns:a16="http://schemas.microsoft.com/office/drawing/2014/main" id="{501F25E4-24B4-4DF1-AF09-F06B516A6F49}"/>
            </a:ext>
          </a:extLst>
        </xdr:cNvPr>
        <xdr:cNvSpPr/>
      </xdr:nvSpPr>
      <xdr:spPr>
        <a:xfrm>
          <a:off x="5177552" y="5185441"/>
          <a:ext cx="940117" cy="186659"/>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30</xdr:row>
      <xdr:rowOff>8296</xdr:rowOff>
    </xdr:from>
    <xdr:to>
      <xdr:col>6</xdr:col>
      <xdr:colOff>1117044</xdr:colOff>
      <xdr:row>30</xdr:row>
      <xdr:rowOff>70516</xdr:rowOff>
    </xdr:to>
    <xdr:sp macro="" textlink="">
      <xdr:nvSpPr>
        <xdr:cNvPr id="34" name="正方形/長方形 33">
          <a:extLst>
            <a:ext uri="{FF2B5EF4-FFF2-40B4-BE49-F238E27FC236}">
              <a16:creationId xmlns:a16="http://schemas.microsoft.com/office/drawing/2014/main" id="{453B37D4-F81E-47EF-A24F-5AD140611A31}"/>
            </a:ext>
          </a:extLst>
        </xdr:cNvPr>
        <xdr:cNvSpPr/>
      </xdr:nvSpPr>
      <xdr:spPr>
        <a:xfrm>
          <a:off x="5177552" y="5123221"/>
          <a:ext cx="940117" cy="62220"/>
        </a:xfrm>
        <a:prstGeom prst="rect">
          <a:avLst/>
        </a:prstGeom>
        <a:pattFill prst="openDmnd">
          <a:fgClr>
            <a:srgbClr val="FFFF00"/>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FF99" mc:Ignorable="a14" a14:legacySpreadsheetColorIndex="4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29</xdr:row>
      <xdr:rowOff>167302</xdr:rowOff>
    </xdr:from>
    <xdr:to>
      <xdr:col>6</xdr:col>
      <xdr:colOff>1117044</xdr:colOff>
      <xdr:row>30</xdr:row>
      <xdr:rowOff>8296</xdr:rowOff>
    </xdr:to>
    <xdr:sp macro="" textlink="">
      <xdr:nvSpPr>
        <xdr:cNvPr id="32" name="正方形/長方形 31">
          <a:extLst>
            <a:ext uri="{FF2B5EF4-FFF2-40B4-BE49-F238E27FC236}">
              <a16:creationId xmlns:a16="http://schemas.microsoft.com/office/drawing/2014/main" id="{5914E237-2DB5-469E-A0A9-00A28812C299}"/>
            </a:ext>
          </a:extLst>
        </xdr:cNvPr>
        <xdr:cNvSpPr/>
      </xdr:nvSpPr>
      <xdr:spPr>
        <a:xfrm>
          <a:off x="5177552" y="5110777"/>
          <a:ext cx="940117" cy="12444"/>
        </a:xfrm>
        <a:prstGeom prst="rect">
          <a:avLst/>
        </a:prstGeom>
        <a:pattFill prst="pct50">
          <a:fgClr>
            <a:srgbClr xmlns:mc="http://schemas.openxmlformats.org/markup-compatibility/2006" xmlns:a14="http://schemas.microsoft.com/office/drawing/2010/main" val="CCCCFF" mc:Ignorable="a14" a14:legacySpreadsheetColorIndex="31"/>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Plastic">
          <a:extrusionClr>
            <a:srgbClr xmlns:mc="http://schemas.openxmlformats.org/markup-compatibility/2006" xmlns:a14="http://schemas.microsoft.com/office/drawing/2010/main" val="CCCCFF" mc:Ignorable="a14" a14:legacySpreadsheetColorIndex="31"/>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176927</xdr:colOff>
      <xdr:row>29</xdr:row>
      <xdr:rowOff>42863</xdr:rowOff>
    </xdr:from>
    <xdr:to>
      <xdr:col>6</xdr:col>
      <xdr:colOff>1117044</xdr:colOff>
      <xdr:row>29</xdr:row>
      <xdr:rowOff>167302</xdr:rowOff>
    </xdr:to>
    <xdr:sp macro="" textlink="">
      <xdr:nvSpPr>
        <xdr:cNvPr id="30" name="正方形/長方形 29">
          <a:extLst>
            <a:ext uri="{FF2B5EF4-FFF2-40B4-BE49-F238E27FC236}">
              <a16:creationId xmlns:a16="http://schemas.microsoft.com/office/drawing/2014/main" id="{03CD6C64-315C-41F1-A6BA-04176E84218E}"/>
            </a:ext>
          </a:extLst>
        </xdr:cNvPr>
        <xdr:cNvSpPr/>
      </xdr:nvSpPr>
      <xdr:spPr>
        <a:xfrm>
          <a:off x="5177552" y="4986338"/>
          <a:ext cx="940117" cy="124439"/>
        </a:xfrm>
        <a:prstGeom prst="rect">
          <a:avLst/>
        </a:prstGeom>
        <a:blipFill>
          <a:blip xmlns:r="http://schemas.openxmlformats.org/officeDocument/2006/relationships" r:embed="rId1"/>
          <a:stretch>
            <a:fillRect/>
          </a:stretch>
        </a:blip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6713</xdr:colOff>
      <xdr:row>13</xdr:row>
      <xdr:rowOff>97474</xdr:rowOff>
    </xdr:from>
    <xdr:to>
      <xdr:col>0</xdr:col>
      <xdr:colOff>394448</xdr:colOff>
      <xdr:row>16</xdr:row>
      <xdr:rowOff>81594</xdr:rowOff>
    </xdr:to>
    <xdr:sp macro="" textlink="">
      <xdr:nvSpPr>
        <xdr:cNvPr id="2" name="テキスト ボックス 1">
          <a:extLst>
            <a:ext uri="{FF2B5EF4-FFF2-40B4-BE49-F238E27FC236}">
              <a16:creationId xmlns:a16="http://schemas.microsoft.com/office/drawing/2014/main" id="{443596C7-1D8E-48E7-BFA2-7A9DF0E0CAD2}"/>
            </a:ext>
          </a:extLst>
        </xdr:cNvPr>
        <xdr:cNvSpPr txBox="1"/>
      </xdr:nvSpPr>
      <xdr:spPr>
        <a:xfrm>
          <a:off x="6713" y="22977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0</xdr:col>
      <xdr:colOff>302181</xdr:colOff>
      <xdr:row>11</xdr:row>
      <xdr:rowOff>3810</xdr:rowOff>
    </xdr:from>
    <xdr:to>
      <xdr:col>0</xdr:col>
      <xdr:colOff>538259</xdr:colOff>
      <xdr:row>19</xdr:row>
      <xdr:rowOff>3810</xdr:rowOff>
    </xdr:to>
    <xdr:sp macro="" textlink="">
      <xdr:nvSpPr>
        <xdr:cNvPr id="3" name="正方形/長方形 2">
          <a:extLst>
            <a:ext uri="{FF2B5EF4-FFF2-40B4-BE49-F238E27FC236}">
              <a16:creationId xmlns:a16="http://schemas.microsoft.com/office/drawing/2014/main" id="{C1BB1E9E-738C-4577-821C-0EAC4A316648}"/>
            </a:ext>
          </a:extLst>
        </xdr:cNvPr>
        <xdr:cNvSpPr/>
      </xdr:nvSpPr>
      <xdr:spPr>
        <a:xfrm>
          <a:off x="302181" y="1861185"/>
          <a:ext cx="236078" cy="1371600"/>
        </a:xfrm>
        <a:prstGeom prst="rect">
          <a:avLst/>
        </a:prstGeom>
        <a:pattFill prst="pct40">
          <a:fgClr>
            <a:srgbClr xmlns:mc="http://schemas.openxmlformats.org/markup-compatibility/2006" xmlns:a14="http://schemas.microsoft.com/office/drawing/2010/main" val="C0C0C0" mc:Ignorable="a14" a14:legacySpreadsheetColorIndex="22"/>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363070</xdr:colOff>
      <xdr:row>10</xdr:row>
      <xdr:rowOff>13335</xdr:rowOff>
    </xdr:from>
    <xdr:to>
      <xdr:col>0</xdr:col>
      <xdr:colOff>477370</xdr:colOff>
      <xdr:row>10</xdr:row>
      <xdr:rowOff>137160</xdr:rowOff>
    </xdr:to>
    <xdr:sp macro="" textlink="">
      <xdr:nvSpPr>
        <xdr:cNvPr id="4" name="テキスト ボックス 3">
          <a:extLst>
            <a:ext uri="{FF2B5EF4-FFF2-40B4-BE49-F238E27FC236}">
              <a16:creationId xmlns:a16="http://schemas.microsoft.com/office/drawing/2014/main" id="{AA4DCA93-9C2D-497F-B1A0-E5BCB885B6A5}"/>
            </a:ext>
          </a:extLst>
        </xdr:cNvPr>
        <xdr:cNvSpPr txBox="1"/>
      </xdr:nvSpPr>
      <xdr:spPr>
        <a:xfrm>
          <a:off x="363070"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538259</xdr:colOff>
      <xdr:row>11</xdr:row>
      <xdr:rowOff>3810</xdr:rowOff>
    </xdr:from>
    <xdr:to>
      <xdr:col>0</xdr:col>
      <xdr:colOff>561867</xdr:colOff>
      <xdr:row>19</xdr:row>
      <xdr:rowOff>3810</xdr:rowOff>
    </xdr:to>
    <xdr:sp macro="" textlink="">
      <xdr:nvSpPr>
        <xdr:cNvPr id="5" name="正方形/長方形 4">
          <a:extLst>
            <a:ext uri="{FF2B5EF4-FFF2-40B4-BE49-F238E27FC236}">
              <a16:creationId xmlns:a16="http://schemas.microsoft.com/office/drawing/2014/main" id="{C7F15FD0-C6EC-4740-BF4D-18D3AAC26C84}"/>
            </a:ext>
          </a:extLst>
        </xdr:cNvPr>
        <xdr:cNvSpPr/>
      </xdr:nvSpPr>
      <xdr:spPr>
        <a:xfrm>
          <a:off x="538259" y="1861185"/>
          <a:ext cx="23608" cy="1371600"/>
        </a:xfrm>
        <a:prstGeom prst="rect">
          <a:avLst/>
        </a:prstGeom>
        <a:pattFill prst="openDmnd">
          <a:fgClr>
            <a:srgbClr val="FFFF00"/>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FF99" mc:Ignorable="a14" a14:legacySpreadsheetColorIndex="4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492913</xdr:colOff>
      <xdr:row>10</xdr:row>
      <xdr:rowOff>13335</xdr:rowOff>
    </xdr:from>
    <xdr:to>
      <xdr:col>0</xdr:col>
      <xdr:colOff>607213</xdr:colOff>
      <xdr:row>10</xdr:row>
      <xdr:rowOff>137160</xdr:rowOff>
    </xdr:to>
    <xdr:sp macro="" textlink="">
      <xdr:nvSpPr>
        <xdr:cNvPr id="6" name="テキスト ボックス 5">
          <a:extLst>
            <a:ext uri="{FF2B5EF4-FFF2-40B4-BE49-F238E27FC236}">
              <a16:creationId xmlns:a16="http://schemas.microsoft.com/office/drawing/2014/main" id="{F6627C7F-EC16-48F9-8F63-D42886BB86F2}"/>
            </a:ext>
          </a:extLst>
        </xdr:cNvPr>
        <xdr:cNvSpPr txBox="1"/>
      </xdr:nvSpPr>
      <xdr:spPr>
        <a:xfrm>
          <a:off x="492913"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622756</xdr:colOff>
      <xdr:row>10</xdr:row>
      <xdr:rowOff>13335</xdr:rowOff>
    </xdr:from>
    <xdr:to>
      <xdr:col>0</xdr:col>
      <xdr:colOff>737056</xdr:colOff>
      <xdr:row>10</xdr:row>
      <xdr:rowOff>137160</xdr:rowOff>
    </xdr:to>
    <xdr:sp macro="" textlink="">
      <xdr:nvSpPr>
        <xdr:cNvPr id="7" name="テキスト ボックス 6">
          <a:extLst>
            <a:ext uri="{FF2B5EF4-FFF2-40B4-BE49-F238E27FC236}">
              <a16:creationId xmlns:a16="http://schemas.microsoft.com/office/drawing/2014/main" id="{01363870-6985-44E5-9A73-230CDEC4CCBB}"/>
            </a:ext>
          </a:extLst>
        </xdr:cNvPr>
        <xdr:cNvSpPr txBox="1"/>
      </xdr:nvSpPr>
      <xdr:spPr>
        <a:xfrm>
          <a:off x="622756"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797946</xdr:colOff>
      <xdr:row>11</xdr:row>
      <xdr:rowOff>3810</xdr:rowOff>
    </xdr:from>
    <xdr:to>
      <xdr:col>0</xdr:col>
      <xdr:colOff>805028</xdr:colOff>
      <xdr:row>19</xdr:row>
      <xdr:rowOff>3810</xdr:rowOff>
    </xdr:to>
    <xdr:sp macro="" textlink="">
      <xdr:nvSpPr>
        <xdr:cNvPr id="8" name="正方形/長方形 7">
          <a:extLst>
            <a:ext uri="{FF2B5EF4-FFF2-40B4-BE49-F238E27FC236}">
              <a16:creationId xmlns:a16="http://schemas.microsoft.com/office/drawing/2014/main" id="{56670AC4-3FE0-4149-A840-88B1E2F19433}"/>
            </a:ext>
          </a:extLst>
        </xdr:cNvPr>
        <xdr:cNvSpPr/>
      </xdr:nvSpPr>
      <xdr:spPr>
        <a:xfrm>
          <a:off x="797946" y="1861185"/>
          <a:ext cx="7082" cy="1371600"/>
        </a:xfrm>
        <a:prstGeom prst="rect">
          <a:avLst/>
        </a:prstGeom>
        <a:gradFill flip="none" rotWithShape="1">
          <a:gsLst>
            <a:gs pos="0">
              <a:srgbClr xmlns:mc="http://schemas.openxmlformats.org/markup-compatibility/2006" xmlns:a14="http://schemas.microsoft.com/office/drawing/2010/main" val="000000" mc:Ignorable="a14" a14:legacySpreadsheetColorIndex="8"/>
            </a:gs>
            <a:gs pos="50000">
              <a:srgbClr xmlns:mc="http://schemas.openxmlformats.org/markup-compatibility/2006" xmlns:a14="http://schemas.microsoft.com/office/drawing/2010/main" val="E7E7E7" mc:Ignorable="a14" a14:legacySpreadsheetColorIndex="8">
                <a:tint val="20000"/>
              </a:srgbClr>
            </a:gs>
            <a:gs pos="100000">
              <a:srgbClr xmlns:mc="http://schemas.openxmlformats.org/markup-compatibility/2006" xmlns:a14="http://schemas.microsoft.com/office/drawing/2010/main" val="000000" mc:Ignorable="a14" a14:legacySpreadsheetColorIndex="8"/>
            </a:gs>
          </a:gsLst>
          <a:lin ang="5400000" scaled="1"/>
          <a:tileRect/>
        </a:gradFill>
        <a:ln w="3175" cap="flat" cmpd="sng" algn="ctr">
          <a:noFill/>
          <a:prstDash val="solid"/>
          <a:miter lim="800000"/>
          <a:headEnd type="none" w="med" len="med"/>
          <a:tailEnd type="none" w="med" len="med"/>
        </a:ln>
        <a:effectLst/>
        <a:scene3d>
          <a:camera prst="legacyObliqueTopRight"/>
          <a:lightRig rig="soft" dir="tl"/>
        </a:scene3d>
        <a:sp3d extrusionH="457200" prstMaterial="legacyMetal">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744337</xdr:colOff>
      <xdr:row>10</xdr:row>
      <xdr:rowOff>13335</xdr:rowOff>
    </xdr:from>
    <xdr:to>
      <xdr:col>0</xdr:col>
      <xdr:colOff>858637</xdr:colOff>
      <xdr:row>10</xdr:row>
      <xdr:rowOff>137160</xdr:rowOff>
    </xdr:to>
    <xdr:sp macro="" textlink="">
      <xdr:nvSpPr>
        <xdr:cNvPr id="9" name="テキスト ボックス 8">
          <a:extLst>
            <a:ext uri="{FF2B5EF4-FFF2-40B4-BE49-F238E27FC236}">
              <a16:creationId xmlns:a16="http://schemas.microsoft.com/office/drawing/2014/main" id="{D9F83368-CE6F-46B3-A056-23AC56B2872B}"/>
            </a:ext>
          </a:extLst>
        </xdr:cNvPr>
        <xdr:cNvSpPr txBox="1"/>
      </xdr:nvSpPr>
      <xdr:spPr>
        <a:xfrm>
          <a:off x="744337"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0</xdr:col>
      <xdr:colOff>805028</xdr:colOff>
      <xdr:row>11</xdr:row>
      <xdr:rowOff>3810</xdr:rowOff>
    </xdr:from>
    <xdr:to>
      <xdr:col>0</xdr:col>
      <xdr:colOff>899460</xdr:colOff>
      <xdr:row>19</xdr:row>
      <xdr:rowOff>3810</xdr:rowOff>
    </xdr:to>
    <xdr:sp macro="" textlink="">
      <xdr:nvSpPr>
        <xdr:cNvPr id="10" name="正方形/長方形 9">
          <a:extLst>
            <a:ext uri="{FF2B5EF4-FFF2-40B4-BE49-F238E27FC236}">
              <a16:creationId xmlns:a16="http://schemas.microsoft.com/office/drawing/2014/main" id="{FA1416F9-95C8-4B14-846E-6130A41759C4}"/>
            </a:ext>
          </a:extLst>
        </xdr:cNvPr>
        <xdr:cNvSpPr/>
      </xdr:nvSpPr>
      <xdr:spPr>
        <a:xfrm>
          <a:off x="805028" y="1861185"/>
          <a:ext cx="94432" cy="1371600"/>
        </a:xfrm>
        <a:prstGeom prst="rect">
          <a:avLst/>
        </a:prstGeom>
        <a:pattFill prst="openDmnd">
          <a:fgClr>
            <a:srgbClr val="FFFF00"/>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FF99" mc:Ignorable="a14" a14:legacySpreadsheetColorIndex="4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807202</xdr:colOff>
      <xdr:row>10</xdr:row>
      <xdr:rowOff>13335</xdr:rowOff>
    </xdr:from>
    <xdr:to>
      <xdr:col>0</xdr:col>
      <xdr:colOff>921502</xdr:colOff>
      <xdr:row>10</xdr:row>
      <xdr:rowOff>137160</xdr:rowOff>
    </xdr:to>
    <xdr:sp macro="" textlink="">
      <xdr:nvSpPr>
        <xdr:cNvPr id="11" name="テキスト ボックス 10">
          <a:extLst>
            <a:ext uri="{FF2B5EF4-FFF2-40B4-BE49-F238E27FC236}">
              <a16:creationId xmlns:a16="http://schemas.microsoft.com/office/drawing/2014/main" id="{45184FE3-8E93-4918-8F41-2F48C679783E}"/>
            </a:ext>
          </a:extLst>
        </xdr:cNvPr>
        <xdr:cNvSpPr txBox="1"/>
      </xdr:nvSpPr>
      <xdr:spPr>
        <a:xfrm>
          <a:off x="807202"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0</xdr:col>
      <xdr:colOff>899460</xdr:colOff>
      <xdr:row>11</xdr:row>
      <xdr:rowOff>3810</xdr:rowOff>
    </xdr:from>
    <xdr:to>
      <xdr:col>0</xdr:col>
      <xdr:colOff>906542</xdr:colOff>
      <xdr:row>19</xdr:row>
      <xdr:rowOff>3810</xdr:rowOff>
    </xdr:to>
    <xdr:sp macro="" textlink="">
      <xdr:nvSpPr>
        <xdr:cNvPr id="12" name="正方形/長方形 11">
          <a:extLst>
            <a:ext uri="{FF2B5EF4-FFF2-40B4-BE49-F238E27FC236}">
              <a16:creationId xmlns:a16="http://schemas.microsoft.com/office/drawing/2014/main" id="{95FF0B5D-1D2A-4DFC-B0E4-D15CB31DAD4C}"/>
            </a:ext>
          </a:extLst>
        </xdr:cNvPr>
        <xdr:cNvSpPr/>
      </xdr:nvSpPr>
      <xdr:spPr>
        <a:xfrm>
          <a:off x="899460" y="1861185"/>
          <a:ext cx="7082" cy="1371600"/>
        </a:xfrm>
        <a:prstGeom prst="rect">
          <a:avLst/>
        </a:prstGeom>
        <a:gradFill flip="none" rotWithShape="1">
          <a:gsLst>
            <a:gs pos="0">
              <a:srgbClr xmlns:mc="http://schemas.openxmlformats.org/markup-compatibility/2006" xmlns:a14="http://schemas.microsoft.com/office/drawing/2010/main" val="000000" mc:Ignorable="a14" a14:legacySpreadsheetColorIndex="8"/>
            </a:gs>
            <a:gs pos="50000">
              <a:srgbClr xmlns:mc="http://schemas.openxmlformats.org/markup-compatibility/2006" xmlns:a14="http://schemas.microsoft.com/office/drawing/2010/main" val="E7E7E7" mc:Ignorable="a14" a14:legacySpreadsheetColorIndex="8">
                <a:tint val="20000"/>
              </a:srgbClr>
            </a:gs>
            <a:gs pos="100000">
              <a:srgbClr xmlns:mc="http://schemas.openxmlformats.org/markup-compatibility/2006" xmlns:a14="http://schemas.microsoft.com/office/drawing/2010/main" val="000000" mc:Ignorable="a14" a14:legacySpreadsheetColorIndex="8"/>
            </a:gs>
          </a:gsLst>
          <a:lin ang="5400000" scaled="1"/>
          <a:tileRect/>
        </a:gradFill>
        <a:ln w="3175" cap="flat" cmpd="sng" algn="ctr">
          <a:noFill/>
          <a:prstDash val="solid"/>
          <a:miter lim="800000"/>
          <a:headEnd type="none" w="med" len="med"/>
          <a:tailEnd type="none" w="med" len="med"/>
        </a:ln>
        <a:effectLst/>
        <a:scene3d>
          <a:camera prst="legacyObliqueTopRight"/>
          <a:lightRig rig="soft" dir="tl"/>
        </a:scene3d>
        <a:sp3d extrusionH="457200" prstMaterial="legacyMetal">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870067</xdr:colOff>
      <xdr:row>10</xdr:row>
      <xdr:rowOff>13335</xdr:rowOff>
    </xdr:from>
    <xdr:to>
      <xdr:col>0</xdr:col>
      <xdr:colOff>984367</xdr:colOff>
      <xdr:row>10</xdr:row>
      <xdr:rowOff>137160</xdr:rowOff>
    </xdr:to>
    <xdr:sp macro="" textlink="">
      <xdr:nvSpPr>
        <xdr:cNvPr id="13" name="テキスト ボックス 12">
          <a:extLst>
            <a:ext uri="{FF2B5EF4-FFF2-40B4-BE49-F238E27FC236}">
              <a16:creationId xmlns:a16="http://schemas.microsoft.com/office/drawing/2014/main" id="{B0F30E98-05DF-4DA9-B903-B58FAC59E267}"/>
            </a:ext>
          </a:extLst>
        </xdr:cNvPr>
        <xdr:cNvSpPr txBox="1"/>
      </xdr:nvSpPr>
      <xdr:spPr>
        <a:xfrm>
          <a:off x="870067" y="16992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6</a:t>
          </a:r>
          <a:endParaRPr kumimoji="1" lang="ja-JP" altLang="en-US" sz="800" b="0" i="0">
            <a:latin typeface="ＭＳ Ｐゴシック" panose="020B0600070205080204" pitchFamily="50" charset="-128"/>
          </a:endParaRPr>
        </a:p>
      </xdr:txBody>
    </xdr:sp>
    <xdr:clientData/>
  </xdr:twoCellAnchor>
  <xdr:twoCellAnchor>
    <xdr:from>
      <xdr:col>0</xdr:col>
      <xdr:colOff>1017474</xdr:colOff>
      <xdr:row>13</xdr:row>
      <xdr:rowOff>97474</xdr:rowOff>
    </xdr:from>
    <xdr:to>
      <xdr:col>1</xdr:col>
      <xdr:colOff>62184</xdr:colOff>
      <xdr:row>16</xdr:row>
      <xdr:rowOff>81594</xdr:rowOff>
    </xdr:to>
    <xdr:sp macro="" textlink="">
      <xdr:nvSpPr>
        <xdr:cNvPr id="14" name="テキスト ボックス 13">
          <a:extLst>
            <a:ext uri="{FF2B5EF4-FFF2-40B4-BE49-F238E27FC236}">
              <a16:creationId xmlns:a16="http://schemas.microsoft.com/office/drawing/2014/main" id="{651AB0EB-22E0-4D31-8590-A5C7C9A50E29}"/>
            </a:ext>
          </a:extLst>
        </xdr:cNvPr>
        <xdr:cNvSpPr txBox="1"/>
      </xdr:nvSpPr>
      <xdr:spPr>
        <a:xfrm>
          <a:off x="1017474" y="22977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6713</xdr:colOff>
      <xdr:row>30</xdr:row>
      <xdr:rowOff>97474</xdr:rowOff>
    </xdr:from>
    <xdr:to>
      <xdr:col>0</xdr:col>
      <xdr:colOff>394448</xdr:colOff>
      <xdr:row>33</xdr:row>
      <xdr:rowOff>81594</xdr:rowOff>
    </xdr:to>
    <xdr:sp macro="" textlink="">
      <xdr:nvSpPr>
        <xdr:cNvPr id="15" name="テキスト ボックス 14">
          <a:extLst>
            <a:ext uri="{FF2B5EF4-FFF2-40B4-BE49-F238E27FC236}">
              <a16:creationId xmlns:a16="http://schemas.microsoft.com/office/drawing/2014/main" id="{421F1F35-CF9F-4D32-8DA0-860D51AA5184}"/>
            </a:ext>
          </a:extLst>
        </xdr:cNvPr>
        <xdr:cNvSpPr txBox="1"/>
      </xdr:nvSpPr>
      <xdr:spPr>
        <a:xfrm>
          <a:off x="6713" y="52123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0</xdr:col>
      <xdr:colOff>302181</xdr:colOff>
      <xdr:row>28</xdr:row>
      <xdr:rowOff>3810</xdr:rowOff>
    </xdr:from>
    <xdr:to>
      <xdr:col>0</xdr:col>
      <xdr:colOff>573804</xdr:colOff>
      <xdr:row>36</xdr:row>
      <xdr:rowOff>3810</xdr:rowOff>
    </xdr:to>
    <xdr:sp macro="" textlink="">
      <xdr:nvSpPr>
        <xdr:cNvPr id="16" name="正方形/長方形 15">
          <a:extLst>
            <a:ext uri="{FF2B5EF4-FFF2-40B4-BE49-F238E27FC236}">
              <a16:creationId xmlns:a16="http://schemas.microsoft.com/office/drawing/2014/main" id="{2CB283BD-7855-4418-9939-E438F773E8F2}"/>
            </a:ext>
          </a:extLst>
        </xdr:cNvPr>
        <xdr:cNvSpPr/>
      </xdr:nvSpPr>
      <xdr:spPr>
        <a:xfrm>
          <a:off x="302181" y="4775835"/>
          <a:ext cx="271623" cy="1371600"/>
        </a:xfrm>
        <a:prstGeom prst="rect">
          <a:avLst/>
        </a:prstGeom>
        <a:pattFill prst="pct40">
          <a:fgClr>
            <a:srgbClr xmlns:mc="http://schemas.openxmlformats.org/markup-compatibility/2006" xmlns:a14="http://schemas.microsoft.com/office/drawing/2010/main" val="C0C0C0" mc:Ignorable="a14" a14:legacySpreadsheetColorIndex="22"/>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380842</xdr:colOff>
      <xdr:row>27</xdr:row>
      <xdr:rowOff>13335</xdr:rowOff>
    </xdr:from>
    <xdr:to>
      <xdr:col>0</xdr:col>
      <xdr:colOff>495142</xdr:colOff>
      <xdr:row>27</xdr:row>
      <xdr:rowOff>137160</xdr:rowOff>
    </xdr:to>
    <xdr:sp macro="" textlink="">
      <xdr:nvSpPr>
        <xdr:cNvPr id="17" name="テキスト ボックス 16">
          <a:extLst>
            <a:ext uri="{FF2B5EF4-FFF2-40B4-BE49-F238E27FC236}">
              <a16:creationId xmlns:a16="http://schemas.microsoft.com/office/drawing/2014/main" id="{2B46A319-4123-455E-9F3F-104F97DC3BFC}"/>
            </a:ext>
          </a:extLst>
        </xdr:cNvPr>
        <xdr:cNvSpPr txBox="1"/>
      </xdr:nvSpPr>
      <xdr:spPr>
        <a:xfrm>
          <a:off x="380842" y="4613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573804</xdr:colOff>
      <xdr:row>28</xdr:row>
      <xdr:rowOff>3810</xdr:rowOff>
    </xdr:from>
    <xdr:to>
      <xdr:col>0</xdr:col>
      <xdr:colOff>600966</xdr:colOff>
      <xdr:row>36</xdr:row>
      <xdr:rowOff>3810</xdr:rowOff>
    </xdr:to>
    <xdr:sp macro="" textlink="">
      <xdr:nvSpPr>
        <xdr:cNvPr id="18" name="正方形/長方形 17">
          <a:extLst>
            <a:ext uri="{FF2B5EF4-FFF2-40B4-BE49-F238E27FC236}">
              <a16:creationId xmlns:a16="http://schemas.microsoft.com/office/drawing/2014/main" id="{CEA7F8E4-F4E5-4BAF-ACF1-8D5086C8908B}"/>
            </a:ext>
          </a:extLst>
        </xdr:cNvPr>
        <xdr:cNvSpPr/>
      </xdr:nvSpPr>
      <xdr:spPr>
        <a:xfrm>
          <a:off x="573804" y="4775835"/>
          <a:ext cx="27162" cy="1371600"/>
        </a:xfrm>
        <a:prstGeom prst="rect">
          <a:avLst/>
        </a:prstGeom>
        <a:pattFill prst="openDmnd">
          <a:fgClr>
            <a:srgbClr val="FFFF00"/>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FF99" mc:Ignorable="a14" a14:legacySpreadsheetColorIndex="4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530235</xdr:colOff>
      <xdr:row>27</xdr:row>
      <xdr:rowOff>13335</xdr:rowOff>
    </xdr:from>
    <xdr:to>
      <xdr:col>0</xdr:col>
      <xdr:colOff>644535</xdr:colOff>
      <xdr:row>27</xdr:row>
      <xdr:rowOff>137160</xdr:rowOff>
    </xdr:to>
    <xdr:sp macro="" textlink="">
      <xdr:nvSpPr>
        <xdr:cNvPr id="19" name="テキスト ボックス 18">
          <a:extLst>
            <a:ext uri="{FF2B5EF4-FFF2-40B4-BE49-F238E27FC236}">
              <a16:creationId xmlns:a16="http://schemas.microsoft.com/office/drawing/2014/main" id="{13848662-3146-42EA-95F3-4A86A78D8DD1}"/>
            </a:ext>
          </a:extLst>
        </xdr:cNvPr>
        <xdr:cNvSpPr txBox="1"/>
      </xdr:nvSpPr>
      <xdr:spPr>
        <a:xfrm>
          <a:off x="530235" y="4613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679627</xdr:colOff>
      <xdr:row>27</xdr:row>
      <xdr:rowOff>13335</xdr:rowOff>
    </xdr:from>
    <xdr:to>
      <xdr:col>0</xdr:col>
      <xdr:colOff>793927</xdr:colOff>
      <xdr:row>27</xdr:row>
      <xdr:rowOff>137160</xdr:rowOff>
    </xdr:to>
    <xdr:sp macro="" textlink="">
      <xdr:nvSpPr>
        <xdr:cNvPr id="20" name="テキスト ボックス 19">
          <a:extLst>
            <a:ext uri="{FF2B5EF4-FFF2-40B4-BE49-F238E27FC236}">
              <a16:creationId xmlns:a16="http://schemas.microsoft.com/office/drawing/2014/main" id="{5EE55198-54D7-4BBD-A112-19E091F2DD64}"/>
            </a:ext>
          </a:extLst>
        </xdr:cNvPr>
        <xdr:cNvSpPr txBox="1"/>
      </xdr:nvSpPr>
      <xdr:spPr>
        <a:xfrm>
          <a:off x="679627" y="4613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872589</xdr:colOff>
      <xdr:row>28</xdr:row>
      <xdr:rowOff>3810</xdr:rowOff>
    </xdr:from>
    <xdr:to>
      <xdr:col>0</xdr:col>
      <xdr:colOff>907900</xdr:colOff>
      <xdr:row>36</xdr:row>
      <xdr:rowOff>3810</xdr:rowOff>
    </xdr:to>
    <xdr:sp macro="" textlink="">
      <xdr:nvSpPr>
        <xdr:cNvPr id="21" name="正方形/長方形 20">
          <a:extLst>
            <a:ext uri="{FF2B5EF4-FFF2-40B4-BE49-F238E27FC236}">
              <a16:creationId xmlns:a16="http://schemas.microsoft.com/office/drawing/2014/main" id="{08EA5953-2C11-4EB1-98B4-2567D8136203}"/>
            </a:ext>
          </a:extLst>
        </xdr:cNvPr>
        <xdr:cNvSpPr/>
      </xdr:nvSpPr>
      <xdr:spPr>
        <a:xfrm>
          <a:off x="872589" y="4775835"/>
          <a:ext cx="35311"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833094</xdr:colOff>
      <xdr:row>27</xdr:row>
      <xdr:rowOff>13335</xdr:rowOff>
    </xdr:from>
    <xdr:to>
      <xdr:col>0</xdr:col>
      <xdr:colOff>947394</xdr:colOff>
      <xdr:row>27</xdr:row>
      <xdr:rowOff>137160</xdr:rowOff>
    </xdr:to>
    <xdr:sp macro="" textlink="">
      <xdr:nvSpPr>
        <xdr:cNvPr id="22" name="テキスト ボックス 21">
          <a:extLst>
            <a:ext uri="{FF2B5EF4-FFF2-40B4-BE49-F238E27FC236}">
              <a16:creationId xmlns:a16="http://schemas.microsoft.com/office/drawing/2014/main" id="{380FB93C-6F53-480C-A4E9-FB9B5565CFFD}"/>
            </a:ext>
          </a:extLst>
        </xdr:cNvPr>
        <xdr:cNvSpPr txBox="1"/>
      </xdr:nvSpPr>
      <xdr:spPr>
        <a:xfrm>
          <a:off x="833094" y="46139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0</xdr:col>
      <xdr:colOff>1018832</xdr:colOff>
      <xdr:row>30</xdr:row>
      <xdr:rowOff>97474</xdr:rowOff>
    </xdr:from>
    <xdr:to>
      <xdr:col>1</xdr:col>
      <xdr:colOff>63542</xdr:colOff>
      <xdr:row>33</xdr:row>
      <xdr:rowOff>81594</xdr:rowOff>
    </xdr:to>
    <xdr:sp macro="" textlink="">
      <xdr:nvSpPr>
        <xdr:cNvPr id="23" name="テキスト ボックス 22">
          <a:extLst>
            <a:ext uri="{FF2B5EF4-FFF2-40B4-BE49-F238E27FC236}">
              <a16:creationId xmlns:a16="http://schemas.microsoft.com/office/drawing/2014/main" id="{5A59FAFD-563B-4E4C-93CF-F4E17EEDC0E7}"/>
            </a:ext>
          </a:extLst>
        </xdr:cNvPr>
        <xdr:cNvSpPr txBox="1"/>
      </xdr:nvSpPr>
      <xdr:spPr>
        <a:xfrm>
          <a:off x="1018832" y="52123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553561</xdr:colOff>
      <xdr:row>10</xdr:row>
      <xdr:rowOff>13335</xdr:rowOff>
    </xdr:from>
    <xdr:to>
      <xdr:col>6</xdr:col>
      <xdr:colOff>655161</xdr:colOff>
      <xdr:row>10</xdr:row>
      <xdr:rowOff>137160</xdr:rowOff>
    </xdr:to>
    <xdr:sp macro="" textlink="">
      <xdr:nvSpPr>
        <xdr:cNvPr id="24" name="テキスト ボックス 23">
          <a:extLst>
            <a:ext uri="{FF2B5EF4-FFF2-40B4-BE49-F238E27FC236}">
              <a16:creationId xmlns:a16="http://schemas.microsoft.com/office/drawing/2014/main" id="{639BFD01-BCF6-47B2-A0C0-0985FDD0C081}"/>
            </a:ext>
          </a:extLst>
        </xdr:cNvPr>
        <xdr:cNvSpPr txBox="1"/>
      </xdr:nvSpPr>
      <xdr:spPr>
        <a:xfrm>
          <a:off x="5554186" y="1699260"/>
          <a:ext cx="1016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228312</xdr:colOff>
      <xdr:row>13</xdr:row>
      <xdr:rowOff>97474</xdr:rowOff>
    </xdr:from>
    <xdr:to>
      <xdr:col>6</xdr:col>
      <xdr:colOff>616047</xdr:colOff>
      <xdr:row>16</xdr:row>
      <xdr:rowOff>81594</xdr:rowOff>
    </xdr:to>
    <xdr:sp macro="" textlink="">
      <xdr:nvSpPr>
        <xdr:cNvPr id="25" name="テキスト ボックス 24">
          <a:extLst>
            <a:ext uri="{FF2B5EF4-FFF2-40B4-BE49-F238E27FC236}">
              <a16:creationId xmlns:a16="http://schemas.microsoft.com/office/drawing/2014/main" id="{6B328D7D-0DCE-486E-8CE0-B0DB25A6B758}"/>
            </a:ext>
          </a:extLst>
        </xdr:cNvPr>
        <xdr:cNvSpPr txBox="1"/>
      </xdr:nvSpPr>
      <xdr:spPr>
        <a:xfrm>
          <a:off x="5228937" y="22977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6</xdr:col>
      <xdr:colOff>523780</xdr:colOff>
      <xdr:row>11</xdr:row>
      <xdr:rowOff>3810</xdr:rowOff>
    </xdr:from>
    <xdr:to>
      <xdr:col>6</xdr:col>
      <xdr:colOff>550640</xdr:colOff>
      <xdr:row>19</xdr:row>
      <xdr:rowOff>3810</xdr:rowOff>
    </xdr:to>
    <xdr:sp macro="" textlink="">
      <xdr:nvSpPr>
        <xdr:cNvPr id="26" name="正方形/長方形 25">
          <a:extLst>
            <a:ext uri="{FF2B5EF4-FFF2-40B4-BE49-F238E27FC236}">
              <a16:creationId xmlns:a16="http://schemas.microsoft.com/office/drawing/2014/main" id="{AB9CDDC4-BA14-4B36-8DB9-1C7799CB97E2}"/>
            </a:ext>
          </a:extLst>
        </xdr:cNvPr>
        <xdr:cNvSpPr/>
      </xdr:nvSpPr>
      <xdr:spPr>
        <a:xfrm>
          <a:off x="5524405" y="1861185"/>
          <a:ext cx="26860" cy="1371600"/>
        </a:xfrm>
        <a:prstGeom prst="rect">
          <a:avLst/>
        </a:prstGeom>
        <a:pattFill prst="pct50">
          <a:fgClr>
            <a:srgbClr xmlns:mc="http://schemas.openxmlformats.org/markup-compatibility/2006" xmlns:a14="http://schemas.microsoft.com/office/drawing/2010/main" val="C0C0C0" mc:Ignorable="a14" a14:legacySpreadsheetColorIndex="22"/>
          </a:fgClr>
          <a:bgClr>
            <a:srgbClr val="FFFFFF"/>
          </a:bgClr>
        </a:pattFill>
        <a:ln w="317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a:scene3d>
          <a:camera prst="legacyObliqueTopRight"/>
          <a:lightRig rig="threePt" dir="tl"/>
        </a:scene3d>
        <a:sp3d extrusionH="457200" prstMaterial="clear">
          <a:extrusionClr>
            <a:srgbClr xmlns:mc="http://schemas.openxmlformats.org/markup-compatibility/2006" xmlns:a14="http://schemas.microsoft.com/office/drawing/2010/main" val="C0C0C0" mc:Ignorable="a14" a14:legacySpreadsheetColorIndex="2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658082</xdr:colOff>
      <xdr:row>11</xdr:row>
      <xdr:rowOff>3810</xdr:rowOff>
    </xdr:from>
    <xdr:to>
      <xdr:col>6</xdr:col>
      <xdr:colOff>684942</xdr:colOff>
      <xdr:row>19</xdr:row>
      <xdr:rowOff>3810</xdr:rowOff>
    </xdr:to>
    <xdr:sp macro="" textlink="">
      <xdr:nvSpPr>
        <xdr:cNvPr id="27" name="正方形/長方形 26">
          <a:extLst>
            <a:ext uri="{FF2B5EF4-FFF2-40B4-BE49-F238E27FC236}">
              <a16:creationId xmlns:a16="http://schemas.microsoft.com/office/drawing/2014/main" id="{B3D39FF0-A252-4EBE-AA54-7CF2499FC1CA}"/>
            </a:ext>
          </a:extLst>
        </xdr:cNvPr>
        <xdr:cNvSpPr/>
      </xdr:nvSpPr>
      <xdr:spPr>
        <a:xfrm>
          <a:off x="5658707" y="1861185"/>
          <a:ext cx="26860" cy="1371600"/>
        </a:xfrm>
        <a:prstGeom prst="rect">
          <a:avLst/>
        </a:prstGeom>
        <a:pattFill prst="pct50">
          <a:fgClr>
            <a:srgbClr xmlns:mc="http://schemas.openxmlformats.org/markup-compatibility/2006" xmlns:a14="http://schemas.microsoft.com/office/drawing/2010/main" val="C0C0C0" mc:Ignorable="a14" a14:legacySpreadsheetColorIndex="22"/>
          </a:fgClr>
          <a:bgClr>
            <a:srgbClr val="FFFFFF"/>
          </a:bgClr>
        </a:pattFill>
        <a:ln w="317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a:scene3d>
          <a:camera prst="legacyObliqueTopRight"/>
          <a:lightRig rig="threePt" dir="tl"/>
        </a:scene3d>
        <a:sp3d extrusionH="457200" prstMaterial="clear">
          <a:extrusionClr>
            <a:srgbClr xmlns:mc="http://schemas.openxmlformats.org/markup-compatibility/2006" xmlns:a14="http://schemas.microsoft.com/office/drawing/2010/main" val="C0C0C0" mc:Ignorable="a14" a14:legacySpreadsheetColorIndex="22"/>
          </a:extrusion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795874</xdr:colOff>
      <xdr:row>13</xdr:row>
      <xdr:rowOff>97474</xdr:rowOff>
    </xdr:from>
    <xdr:to>
      <xdr:col>6</xdr:col>
      <xdr:colOff>1183609</xdr:colOff>
      <xdr:row>16</xdr:row>
      <xdr:rowOff>81594</xdr:rowOff>
    </xdr:to>
    <xdr:sp macro="" textlink="">
      <xdr:nvSpPr>
        <xdr:cNvPr id="28" name="テキスト ボックス 27">
          <a:extLst>
            <a:ext uri="{FF2B5EF4-FFF2-40B4-BE49-F238E27FC236}">
              <a16:creationId xmlns:a16="http://schemas.microsoft.com/office/drawing/2014/main" id="{C6167C81-EF18-4E05-A717-FC37C2A588A5}"/>
            </a:ext>
          </a:extLst>
        </xdr:cNvPr>
        <xdr:cNvSpPr txBox="1"/>
      </xdr:nvSpPr>
      <xdr:spPr>
        <a:xfrm>
          <a:off x="5796499" y="22977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528137</xdr:colOff>
      <xdr:row>26</xdr:row>
      <xdr:rowOff>135049</xdr:rowOff>
    </xdr:from>
    <xdr:to>
      <xdr:col>6</xdr:col>
      <xdr:colOff>943635</xdr:colOff>
      <xdr:row>28</xdr:row>
      <xdr:rowOff>77676</xdr:rowOff>
    </xdr:to>
    <xdr:sp macro="" textlink="">
      <xdr:nvSpPr>
        <xdr:cNvPr id="29" name="テキスト ボックス 28">
          <a:extLst>
            <a:ext uri="{FF2B5EF4-FFF2-40B4-BE49-F238E27FC236}">
              <a16:creationId xmlns:a16="http://schemas.microsoft.com/office/drawing/2014/main" id="{45C70527-90BF-4029-954A-9CBFE8374C0A}"/>
            </a:ext>
          </a:extLst>
        </xdr:cNvPr>
        <xdr:cNvSpPr txBox="1"/>
      </xdr:nvSpPr>
      <xdr:spPr>
        <a:xfrm>
          <a:off x="5528762" y="4564174"/>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屋外</a:t>
          </a:r>
        </a:p>
      </xdr:txBody>
    </xdr:sp>
    <xdr:clientData/>
  </xdr:twoCellAnchor>
  <xdr:twoCellAnchor>
    <xdr:from>
      <xdr:col>6</xdr:col>
      <xdr:colOff>37227</xdr:colOff>
      <xdr:row>29</xdr:row>
      <xdr:rowOff>43170</xdr:rowOff>
    </xdr:from>
    <xdr:to>
      <xdr:col>6</xdr:col>
      <xdr:colOff>151527</xdr:colOff>
      <xdr:row>29</xdr:row>
      <xdr:rowOff>166995</xdr:rowOff>
    </xdr:to>
    <xdr:sp macro="" textlink="">
      <xdr:nvSpPr>
        <xdr:cNvPr id="31" name="テキスト ボックス 30">
          <a:extLst>
            <a:ext uri="{FF2B5EF4-FFF2-40B4-BE49-F238E27FC236}">
              <a16:creationId xmlns:a16="http://schemas.microsoft.com/office/drawing/2014/main" id="{BD7B5265-63D1-4519-BEA3-4D7EA4578422}"/>
            </a:ext>
          </a:extLst>
        </xdr:cNvPr>
        <xdr:cNvSpPr txBox="1"/>
      </xdr:nvSpPr>
      <xdr:spPr>
        <a:xfrm>
          <a:off x="5037852" y="4986645"/>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29</xdr:row>
      <xdr:rowOff>114988</xdr:rowOff>
    </xdr:from>
    <xdr:to>
      <xdr:col>6</xdr:col>
      <xdr:colOff>151527</xdr:colOff>
      <xdr:row>30</xdr:row>
      <xdr:rowOff>67363</xdr:rowOff>
    </xdr:to>
    <xdr:sp macro="" textlink="">
      <xdr:nvSpPr>
        <xdr:cNvPr id="33" name="テキスト ボックス 32">
          <a:extLst>
            <a:ext uri="{FF2B5EF4-FFF2-40B4-BE49-F238E27FC236}">
              <a16:creationId xmlns:a16="http://schemas.microsoft.com/office/drawing/2014/main" id="{2F4AD23F-28D2-4B40-BE61-EEDCEA23A49E}"/>
            </a:ext>
          </a:extLst>
        </xdr:cNvPr>
        <xdr:cNvSpPr txBox="1"/>
      </xdr:nvSpPr>
      <xdr:spPr>
        <a:xfrm>
          <a:off x="5037852" y="5058463"/>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30</xdr:row>
      <xdr:rowOff>15357</xdr:rowOff>
    </xdr:from>
    <xdr:to>
      <xdr:col>6</xdr:col>
      <xdr:colOff>151527</xdr:colOff>
      <xdr:row>30</xdr:row>
      <xdr:rowOff>139182</xdr:rowOff>
    </xdr:to>
    <xdr:sp macro="" textlink="">
      <xdr:nvSpPr>
        <xdr:cNvPr id="35" name="テキスト ボックス 34">
          <a:extLst>
            <a:ext uri="{FF2B5EF4-FFF2-40B4-BE49-F238E27FC236}">
              <a16:creationId xmlns:a16="http://schemas.microsoft.com/office/drawing/2014/main" id="{E79D4450-D23F-4337-923B-F91886C3A825}"/>
            </a:ext>
          </a:extLst>
        </xdr:cNvPr>
        <xdr:cNvSpPr txBox="1"/>
      </xdr:nvSpPr>
      <xdr:spPr>
        <a:xfrm>
          <a:off x="5037852" y="5130282"/>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30</xdr:row>
      <xdr:rowOff>101933</xdr:rowOff>
    </xdr:from>
    <xdr:to>
      <xdr:col>6</xdr:col>
      <xdr:colOff>151527</xdr:colOff>
      <xdr:row>31</xdr:row>
      <xdr:rowOff>54308</xdr:rowOff>
    </xdr:to>
    <xdr:sp macro="" textlink="">
      <xdr:nvSpPr>
        <xdr:cNvPr id="37" name="テキスト ボックス 36">
          <a:extLst>
            <a:ext uri="{FF2B5EF4-FFF2-40B4-BE49-F238E27FC236}">
              <a16:creationId xmlns:a16="http://schemas.microsoft.com/office/drawing/2014/main" id="{33800108-EC74-43D5-958E-F5B50A4AD6E2}"/>
            </a:ext>
          </a:extLst>
        </xdr:cNvPr>
        <xdr:cNvSpPr txBox="1"/>
      </xdr:nvSpPr>
      <xdr:spPr>
        <a:xfrm>
          <a:off x="5037852" y="521685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32</xdr:row>
      <xdr:rowOff>39022</xdr:rowOff>
    </xdr:from>
    <xdr:to>
      <xdr:col>6</xdr:col>
      <xdr:colOff>151527</xdr:colOff>
      <xdr:row>32</xdr:row>
      <xdr:rowOff>162847</xdr:rowOff>
    </xdr:to>
    <xdr:sp macro="" textlink="">
      <xdr:nvSpPr>
        <xdr:cNvPr id="38" name="テキスト ボックス 37">
          <a:extLst>
            <a:ext uri="{FF2B5EF4-FFF2-40B4-BE49-F238E27FC236}">
              <a16:creationId xmlns:a16="http://schemas.microsoft.com/office/drawing/2014/main" id="{70DC6E61-80C3-4839-9C9C-4038093B9776}"/>
            </a:ext>
          </a:extLst>
        </xdr:cNvPr>
        <xdr:cNvSpPr txBox="1"/>
      </xdr:nvSpPr>
      <xdr:spPr>
        <a:xfrm>
          <a:off x="5037852" y="5496847"/>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33</xdr:row>
      <xdr:rowOff>60453</xdr:rowOff>
    </xdr:from>
    <xdr:to>
      <xdr:col>6</xdr:col>
      <xdr:colOff>151527</xdr:colOff>
      <xdr:row>34</xdr:row>
      <xdr:rowOff>12828</xdr:rowOff>
    </xdr:to>
    <xdr:sp macro="" textlink="">
      <xdr:nvSpPr>
        <xdr:cNvPr id="40" name="テキスト ボックス 39">
          <a:extLst>
            <a:ext uri="{FF2B5EF4-FFF2-40B4-BE49-F238E27FC236}">
              <a16:creationId xmlns:a16="http://schemas.microsoft.com/office/drawing/2014/main" id="{EF99F131-78CD-4CF8-95EC-E8D8C306E2DE}"/>
            </a:ext>
          </a:extLst>
        </xdr:cNvPr>
        <xdr:cNvSpPr txBox="1"/>
      </xdr:nvSpPr>
      <xdr:spPr>
        <a:xfrm>
          <a:off x="5037852" y="568972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6</a:t>
          </a:r>
          <a:endParaRPr kumimoji="1" lang="ja-JP" altLang="en-US" sz="800" b="0" i="0">
            <a:latin typeface="ＭＳ Ｐゴシック" panose="020B0600070205080204" pitchFamily="50" charset="-128"/>
          </a:endParaRPr>
        </a:p>
      </xdr:txBody>
    </xdr:sp>
    <xdr:clientData/>
  </xdr:twoCellAnchor>
  <xdr:twoCellAnchor>
    <xdr:from>
      <xdr:col>6</xdr:col>
      <xdr:colOff>528137</xdr:colOff>
      <xdr:row>33</xdr:row>
      <xdr:rowOff>100124</xdr:rowOff>
    </xdr:from>
    <xdr:to>
      <xdr:col>6</xdr:col>
      <xdr:colOff>943635</xdr:colOff>
      <xdr:row>35</xdr:row>
      <xdr:rowOff>42751</xdr:rowOff>
    </xdr:to>
    <xdr:sp macro="" textlink="">
      <xdr:nvSpPr>
        <xdr:cNvPr id="41" name="テキスト ボックス 40">
          <a:extLst>
            <a:ext uri="{FF2B5EF4-FFF2-40B4-BE49-F238E27FC236}">
              <a16:creationId xmlns:a16="http://schemas.microsoft.com/office/drawing/2014/main" id="{78A4C294-154D-4F2B-ADE2-35A490ECEED4}"/>
            </a:ext>
          </a:extLst>
        </xdr:cNvPr>
        <xdr:cNvSpPr txBox="1"/>
      </xdr:nvSpPr>
      <xdr:spPr>
        <a:xfrm>
          <a:off x="5528762" y="5729399"/>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221263</xdr:colOff>
      <xdr:row>47</xdr:row>
      <xdr:rowOff>97474</xdr:rowOff>
    </xdr:from>
    <xdr:to>
      <xdr:col>0</xdr:col>
      <xdr:colOff>608998</xdr:colOff>
      <xdr:row>50</xdr:row>
      <xdr:rowOff>81594</xdr:rowOff>
    </xdr:to>
    <xdr:sp macro="" textlink="">
      <xdr:nvSpPr>
        <xdr:cNvPr id="42" name="テキスト ボックス 41">
          <a:extLst>
            <a:ext uri="{FF2B5EF4-FFF2-40B4-BE49-F238E27FC236}">
              <a16:creationId xmlns:a16="http://schemas.microsoft.com/office/drawing/2014/main" id="{957761CB-0205-4941-990B-4BA327EC8957}"/>
            </a:ext>
          </a:extLst>
        </xdr:cNvPr>
        <xdr:cNvSpPr txBox="1"/>
      </xdr:nvSpPr>
      <xdr:spPr>
        <a:xfrm>
          <a:off x="221263" y="81270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516731</xdr:colOff>
      <xdr:row>45</xdr:row>
      <xdr:rowOff>3810</xdr:rowOff>
    </xdr:from>
    <xdr:to>
      <xdr:col>0</xdr:col>
      <xdr:colOff>528161</xdr:colOff>
      <xdr:row>53</xdr:row>
      <xdr:rowOff>3810</xdr:rowOff>
    </xdr:to>
    <xdr:sp macro="" textlink="">
      <xdr:nvSpPr>
        <xdr:cNvPr id="43" name="正方形/長方形 42">
          <a:extLst>
            <a:ext uri="{FF2B5EF4-FFF2-40B4-BE49-F238E27FC236}">
              <a16:creationId xmlns:a16="http://schemas.microsoft.com/office/drawing/2014/main" id="{9E1730A9-E059-4F0F-A435-3E9F297C0859}"/>
            </a:ext>
          </a:extLst>
        </xdr:cNvPr>
        <xdr:cNvSpPr/>
      </xdr:nvSpPr>
      <xdr:spPr>
        <a:xfrm>
          <a:off x="516731" y="7690485"/>
          <a:ext cx="11430" cy="1371600"/>
        </a:xfrm>
        <a:prstGeom prst="rect">
          <a:avLst/>
        </a:prstGeom>
        <a:gradFill flip="none" rotWithShape="1">
          <a:gsLst>
            <a:gs pos="0">
              <a:srgbClr xmlns:mc="http://schemas.openxmlformats.org/markup-compatibility/2006" xmlns:a14="http://schemas.microsoft.com/office/drawing/2010/main" val="000000" mc:Ignorable="a14" a14:legacySpreadsheetColorIndex="8"/>
            </a:gs>
            <a:gs pos="50000">
              <a:srgbClr xmlns:mc="http://schemas.openxmlformats.org/markup-compatibility/2006" xmlns:a14="http://schemas.microsoft.com/office/drawing/2010/main" val="E7E7E7" mc:Ignorable="a14" a14:legacySpreadsheetColorIndex="8">
                <a:tint val="20000"/>
              </a:srgbClr>
            </a:gs>
            <a:gs pos="100000">
              <a:srgbClr xmlns:mc="http://schemas.openxmlformats.org/markup-compatibility/2006" xmlns:a14="http://schemas.microsoft.com/office/drawing/2010/main" val="000000" mc:Ignorable="a14" a14:legacySpreadsheetColorIndex="8"/>
            </a:gs>
          </a:gsLst>
          <a:lin ang="5400000" scaled="1"/>
          <a:tileRect/>
        </a:gradFill>
        <a:ln w="3175" cap="flat" cmpd="sng" algn="ctr">
          <a:noFill/>
          <a:prstDash val="solid"/>
          <a:miter lim="800000"/>
          <a:headEnd type="none" w="med" len="med"/>
          <a:tailEnd type="none" w="med" len="med"/>
        </a:ln>
        <a:effectLst/>
        <a:scene3d>
          <a:camera prst="legacyObliqueTopRight"/>
          <a:lightRig rig="soft" dir="tl"/>
        </a:scene3d>
        <a:sp3d extrusionH="457200" prstMaterial="legacyMetal">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465296</xdr:colOff>
      <xdr:row>44</xdr:row>
      <xdr:rowOff>13335</xdr:rowOff>
    </xdr:from>
    <xdr:to>
      <xdr:col>0</xdr:col>
      <xdr:colOff>579596</xdr:colOff>
      <xdr:row>44</xdr:row>
      <xdr:rowOff>137160</xdr:rowOff>
    </xdr:to>
    <xdr:sp macro="" textlink="">
      <xdr:nvSpPr>
        <xdr:cNvPr id="44" name="テキスト ボックス 43">
          <a:extLst>
            <a:ext uri="{FF2B5EF4-FFF2-40B4-BE49-F238E27FC236}">
              <a16:creationId xmlns:a16="http://schemas.microsoft.com/office/drawing/2014/main" id="{03F3FEE3-A338-4951-8C23-7F8A049BA01A}"/>
            </a:ext>
          </a:extLst>
        </xdr:cNvPr>
        <xdr:cNvSpPr txBox="1"/>
      </xdr:nvSpPr>
      <xdr:spPr>
        <a:xfrm>
          <a:off x="465296" y="75285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528161</xdr:colOff>
      <xdr:row>45</xdr:row>
      <xdr:rowOff>3810</xdr:rowOff>
    </xdr:from>
    <xdr:to>
      <xdr:col>0</xdr:col>
      <xdr:colOff>680561</xdr:colOff>
      <xdr:row>53</xdr:row>
      <xdr:rowOff>3810</xdr:rowOff>
    </xdr:to>
    <xdr:sp macro="" textlink="">
      <xdr:nvSpPr>
        <xdr:cNvPr id="45" name="正方形/長方形 44">
          <a:extLst>
            <a:ext uri="{FF2B5EF4-FFF2-40B4-BE49-F238E27FC236}">
              <a16:creationId xmlns:a16="http://schemas.microsoft.com/office/drawing/2014/main" id="{D61CC19F-8498-4ABD-8809-CADAA8CF8577}"/>
            </a:ext>
          </a:extLst>
        </xdr:cNvPr>
        <xdr:cNvSpPr/>
      </xdr:nvSpPr>
      <xdr:spPr>
        <a:xfrm>
          <a:off x="528161" y="7690485"/>
          <a:ext cx="152400" cy="1371600"/>
        </a:xfrm>
        <a:prstGeom prst="rect">
          <a:avLst/>
        </a:prstGeom>
        <a:pattFill prst="openDmnd">
          <a:fgClr>
            <a:srgbClr val="FFFF00"/>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FF99" mc:Ignorable="a14" a14:legacySpreadsheetColorIndex="43"/>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547211</xdr:colOff>
      <xdr:row>44</xdr:row>
      <xdr:rowOff>13335</xdr:rowOff>
    </xdr:from>
    <xdr:to>
      <xdr:col>0</xdr:col>
      <xdr:colOff>661511</xdr:colOff>
      <xdr:row>44</xdr:row>
      <xdr:rowOff>137160</xdr:rowOff>
    </xdr:to>
    <xdr:sp macro="" textlink="">
      <xdr:nvSpPr>
        <xdr:cNvPr id="46" name="テキスト ボックス 45">
          <a:extLst>
            <a:ext uri="{FF2B5EF4-FFF2-40B4-BE49-F238E27FC236}">
              <a16:creationId xmlns:a16="http://schemas.microsoft.com/office/drawing/2014/main" id="{5CB05BEF-57E5-49F8-97F3-07E02EE90593}"/>
            </a:ext>
          </a:extLst>
        </xdr:cNvPr>
        <xdr:cNvSpPr txBox="1"/>
      </xdr:nvSpPr>
      <xdr:spPr>
        <a:xfrm>
          <a:off x="547211" y="75285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680561</xdr:colOff>
      <xdr:row>45</xdr:row>
      <xdr:rowOff>3810</xdr:rowOff>
    </xdr:from>
    <xdr:to>
      <xdr:col>0</xdr:col>
      <xdr:colOff>691991</xdr:colOff>
      <xdr:row>53</xdr:row>
      <xdr:rowOff>3810</xdr:rowOff>
    </xdr:to>
    <xdr:sp macro="" textlink="">
      <xdr:nvSpPr>
        <xdr:cNvPr id="47" name="正方形/長方形 46">
          <a:extLst>
            <a:ext uri="{FF2B5EF4-FFF2-40B4-BE49-F238E27FC236}">
              <a16:creationId xmlns:a16="http://schemas.microsoft.com/office/drawing/2014/main" id="{174A07FC-05DE-4C2C-A47B-8FF93DE8A551}"/>
            </a:ext>
          </a:extLst>
        </xdr:cNvPr>
        <xdr:cNvSpPr/>
      </xdr:nvSpPr>
      <xdr:spPr>
        <a:xfrm>
          <a:off x="680561" y="7690485"/>
          <a:ext cx="11430" cy="1371600"/>
        </a:xfrm>
        <a:prstGeom prst="rect">
          <a:avLst/>
        </a:prstGeom>
        <a:gradFill flip="none" rotWithShape="1">
          <a:gsLst>
            <a:gs pos="0">
              <a:srgbClr xmlns:mc="http://schemas.openxmlformats.org/markup-compatibility/2006" xmlns:a14="http://schemas.microsoft.com/office/drawing/2010/main" val="000000" mc:Ignorable="a14" a14:legacySpreadsheetColorIndex="8"/>
            </a:gs>
            <a:gs pos="50000">
              <a:srgbClr xmlns:mc="http://schemas.openxmlformats.org/markup-compatibility/2006" xmlns:a14="http://schemas.microsoft.com/office/drawing/2010/main" val="E7E7E7" mc:Ignorable="a14" a14:legacySpreadsheetColorIndex="8">
                <a:tint val="20000"/>
              </a:srgbClr>
            </a:gs>
            <a:gs pos="100000">
              <a:srgbClr xmlns:mc="http://schemas.openxmlformats.org/markup-compatibility/2006" xmlns:a14="http://schemas.microsoft.com/office/drawing/2010/main" val="000000" mc:Ignorable="a14" a14:legacySpreadsheetColorIndex="8"/>
            </a:gs>
          </a:gsLst>
          <a:lin ang="5400000" scaled="1"/>
          <a:tileRect/>
        </a:gradFill>
        <a:ln w="3175" cap="flat" cmpd="sng" algn="ctr">
          <a:noFill/>
          <a:prstDash val="solid"/>
          <a:miter lim="800000"/>
          <a:headEnd type="none" w="med" len="med"/>
          <a:tailEnd type="none" w="med" len="med"/>
        </a:ln>
        <a:effectLst/>
        <a:scene3d>
          <a:camera prst="legacyObliqueTopRight"/>
          <a:lightRig rig="soft" dir="tl"/>
        </a:scene3d>
        <a:sp3d extrusionH="457200" prstMaterial="legacyMetal">
          <a:extrusionClr>
            <a:srgbClr xmlns:mc="http://schemas.openxmlformats.org/markup-compatibility/2006" xmlns:a14="http://schemas.microsoft.com/office/drawing/2010/main" val="C0C0C0" mc:Ignorable="a14" a14:legacySpreadsheetColorIndex="22"/>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629126</xdr:colOff>
      <xdr:row>44</xdr:row>
      <xdr:rowOff>13335</xdr:rowOff>
    </xdr:from>
    <xdr:to>
      <xdr:col>0</xdr:col>
      <xdr:colOff>743426</xdr:colOff>
      <xdr:row>44</xdr:row>
      <xdr:rowOff>137160</xdr:rowOff>
    </xdr:to>
    <xdr:sp macro="" textlink="">
      <xdr:nvSpPr>
        <xdr:cNvPr id="48" name="テキスト ボックス 47">
          <a:extLst>
            <a:ext uri="{FF2B5EF4-FFF2-40B4-BE49-F238E27FC236}">
              <a16:creationId xmlns:a16="http://schemas.microsoft.com/office/drawing/2014/main" id="{B852CB4E-C668-4A02-BFFF-E4FBFE88C908}"/>
            </a:ext>
          </a:extLst>
        </xdr:cNvPr>
        <xdr:cNvSpPr txBox="1"/>
      </xdr:nvSpPr>
      <xdr:spPr>
        <a:xfrm>
          <a:off x="629126" y="752856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802923</xdr:colOff>
      <xdr:row>47</xdr:row>
      <xdr:rowOff>97474</xdr:rowOff>
    </xdr:from>
    <xdr:to>
      <xdr:col>0</xdr:col>
      <xdr:colOff>1190658</xdr:colOff>
      <xdr:row>50</xdr:row>
      <xdr:rowOff>81594</xdr:rowOff>
    </xdr:to>
    <xdr:sp macro="" textlink="">
      <xdr:nvSpPr>
        <xdr:cNvPr id="49" name="テキスト ボックス 48">
          <a:extLst>
            <a:ext uri="{FF2B5EF4-FFF2-40B4-BE49-F238E27FC236}">
              <a16:creationId xmlns:a16="http://schemas.microsoft.com/office/drawing/2014/main" id="{601B8CDB-CFB5-4439-9596-A5DAAD6458C6}"/>
            </a:ext>
          </a:extLst>
        </xdr:cNvPr>
        <xdr:cNvSpPr txBox="1"/>
      </xdr:nvSpPr>
      <xdr:spPr>
        <a:xfrm>
          <a:off x="802923" y="812704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70768</xdr:colOff>
      <xdr:row>64</xdr:row>
      <xdr:rowOff>97474</xdr:rowOff>
    </xdr:from>
    <xdr:to>
      <xdr:col>0</xdr:col>
      <xdr:colOff>458503</xdr:colOff>
      <xdr:row>67</xdr:row>
      <xdr:rowOff>81594</xdr:rowOff>
    </xdr:to>
    <xdr:sp macro="" textlink="">
      <xdr:nvSpPr>
        <xdr:cNvPr id="50" name="テキスト ボックス 49">
          <a:extLst>
            <a:ext uri="{FF2B5EF4-FFF2-40B4-BE49-F238E27FC236}">
              <a16:creationId xmlns:a16="http://schemas.microsoft.com/office/drawing/2014/main" id="{88DDAC51-FAB6-441B-A5B1-8ABC48A96246}"/>
            </a:ext>
          </a:extLst>
        </xdr:cNvPr>
        <xdr:cNvSpPr txBox="1"/>
      </xdr:nvSpPr>
      <xdr:spPr>
        <a:xfrm>
          <a:off x="70768" y="110416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0</xdr:col>
      <xdr:colOff>366236</xdr:colOff>
      <xdr:row>62</xdr:row>
      <xdr:rowOff>3810</xdr:rowOff>
    </xdr:from>
    <xdr:to>
      <xdr:col>0</xdr:col>
      <xdr:colOff>415766</xdr:colOff>
      <xdr:row>70</xdr:row>
      <xdr:rowOff>3810</xdr:rowOff>
    </xdr:to>
    <xdr:sp macro="" textlink="">
      <xdr:nvSpPr>
        <xdr:cNvPr id="51" name="正方形/長方形 50">
          <a:extLst>
            <a:ext uri="{FF2B5EF4-FFF2-40B4-BE49-F238E27FC236}">
              <a16:creationId xmlns:a16="http://schemas.microsoft.com/office/drawing/2014/main" id="{DCD54135-F8EB-46B2-B220-A71DF3EC466E}"/>
            </a:ext>
          </a:extLst>
        </xdr:cNvPr>
        <xdr:cNvSpPr/>
      </xdr:nvSpPr>
      <xdr:spPr>
        <a:xfrm>
          <a:off x="366236" y="10605135"/>
          <a:ext cx="4953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333851</xdr:colOff>
      <xdr:row>61</xdr:row>
      <xdr:rowOff>13335</xdr:rowOff>
    </xdr:from>
    <xdr:to>
      <xdr:col>0</xdr:col>
      <xdr:colOff>448151</xdr:colOff>
      <xdr:row>61</xdr:row>
      <xdr:rowOff>137160</xdr:rowOff>
    </xdr:to>
    <xdr:sp macro="" textlink="">
      <xdr:nvSpPr>
        <xdr:cNvPr id="52" name="テキスト ボックス 51">
          <a:extLst>
            <a:ext uri="{FF2B5EF4-FFF2-40B4-BE49-F238E27FC236}">
              <a16:creationId xmlns:a16="http://schemas.microsoft.com/office/drawing/2014/main" id="{2BCAF001-B546-4671-AE72-DC8D52DBEC6A}"/>
            </a:ext>
          </a:extLst>
        </xdr:cNvPr>
        <xdr:cNvSpPr txBox="1"/>
      </xdr:nvSpPr>
      <xdr:spPr>
        <a:xfrm>
          <a:off x="333851" y="104432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0</xdr:col>
      <xdr:colOff>549116</xdr:colOff>
      <xdr:row>61</xdr:row>
      <xdr:rowOff>13335</xdr:rowOff>
    </xdr:from>
    <xdr:to>
      <xdr:col>0</xdr:col>
      <xdr:colOff>663416</xdr:colOff>
      <xdr:row>61</xdr:row>
      <xdr:rowOff>137160</xdr:rowOff>
    </xdr:to>
    <xdr:sp macro="" textlink="">
      <xdr:nvSpPr>
        <xdr:cNvPr id="53" name="テキスト ボックス 52">
          <a:extLst>
            <a:ext uri="{FF2B5EF4-FFF2-40B4-BE49-F238E27FC236}">
              <a16:creationId xmlns:a16="http://schemas.microsoft.com/office/drawing/2014/main" id="{A56FFC47-B541-44F6-AECC-113CCF9D7B6B}"/>
            </a:ext>
          </a:extLst>
        </xdr:cNvPr>
        <xdr:cNvSpPr txBox="1"/>
      </xdr:nvSpPr>
      <xdr:spPr>
        <a:xfrm>
          <a:off x="549116" y="104432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0</xdr:col>
      <xdr:colOff>796766</xdr:colOff>
      <xdr:row>62</xdr:row>
      <xdr:rowOff>3810</xdr:rowOff>
    </xdr:from>
    <xdr:to>
      <xdr:col>0</xdr:col>
      <xdr:colOff>846296</xdr:colOff>
      <xdr:row>70</xdr:row>
      <xdr:rowOff>3810</xdr:rowOff>
    </xdr:to>
    <xdr:sp macro="" textlink="">
      <xdr:nvSpPr>
        <xdr:cNvPr id="54" name="正方形/長方形 53">
          <a:extLst>
            <a:ext uri="{FF2B5EF4-FFF2-40B4-BE49-F238E27FC236}">
              <a16:creationId xmlns:a16="http://schemas.microsoft.com/office/drawing/2014/main" id="{0F3841F1-A459-4EF2-9F17-61B4226E6A26}"/>
            </a:ext>
          </a:extLst>
        </xdr:cNvPr>
        <xdr:cNvSpPr/>
      </xdr:nvSpPr>
      <xdr:spPr>
        <a:xfrm>
          <a:off x="796766" y="10605135"/>
          <a:ext cx="49530" cy="1371600"/>
        </a:xfrm>
        <a:prstGeom prst="rect">
          <a:avLst/>
        </a:prstGeom>
        <a:pattFill prst="ltUpDiag">
          <a:fgClr>
            <a:srgbClr xmlns:mc="http://schemas.openxmlformats.org/markup-compatibility/2006" xmlns:a14="http://schemas.microsoft.com/office/drawing/2010/main" val="FFCC99" mc:Ignorable="a14" a14:legacySpreadsheetColorIndex="47"/>
          </a:fgClr>
          <a:bgClr>
            <a:srgbClr val="FFFFFF"/>
          </a:bgClr>
        </a:pattFill>
        <a:ln w="3175" cap="flat" cmpd="sng" algn="ctr">
          <a:noFill/>
          <a:prstDash val="solid"/>
          <a:miter lim="800000"/>
          <a:headEnd type="none" w="med" len="med"/>
          <a:tailEnd type="none" w="med" len="med"/>
        </a:ln>
        <a:effectLst/>
        <a:scene3d>
          <a:camera prst="legacyObliqueTopRight"/>
          <a:lightRig rig="soft" dir="tl"/>
        </a:scene3d>
        <a:sp3d extrusionH="457200" prstMaterial="legacyMatte">
          <a:extrusionClr>
            <a:srgbClr xmlns:mc="http://schemas.openxmlformats.org/markup-compatibility/2006" xmlns:a14="http://schemas.microsoft.com/office/drawing/2010/main" val="FFCC99" mc:Ignorable="a14" a14:legacySpreadsheetColorIndex="47"/>
          </a:extrusionClr>
        </a:sp3d>
        <a:extLst>
          <a:ext uri="{91240B29-F687-4F45-9708-019B960494DF}">
            <a14:hiddenLine xmlns:a14="http://schemas.microsoft.com/office/drawing/2010/main" w="3175" cap="flat" cmpd="sng" algn="ctr">
              <a:solidFill>
                <a:srgbClr xmlns:mc="http://schemas.openxmlformats.org/markup-compatibility/2006" val="000000" mc:Ignorable="a14" a14:legacySpreadsheetColorIndex="64"/>
              </a:solidFill>
              <a:prstDash val="solid"/>
              <a:miter lim="800000"/>
              <a:headEnd type="none" w="med" len="med"/>
              <a:tailEnd type="none" w="med" len="me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764381</xdr:colOff>
      <xdr:row>61</xdr:row>
      <xdr:rowOff>13335</xdr:rowOff>
    </xdr:from>
    <xdr:to>
      <xdr:col>0</xdr:col>
      <xdr:colOff>878681</xdr:colOff>
      <xdr:row>61</xdr:row>
      <xdr:rowOff>137160</xdr:rowOff>
    </xdr:to>
    <xdr:sp macro="" textlink="">
      <xdr:nvSpPr>
        <xdr:cNvPr id="55" name="テキスト ボックス 54">
          <a:extLst>
            <a:ext uri="{FF2B5EF4-FFF2-40B4-BE49-F238E27FC236}">
              <a16:creationId xmlns:a16="http://schemas.microsoft.com/office/drawing/2014/main" id="{87894477-D730-49B2-9D86-CD41B73C856E}"/>
            </a:ext>
          </a:extLst>
        </xdr:cNvPr>
        <xdr:cNvSpPr txBox="1"/>
      </xdr:nvSpPr>
      <xdr:spPr>
        <a:xfrm>
          <a:off x="764381" y="1044321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0</xdr:col>
      <xdr:colOff>957228</xdr:colOff>
      <xdr:row>64</xdr:row>
      <xdr:rowOff>97474</xdr:rowOff>
    </xdr:from>
    <xdr:to>
      <xdr:col>1</xdr:col>
      <xdr:colOff>1938</xdr:colOff>
      <xdr:row>67</xdr:row>
      <xdr:rowOff>81594</xdr:rowOff>
    </xdr:to>
    <xdr:sp macro="" textlink="">
      <xdr:nvSpPr>
        <xdr:cNvPr id="56" name="テキスト ボックス 55">
          <a:extLst>
            <a:ext uri="{FF2B5EF4-FFF2-40B4-BE49-F238E27FC236}">
              <a16:creationId xmlns:a16="http://schemas.microsoft.com/office/drawing/2014/main" id="{BD536ACE-7D44-48BD-8325-E2BA38BD5B46}"/>
            </a:ext>
          </a:extLst>
        </xdr:cNvPr>
        <xdr:cNvSpPr txBox="1"/>
      </xdr:nvSpPr>
      <xdr:spPr>
        <a:xfrm>
          <a:off x="957228" y="11041699"/>
          <a:ext cx="387735" cy="49847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wordArtVertRtl"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528137</xdr:colOff>
      <xdr:row>43</xdr:row>
      <xdr:rowOff>135049</xdr:rowOff>
    </xdr:from>
    <xdr:to>
      <xdr:col>6</xdr:col>
      <xdr:colOff>943635</xdr:colOff>
      <xdr:row>45</xdr:row>
      <xdr:rowOff>77676</xdr:rowOff>
    </xdr:to>
    <xdr:sp macro="" textlink="">
      <xdr:nvSpPr>
        <xdr:cNvPr id="57" name="テキスト ボックス 56">
          <a:extLst>
            <a:ext uri="{FF2B5EF4-FFF2-40B4-BE49-F238E27FC236}">
              <a16:creationId xmlns:a16="http://schemas.microsoft.com/office/drawing/2014/main" id="{F11D424F-81AE-48B9-AFA8-B2019B0EF3E7}"/>
            </a:ext>
          </a:extLst>
        </xdr:cNvPr>
        <xdr:cNvSpPr txBox="1"/>
      </xdr:nvSpPr>
      <xdr:spPr>
        <a:xfrm>
          <a:off x="5528762" y="7478824"/>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37227</xdr:colOff>
      <xdr:row>45</xdr:row>
      <xdr:rowOff>160024</xdr:rowOff>
    </xdr:from>
    <xdr:to>
      <xdr:col>6</xdr:col>
      <xdr:colOff>151527</xdr:colOff>
      <xdr:row>46</xdr:row>
      <xdr:rowOff>112399</xdr:rowOff>
    </xdr:to>
    <xdr:sp macro="" textlink="">
      <xdr:nvSpPr>
        <xdr:cNvPr id="59" name="テキスト ボックス 58">
          <a:extLst>
            <a:ext uri="{FF2B5EF4-FFF2-40B4-BE49-F238E27FC236}">
              <a16:creationId xmlns:a16="http://schemas.microsoft.com/office/drawing/2014/main" id="{C28C1E11-A968-4E52-9DD4-BBF61C8B9313}"/>
            </a:ext>
          </a:extLst>
        </xdr:cNvPr>
        <xdr:cNvSpPr txBox="1"/>
      </xdr:nvSpPr>
      <xdr:spPr>
        <a:xfrm>
          <a:off x="5037852" y="7846699"/>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46</xdr:row>
      <xdr:rowOff>60392</xdr:rowOff>
    </xdr:from>
    <xdr:to>
      <xdr:col>6</xdr:col>
      <xdr:colOff>151527</xdr:colOff>
      <xdr:row>47</xdr:row>
      <xdr:rowOff>12767</xdr:rowOff>
    </xdr:to>
    <xdr:sp macro="" textlink="">
      <xdr:nvSpPr>
        <xdr:cNvPr id="61" name="テキスト ボックス 60">
          <a:extLst>
            <a:ext uri="{FF2B5EF4-FFF2-40B4-BE49-F238E27FC236}">
              <a16:creationId xmlns:a16="http://schemas.microsoft.com/office/drawing/2014/main" id="{1753D094-DFF7-4709-A66F-EF54B6BA6EEA}"/>
            </a:ext>
          </a:extLst>
        </xdr:cNvPr>
        <xdr:cNvSpPr txBox="1"/>
      </xdr:nvSpPr>
      <xdr:spPr>
        <a:xfrm>
          <a:off x="5037852" y="7918517"/>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46</xdr:row>
      <xdr:rowOff>133426</xdr:rowOff>
    </xdr:from>
    <xdr:to>
      <xdr:col>6</xdr:col>
      <xdr:colOff>151527</xdr:colOff>
      <xdr:row>47</xdr:row>
      <xdr:rowOff>85801</xdr:rowOff>
    </xdr:to>
    <xdr:sp macro="" textlink="">
      <xdr:nvSpPr>
        <xdr:cNvPr id="63" name="テキスト ボックス 62">
          <a:extLst>
            <a:ext uri="{FF2B5EF4-FFF2-40B4-BE49-F238E27FC236}">
              <a16:creationId xmlns:a16="http://schemas.microsoft.com/office/drawing/2014/main" id="{2E59668B-875F-483C-838E-975520C2129D}"/>
            </a:ext>
          </a:extLst>
        </xdr:cNvPr>
        <xdr:cNvSpPr txBox="1"/>
      </xdr:nvSpPr>
      <xdr:spPr>
        <a:xfrm>
          <a:off x="5037852" y="799155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48</xdr:row>
      <xdr:rowOff>110724</xdr:rowOff>
    </xdr:from>
    <xdr:to>
      <xdr:col>6</xdr:col>
      <xdr:colOff>151527</xdr:colOff>
      <xdr:row>49</xdr:row>
      <xdr:rowOff>63099</xdr:rowOff>
    </xdr:to>
    <xdr:sp macro="" textlink="">
      <xdr:nvSpPr>
        <xdr:cNvPr id="64" name="テキスト ボックス 63">
          <a:extLst>
            <a:ext uri="{FF2B5EF4-FFF2-40B4-BE49-F238E27FC236}">
              <a16:creationId xmlns:a16="http://schemas.microsoft.com/office/drawing/2014/main" id="{DE645D40-ED94-4A2D-A148-6690FC53D036}"/>
            </a:ext>
          </a:extLst>
        </xdr:cNvPr>
        <xdr:cNvSpPr txBox="1"/>
      </xdr:nvSpPr>
      <xdr:spPr>
        <a:xfrm>
          <a:off x="5037852" y="8311749"/>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49</xdr:row>
      <xdr:rowOff>170274</xdr:rowOff>
    </xdr:from>
    <xdr:to>
      <xdr:col>6</xdr:col>
      <xdr:colOff>151527</xdr:colOff>
      <xdr:row>50</xdr:row>
      <xdr:rowOff>122649</xdr:rowOff>
    </xdr:to>
    <xdr:sp macro="" textlink="">
      <xdr:nvSpPr>
        <xdr:cNvPr id="66" name="テキスト ボックス 65">
          <a:extLst>
            <a:ext uri="{FF2B5EF4-FFF2-40B4-BE49-F238E27FC236}">
              <a16:creationId xmlns:a16="http://schemas.microsoft.com/office/drawing/2014/main" id="{DE2CD01E-44F1-487D-B546-1147287087A1}"/>
            </a:ext>
          </a:extLst>
        </xdr:cNvPr>
        <xdr:cNvSpPr txBox="1"/>
      </xdr:nvSpPr>
      <xdr:spPr>
        <a:xfrm>
          <a:off x="5037852" y="8542749"/>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50</xdr:row>
      <xdr:rowOff>70643</xdr:rowOff>
    </xdr:from>
    <xdr:to>
      <xdr:col>6</xdr:col>
      <xdr:colOff>151527</xdr:colOff>
      <xdr:row>51</xdr:row>
      <xdr:rowOff>23018</xdr:rowOff>
    </xdr:to>
    <xdr:sp macro="" textlink="">
      <xdr:nvSpPr>
        <xdr:cNvPr id="68" name="テキスト ボックス 67">
          <a:extLst>
            <a:ext uri="{FF2B5EF4-FFF2-40B4-BE49-F238E27FC236}">
              <a16:creationId xmlns:a16="http://schemas.microsoft.com/office/drawing/2014/main" id="{613FB9C6-60F9-4B42-90B9-12B8243623C9}"/>
            </a:ext>
          </a:extLst>
        </xdr:cNvPr>
        <xdr:cNvSpPr txBox="1"/>
      </xdr:nvSpPr>
      <xdr:spPr>
        <a:xfrm>
          <a:off x="5037852" y="8614568"/>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6</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50</xdr:row>
      <xdr:rowOff>142462</xdr:rowOff>
    </xdr:from>
    <xdr:to>
      <xdr:col>6</xdr:col>
      <xdr:colOff>151527</xdr:colOff>
      <xdr:row>51</xdr:row>
      <xdr:rowOff>94837</xdr:rowOff>
    </xdr:to>
    <xdr:sp macro="" textlink="">
      <xdr:nvSpPr>
        <xdr:cNvPr id="70" name="テキスト ボックス 69">
          <a:extLst>
            <a:ext uri="{FF2B5EF4-FFF2-40B4-BE49-F238E27FC236}">
              <a16:creationId xmlns:a16="http://schemas.microsoft.com/office/drawing/2014/main" id="{592F92FB-5F08-4590-AF74-4BE9A47E34B3}"/>
            </a:ext>
          </a:extLst>
        </xdr:cNvPr>
        <xdr:cNvSpPr txBox="1"/>
      </xdr:nvSpPr>
      <xdr:spPr>
        <a:xfrm>
          <a:off x="5037852" y="8686387"/>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7</a:t>
          </a:r>
          <a:endParaRPr kumimoji="1" lang="ja-JP" altLang="en-US" sz="800" b="0" i="0">
            <a:latin typeface="ＭＳ Ｐゴシック" panose="020B0600070205080204" pitchFamily="50" charset="-128"/>
          </a:endParaRPr>
        </a:p>
      </xdr:txBody>
    </xdr:sp>
    <xdr:clientData/>
  </xdr:twoCellAnchor>
  <xdr:twoCellAnchor>
    <xdr:from>
      <xdr:col>6</xdr:col>
      <xdr:colOff>528137</xdr:colOff>
      <xdr:row>50</xdr:row>
      <xdr:rowOff>100124</xdr:rowOff>
    </xdr:from>
    <xdr:to>
      <xdr:col>6</xdr:col>
      <xdr:colOff>943635</xdr:colOff>
      <xdr:row>52</xdr:row>
      <xdr:rowOff>42751</xdr:rowOff>
    </xdr:to>
    <xdr:sp macro="" textlink="">
      <xdr:nvSpPr>
        <xdr:cNvPr id="71" name="テキスト ボックス 70">
          <a:extLst>
            <a:ext uri="{FF2B5EF4-FFF2-40B4-BE49-F238E27FC236}">
              <a16:creationId xmlns:a16="http://schemas.microsoft.com/office/drawing/2014/main" id="{B0571874-6382-4F0C-86FC-18BFEB6EEA59}"/>
            </a:ext>
          </a:extLst>
        </xdr:cNvPr>
        <xdr:cNvSpPr txBox="1"/>
      </xdr:nvSpPr>
      <xdr:spPr>
        <a:xfrm>
          <a:off x="5528762" y="8644049"/>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528137</xdr:colOff>
      <xdr:row>60</xdr:row>
      <xdr:rowOff>135049</xdr:rowOff>
    </xdr:from>
    <xdr:to>
      <xdr:col>6</xdr:col>
      <xdr:colOff>943635</xdr:colOff>
      <xdr:row>62</xdr:row>
      <xdr:rowOff>77676</xdr:rowOff>
    </xdr:to>
    <xdr:sp macro="" textlink="">
      <xdr:nvSpPr>
        <xdr:cNvPr id="72" name="テキスト ボックス 71">
          <a:extLst>
            <a:ext uri="{FF2B5EF4-FFF2-40B4-BE49-F238E27FC236}">
              <a16:creationId xmlns:a16="http://schemas.microsoft.com/office/drawing/2014/main" id="{493A55F1-F633-45F7-97FC-40E062CFDC31}"/>
            </a:ext>
          </a:extLst>
        </xdr:cNvPr>
        <xdr:cNvSpPr txBox="1"/>
      </xdr:nvSpPr>
      <xdr:spPr>
        <a:xfrm>
          <a:off x="5528762" y="10393474"/>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twoCellAnchor>
    <xdr:from>
      <xdr:col>6</xdr:col>
      <xdr:colOff>37227</xdr:colOff>
      <xdr:row>62</xdr:row>
      <xdr:rowOff>160437</xdr:rowOff>
    </xdr:from>
    <xdr:to>
      <xdr:col>6</xdr:col>
      <xdr:colOff>151527</xdr:colOff>
      <xdr:row>63</xdr:row>
      <xdr:rowOff>112812</xdr:rowOff>
    </xdr:to>
    <xdr:sp macro="" textlink="">
      <xdr:nvSpPr>
        <xdr:cNvPr id="74" name="テキスト ボックス 73">
          <a:extLst>
            <a:ext uri="{FF2B5EF4-FFF2-40B4-BE49-F238E27FC236}">
              <a16:creationId xmlns:a16="http://schemas.microsoft.com/office/drawing/2014/main" id="{EF5C3F0E-601A-40E3-8300-5B6DD54ED65E}"/>
            </a:ext>
          </a:extLst>
        </xdr:cNvPr>
        <xdr:cNvSpPr txBox="1"/>
      </xdr:nvSpPr>
      <xdr:spPr>
        <a:xfrm>
          <a:off x="5037852" y="10761762"/>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1</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63</xdr:row>
      <xdr:rowOff>60806</xdr:rowOff>
    </xdr:from>
    <xdr:to>
      <xdr:col>6</xdr:col>
      <xdr:colOff>151527</xdr:colOff>
      <xdr:row>64</xdr:row>
      <xdr:rowOff>13181</xdr:rowOff>
    </xdr:to>
    <xdr:sp macro="" textlink="">
      <xdr:nvSpPr>
        <xdr:cNvPr id="76" name="テキスト ボックス 75">
          <a:extLst>
            <a:ext uri="{FF2B5EF4-FFF2-40B4-BE49-F238E27FC236}">
              <a16:creationId xmlns:a16="http://schemas.microsoft.com/office/drawing/2014/main" id="{3061FA20-128E-4654-AC32-8581304BD6E8}"/>
            </a:ext>
          </a:extLst>
        </xdr:cNvPr>
        <xdr:cNvSpPr txBox="1"/>
      </xdr:nvSpPr>
      <xdr:spPr>
        <a:xfrm>
          <a:off x="5037852" y="10833581"/>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2</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63</xdr:row>
      <xdr:rowOff>141684</xdr:rowOff>
    </xdr:from>
    <xdr:to>
      <xdr:col>6</xdr:col>
      <xdr:colOff>151527</xdr:colOff>
      <xdr:row>64</xdr:row>
      <xdr:rowOff>94059</xdr:rowOff>
    </xdr:to>
    <xdr:sp macro="" textlink="">
      <xdr:nvSpPr>
        <xdr:cNvPr id="78" name="テキスト ボックス 77">
          <a:extLst>
            <a:ext uri="{FF2B5EF4-FFF2-40B4-BE49-F238E27FC236}">
              <a16:creationId xmlns:a16="http://schemas.microsoft.com/office/drawing/2014/main" id="{6AD840CB-5C06-44F5-A6DD-3DBB360EB707}"/>
            </a:ext>
          </a:extLst>
        </xdr:cNvPr>
        <xdr:cNvSpPr txBox="1"/>
      </xdr:nvSpPr>
      <xdr:spPr>
        <a:xfrm>
          <a:off x="5037852" y="10914459"/>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3</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65</xdr:row>
      <xdr:rowOff>136327</xdr:rowOff>
    </xdr:from>
    <xdr:to>
      <xdr:col>6</xdr:col>
      <xdr:colOff>151527</xdr:colOff>
      <xdr:row>66</xdr:row>
      <xdr:rowOff>88702</xdr:rowOff>
    </xdr:to>
    <xdr:sp macro="" textlink="">
      <xdr:nvSpPr>
        <xdr:cNvPr id="79" name="テキスト ボックス 78">
          <a:extLst>
            <a:ext uri="{FF2B5EF4-FFF2-40B4-BE49-F238E27FC236}">
              <a16:creationId xmlns:a16="http://schemas.microsoft.com/office/drawing/2014/main" id="{B95B8749-6401-4AA6-8941-24FCEF71906F}"/>
            </a:ext>
          </a:extLst>
        </xdr:cNvPr>
        <xdr:cNvSpPr txBox="1"/>
      </xdr:nvSpPr>
      <xdr:spPr>
        <a:xfrm>
          <a:off x="5037852" y="11252002"/>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4</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67</xdr:row>
      <xdr:rowOff>42565</xdr:rowOff>
    </xdr:from>
    <xdr:to>
      <xdr:col>6</xdr:col>
      <xdr:colOff>151527</xdr:colOff>
      <xdr:row>67</xdr:row>
      <xdr:rowOff>166390</xdr:rowOff>
    </xdr:to>
    <xdr:sp macro="" textlink="">
      <xdr:nvSpPr>
        <xdr:cNvPr id="81" name="テキスト ボックス 80">
          <a:extLst>
            <a:ext uri="{FF2B5EF4-FFF2-40B4-BE49-F238E27FC236}">
              <a16:creationId xmlns:a16="http://schemas.microsoft.com/office/drawing/2014/main" id="{23C2E9CB-6DBD-42B4-97FA-988718A8EC9E}"/>
            </a:ext>
          </a:extLst>
        </xdr:cNvPr>
        <xdr:cNvSpPr txBox="1"/>
      </xdr:nvSpPr>
      <xdr:spPr>
        <a:xfrm>
          <a:off x="5037852" y="11501140"/>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5</a:t>
          </a:r>
          <a:endParaRPr kumimoji="1" lang="ja-JP" altLang="en-US" sz="800" b="0" i="0">
            <a:latin typeface="ＭＳ Ｐゴシック" panose="020B0600070205080204" pitchFamily="50" charset="-128"/>
          </a:endParaRPr>
        </a:p>
      </xdr:txBody>
    </xdr:sp>
    <xdr:clientData/>
  </xdr:twoCellAnchor>
  <xdr:twoCellAnchor>
    <xdr:from>
      <xdr:col>6</xdr:col>
      <xdr:colOff>37227</xdr:colOff>
      <xdr:row>67</xdr:row>
      <xdr:rowOff>114384</xdr:rowOff>
    </xdr:from>
    <xdr:to>
      <xdr:col>6</xdr:col>
      <xdr:colOff>151527</xdr:colOff>
      <xdr:row>68</xdr:row>
      <xdr:rowOff>66759</xdr:rowOff>
    </xdr:to>
    <xdr:sp macro="" textlink="">
      <xdr:nvSpPr>
        <xdr:cNvPr id="83" name="テキスト ボックス 82">
          <a:extLst>
            <a:ext uri="{FF2B5EF4-FFF2-40B4-BE49-F238E27FC236}">
              <a16:creationId xmlns:a16="http://schemas.microsoft.com/office/drawing/2014/main" id="{4A868AB7-2D6D-4E91-BE32-478FA5D5085A}"/>
            </a:ext>
          </a:extLst>
        </xdr:cNvPr>
        <xdr:cNvSpPr txBox="1"/>
      </xdr:nvSpPr>
      <xdr:spPr>
        <a:xfrm>
          <a:off x="5037852" y="11572959"/>
          <a:ext cx="114300" cy="1238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lIns="0" tIns="0" rIns="0" bIns="0" rtlCol="0" anchor="ctr">
          <a:noAutofit/>
        </a:bodyPr>
        <a:lstStyle/>
        <a:p>
          <a:pPr algn="just"/>
          <a:r>
            <a:rPr kumimoji="1" lang="en-US" altLang="ja-JP" sz="800" b="0" i="0">
              <a:latin typeface="ＭＳ Ｐゴシック" panose="020B0600070205080204" pitchFamily="50" charset="-128"/>
            </a:rPr>
            <a:t>6</a:t>
          </a:r>
          <a:endParaRPr kumimoji="1" lang="ja-JP" altLang="en-US" sz="800" b="0" i="0">
            <a:latin typeface="ＭＳ Ｐゴシック" panose="020B0600070205080204" pitchFamily="50" charset="-128"/>
          </a:endParaRPr>
        </a:p>
      </xdr:txBody>
    </xdr:sp>
    <xdr:clientData/>
  </xdr:twoCellAnchor>
  <xdr:twoCellAnchor>
    <xdr:from>
      <xdr:col>6</xdr:col>
      <xdr:colOff>528137</xdr:colOff>
      <xdr:row>67</xdr:row>
      <xdr:rowOff>100124</xdr:rowOff>
    </xdr:from>
    <xdr:to>
      <xdr:col>6</xdr:col>
      <xdr:colOff>943635</xdr:colOff>
      <xdr:row>69</xdr:row>
      <xdr:rowOff>42751</xdr:rowOff>
    </xdr:to>
    <xdr:sp macro="" textlink="">
      <xdr:nvSpPr>
        <xdr:cNvPr id="84" name="テキスト ボックス 83">
          <a:extLst>
            <a:ext uri="{FF2B5EF4-FFF2-40B4-BE49-F238E27FC236}">
              <a16:creationId xmlns:a16="http://schemas.microsoft.com/office/drawing/2014/main" id="{5F2B6092-7D51-4137-91EF-B351FEE31B05}"/>
            </a:ext>
          </a:extLst>
        </xdr:cNvPr>
        <xdr:cNvSpPr txBox="1"/>
      </xdr:nvSpPr>
      <xdr:spPr>
        <a:xfrm>
          <a:off x="5528762" y="11558699"/>
          <a:ext cx="415498" cy="285527"/>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ap="flat" cmpd="sng" algn="ctr">
              <a:solidFill>
                <a:schemeClr val="lt1">
                  <a:shade val="50000"/>
                </a:schemeClr>
              </a:solidFill>
              <a:prstDash val="solid"/>
              <a:round/>
              <a:headEnd type="none" w="med" len="med"/>
              <a:tailEnd type="none" w="med" len="med"/>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rtlCol="0" anchor="ctr">
          <a:spAutoFit/>
        </a:bodyPr>
        <a:lstStyle/>
        <a:p>
          <a:pPr algn="ctr"/>
          <a:r>
            <a:rPr kumimoji="1" lang="ja-JP" altLang="en-US" sz="900" b="0" i="0" u="none" strike="noStrike" baseline="0">
              <a:solidFill>
                <a:srgbClr val="000000"/>
              </a:solidFill>
              <a:latin typeface="ＭＳ Ｐゴシック" panose="020B0600070205080204" pitchFamily="50" charset="-128"/>
            </a:rPr>
            <a:t>屋内</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19</xdr:col>
      <xdr:colOff>0</xdr:colOff>
      <xdr:row>5</xdr:row>
      <xdr:rowOff>0</xdr:rowOff>
    </xdr:from>
    <xdr:to>
      <xdr:col>19</xdr:col>
      <xdr:colOff>0</xdr:colOff>
      <xdr:row>5</xdr:row>
      <xdr:rowOff>0</xdr:rowOff>
    </xdr:to>
    <xdr:sp macro="" textlink="">
      <xdr:nvSpPr>
        <xdr:cNvPr id="2" name="Line 1">
          <a:extLst>
            <a:ext uri="{FF2B5EF4-FFF2-40B4-BE49-F238E27FC236}">
              <a16:creationId xmlns:a16="http://schemas.microsoft.com/office/drawing/2014/main" id="{A45C2E4F-E7A0-44D4-BCD3-7780E4CF912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 name="Line 2">
          <a:extLst>
            <a:ext uri="{FF2B5EF4-FFF2-40B4-BE49-F238E27FC236}">
              <a16:creationId xmlns:a16="http://schemas.microsoft.com/office/drawing/2014/main" id="{8BB03BDA-847A-41C4-9B1A-918332F8146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211</xdr:col>
      <xdr:colOff>0</xdr:colOff>
      <xdr:row>5</xdr:row>
      <xdr:rowOff>0</xdr:rowOff>
    </xdr:from>
    <xdr:to>
      <xdr:col>211</xdr:col>
      <xdr:colOff>0</xdr:colOff>
      <xdr:row>5</xdr:row>
      <xdr:rowOff>0</xdr:rowOff>
    </xdr:to>
    <xdr:sp macro="" textlink="">
      <xdr:nvSpPr>
        <xdr:cNvPr id="4" name="Line 4">
          <a:extLst>
            <a:ext uri="{FF2B5EF4-FFF2-40B4-BE49-F238E27FC236}">
              <a16:creationId xmlns:a16="http://schemas.microsoft.com/office/drawing/2014/main" id="{5490740B-C352-4DF4-B0F7-547EAD2DC758}"/>
            </a:ext>
          </a:extLst>
        </xdr:cNvPr>
        <xdr:cNvSpPr>
          <a:spLocks noChangeShapeType="1"/>
        </xdr:cNvSpPr>
      </xdr:nvSpPr>
      <xdr:spPr bwMode="auto">
        <a:xfrm flipH="1">
          <a:off x="93640275" y="15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 name="Line 5">
          <a:extLst>
            <a:ext uri="{FF2B5EF4-FFF2-40B4-BE49-F238E27FC236}">
              <a16:creationId xmlns:a16="http://schemas.microsoft.com/office/drawing/2014/main" id="{ECB632F4-6E72-47BD-89B6-68ECFEF1194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6" name="Line 6">
          <a:extLst>
            <a:ext uri="{FF2B5EF4-FFF2-40B4-BE49-F238E27FC236}">
              <a16:creationId xmlns:a16="http://schemas.microsoft.com/office/drawing/2014/main" id="{FBB109BA-8BC2-4939-8CEC-D9F4087AEC6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7" name="Line 7">
          <a:extLst>
            <a:ext uri="{FF2B5EF4-FFF2-40B4-BE49-F238E27FC236}">
              <a16:creationId xmlns:a16="http://schemas.microsoft.com/office/drawing/2014/main" id="{F3261E6E-0774-4089-B627-38C3136DF96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8" name="Line 8">
          <a:extLst>
            <a:ext uri="{FF2B5EF4-FFF2-40B4-BE49-F238E27FC236}">
              <a16:creationId xmlns:a16="http://schemas.microsoft.com/office/drawing/2014/main" id="{4B471D0B-C768-492F-84BA-7AD95A33217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9" name="Line 9">
          <a:extLst>
            <a:ext uri="{FF2B5EF4-FFF2-40B4-BE49-F238E27FC236}">
              <a16:creationId xmlns:a16="http://schemas.microsoft.com/office/drawing/2014/main" id="{0AF2D8FF-15CC-44C4-8DE3-90037EDA69E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0" name="Line 10">
          <a:extLst>
            <a:ext uri="{FF2B5EF4-FFF2-40B4-BE49-F238E27FC236}">
              <a16:creationId xmlns:a16="http://schemas.microsoft.com/office/drawing/2014/main" id="{C9C2F09A-8EB0-47E9-BB03-432A9C13FCB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1" name="Line 11">
          <a:extLst>
            <a:ext uri="{FF2B5EF4-FFF2-40B4-BE49-F238E27FC236}">
              <a16:creationId xmlns:a16="http://schemas.microsoft.com/office/drawing/2014/main" id="{775A02C8-7021-4133-93BF-5FC7C2CB5B6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2" name="Line 12">
          <a:extLst>
            <a:ext uri="{FF2B5EF4-FFF2-40B4-BE49-F238E27FC236}">
              <a16:creationId xmlns:a16="http://schemas.microsoft.com/office/drawing/2014/main" id="{EDF6DC4C-FD83-44C4-BC07-06989C57962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3" name="Line 13">
          <a:extLst>
            <a:ext uri="{FF2B5EF4-FFF2-40B4-BE49-F238E27FC236}">
              <a16:creationId xmlns:a16="http://schemas.microsoft.com/office/drawing/2014/main" id="{1A8F5512-BB92-4FFF-B8F9-7133EB617EC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4" name="Line 14">
          <a:extLst>
            <a:ext uri="{FF2B5EF4-FFF2-40B4-BE49-F238E27FC236}">
              <a16:creationId xmlns:a16="http://schemas.microsoft.com/office/drawing/2014/main" id="{F0CD9C9C-1A17-4426-A9FC-35D47281458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5" name="Line 15">
          <a:extLst>
            <a:ext uri="{FF2B5EF4-FFF2-40B4-BE49-F238E27FC236}">
              <a16:creationId xmlns:a16="http://schemas.microsoft.com/office/drawing/2014/main" id="{04CFDE9A-5FB2-4B5B-8FAF-B97B589319C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6" name="Line 16">
          <a:extLst>
            <a:ext uri="{FF2B5EF4-FFF2-40B4-BE49-F238E27FC236}">
              <a16:creationId xmlns:a16="http://schemas.microsoft.com/office/drawing/2014/main" id="{B687AA2A-A8B7-4CD6-B2F6-B5245D663EF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7" name="Line 17">
          <a:extLst>
            <a:ext uri="{FF2B5EF4-FFF2-40B4-BE49-F238E27FC236}">
              <a16:creationId xmlns:a16="http://schemas.microsoft.com/office/drawing/2014/main" id="{7080AA59-1E6B-4308-8D4B-9B62756DAA3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8" name="Line 18">
          <a:extLst>
            <a:ext uri="{FF2B5EF4-FFF2-40B4-BE49-F238E27FC236}">
              <a16:creationId xmlns:a16="http://schemas.microsoft.com/office/drawing/2014/main" id="{19C3AEB0-B2B8-483B-B323-4CFC0B8EC73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9" name="Line 19">
          <a:extLst>
            <a:ext uri="{FF2B5EF4-FFF2-40B4-BE49-F238E27FC236}">
              <a16:creationId xmlns:a16="http://schemas.microsoft.com/office/drawing/2014/main" id="{B0FAB6D3-F879-4076-A557-D4FDC28F74E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0" name="Line 20">
          <a:extLst>
            <a:ext uri="{FF2B5EF4-FFF2-40B4-BE49-F238E27FC236}">
              <a16:creationId xmlns:a16="http://schemas.microsoft.com/office/drawing/2014/main" id="{4115D64C-0BF5-4B6E-AF54-5018C2695D1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1" name="Line 21">
          <a:extLst>
            <a:ext uri="{FF2B5EF4-FFF2-40B4-BE49-F238E27FC236}">
              <a16:creationId xmlns:a16="http://schemas.microsoft.com/office/drawing/2014/main" id="{F12C051E-B783-488B-8BE5-E2D42D3A902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2" name="Line 22">
          <a:extLst>
            <a:ext uri="{FF2B5EF4-FFF2-40B4-BE49-F238E27FC236}">
              <a16:creationId xmlns:a16="http://schemas.microsoft.com/office/drawing/2014/main" id="{44F6ED7C-F59C-4437-B5F3-619B99F7086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3" name="Line 23">
          <a:extLst>
            <a:ext uri="{FF2B5EF4-FFF2-40B4-BE49-F238E27FC236}">
              <a16:creationId xmlns:a16="http://schemas.microsoft.com/office/drawing/2014/main" id="{6B20FBD2-89D9-4CF4-814C-9A4E5B4F0D2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4" name="Line 24">
          <a:extLst>
            <a:ext uri="{FF2B5EF4-FFF2-40B4-BE49-F238E27FC236}">
              <a16:creationId xmlns:a16="http://schemas.microsoft.com/office/drawing/2014/main" id="{D970ADBD-CD08-4D5A-B1DD-F3B0F0107ED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5" name="Line 25">
          <a:extLst>
            <a:ext uri="{FF2B5EF4-FFF2-40B4-BE49-F238E27FC236}">
              <a16:creationId xmlns:a16="http://schemas.microsoft.com/office/drawing/2014/main" id="{1EBF8276-3F10-444B-9858-21DED753527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6" name="Line 26">
          <a:extLst>
            <a:ext uri="{FF2B5EF4-FFF2-40B4-BE49-F238E27FC236}">
              <a16:creationId xmlns:a16="http://schemas.microsoft.com/office/drawing/2014/main" id="{07D47026-8BEF-40AB-8772-C2D9F6654AC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7" name="Line 27">
          <a:extLst>
            <a:ext uri="{FF2B5EF4-FFF2-40B4-BE49-F238E27FC236}">
              <a16:creationId xmlns:a16="http://schemas.microsoft.com/office/drawing/2014/main" id="{6D107B61-5FB6-4024-873C-549B04CAE21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8" name="Line 28">
          <a:extLst>
            <a:ext uri="{FF2B5EF4-FFF2-40B4-BE49-F238E27FC236}">
              <a16:creationId xmlns:a16="http://schemas.microsoft.com/office/drawing/2014/main" id="{DFA4BEF1-D0DD-4EDE-98E9-5E40F88AE83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9" name="Line 29">
          <a:extLst>
            <a:ext uri="{FF2B5EF4-FFF2-40B4-BE49-F238E27FC236}">
              <a16:creationId xmlns:a16="http://schemas.microsoft.com/office/drawing/2014/main" id="{8366379D-3574-4952-99C9-6050C521C31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0" name="Line 30">
          <a:extLst>
            <a:ext uri="{FF2B5EF4-FFF2-40B4-BE49-F238E27FC236}">
              <a16:creationId xmlns:a16="http://schemas.microsoft.com/office/drawing/2014/main" id="{FC2080D5-6413-432E-A387-CB5CD7E0BB2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1" name="Line 31">
          <a:extLst>
            <a:ext uri="{FF2B5EF4-FFF2-40B4-BE49-F238E27FC236}">
              <a16:creationId xmlns:a16="http://schemas.microsoft.com/office/drawing/2014/main" id="{D9B1D2DD-4E45-487B-9232-8AF20CB2D92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2" name="Line 32">
          <a:extLst>
            <a:ext uri="{FF2B5EF4-FFF2-40B4-BE49-F238E27FC236}">
              <a16:creationId xmlns:a16="http://schemas.microsoft.com/office/drawing/2014/main" id="{4F9E7308-4526-4F51-9274-995AC649AFC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3" name="Line 33">
          <a:extLst>
            <a:ext uri="{FF2B5EF4-FFF2-40B4-BE49-F238E27FC236}">
              <a16:creationId xmlns:a16="http://schemas.microsoft.com/office/drawing/2014/main" id="{1EDF8D11-FEA1-47AA-8B65-2D770282934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4" name="Line 34">
          <a:extLst>
            <a:ext uri="{FF2B5EF4-FFF2-40B4-BE49-F238E27FC236}">
              <a16:creationId xmlns:a16="http://schemas.microsoft.com/office/drawing/2014/main" id="{E0DA4C79-930A-4306-9CBA-CDAE508E688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5" name="Line 35">
          <a:extLst>
            <a:ext uri="{FF2B5EF4-FFF2-40B4-BE49-F238E27FC236}">
              <a16:creationId xmlns:a16="http://schemas.microsoft.com/office/drawing/2014/main" id="{A48E2606-FDF0-460B-88DA-138A0414935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6" name="Line 36">
          <a:extLst>
            <a:ext uri="{FF2B5EF4-FFF2-40B4-BE49-F238E27FC236}">
              <a16:creationId xmlns:a16="http://schemas.microsoft.com/office/drawing/2014/main" id="{A368D707-D534-4F74-9BCF-88ECF763C3F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7" name="Line 37">
          <a:extLst>
            <a:ext uri="{FF2B5EF4-FFF2-40B4-BE49-F238E27FC236}">
              <a16:creationId xmlns:a16="http://schemas.microsoft.com/office/drawing/2014/main" id="{0C66DBE7-8900-48C6-A58A-4EBA0B94FAC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8" name="Line 38">
          <a:extLst>
            <a:ext uri="{FF2B5EF4-FFF2-40B4-BE49-F238E27FC236}">
              <a16:creationId xmlns:a16="http://schemas.microsoft.com/office/drawing/2014/main" id="{6992C621-6022-4ED8-A024-07784E0B558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9" name="Line 39">
          <a:extLst>
            <a:ext uri="{FF2B5EF4-FFF2-40B4-BE49-F238E27FC236}">
              <a16:creationId xmlns:a16="http://schemas.microsoft.com/office/drawing/2014/main" id="{EB9CFDF8-C21E-4697-BA87-1D67B710F5D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0" name="Line 40">
          <a:extLst>
            <a:ext uri="{FF2B5EF4-FFF2-40B4-BE49-F238E27FC236}">
              <a16:creationId xmlns:a16="http://schemas.microsoft.com/office/drawing/2014/main" id="{8CC24A7B-CF32-4E29-9FD2-BB010115C5A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1" name="Line 41">
          <a:extLst>
            <a:ext uri="{FF2B5EF4-FFF2-40B4-BE49-F238E27FC236}">
              <a16:creationId xmlns:a16="http://schemas.microsoft.com/office/drawing/2014/main" id="{3E3AF0B1-9D38-4DB2-891E-55B6BF20BD6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2" name="Line 42">
          <a:extLst>
            <a:ext uri="{FF2B5EF4-FFF2-40B4-BE49-F238E27FC236}">
              <a16:creationId xmlns:a16="http://schemas.microsoft.com/office/drawing/2014/main" id="{F8CD3609-A96A-445B-BCA2-D973CE39B2F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3" name="Line 43">
          <a:extLst>
            <a:ext uri="{FF2B5EF4-FFF2-40B4-BE49-F238E27FC236}">
              <a16:creationId xmlns:a16="http://schemas.microsoft.com/office/drawing/2014/main" id="{D4D0E093-85B7-4B10-819D-E3C20A4D0E0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4" name="Line 44">
          <a:extLst>
            <a:ext uri="{FF2B5EF4-FFF2-40B4-BE49-F238E27FC236}">
              <a16:creationId xmlns:a16="http://schemas.microsoft.com/office/drawing/2014/main" id="{F2F5234D-8B96-471B-8C7A-12602E22D26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5" name="Line 45">
          <a:extLst>
            <a:ext uri="{FF2B5EF4-FFF2-40B4-BE49-F238E27FC236}">
              <a16:creationId xmlns:a16="http://schemas.microsoft.com/office/drawing/2014/main" id="{E9EC991A-386E-4132-9DEE-24CB536C2D0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6" name="Line 46">
          <a:extLst>
            <a:ext uri="{FF2B5EF4-FFF2-40B4-BE49-F238E27FC236}">
              <a16:creationId xmlns:a16="http://schemas.microsoft.com/office/drawing/2014/main" id="{78D91934-BD10-4F53-8BEE-BF66343AA33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7" name="Line 47">
          <a:extLst>
            <a:ext uri="{FF2B5EF4-FFF2-40B4-BE49-F238E27FC236}">
              <a16:creationId xmlns:a16="http://schemas.microsoft.com/office/drawing/2014/main" id="{5B29F869-6E91-48B1-B147-DA69BBB2D2A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8" name="Line 48">
          <a:extLst>
            <a:ext uri="{FF2B5EF4-FFF2-40B4-BE49-F238E27FC236}">
              <a16:creationId xmlns:a16="http://schemas.microsoft.com/office/drawing/2014/main" id="{252D883D-53BC-404F-B09A-660FBF42819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9" name="Line 49">
          <a:extLst>
            <a:ext uri="{FF2B5EF4-FFF2-40B4-BE49-F238E27FC236}">
              <a16:creationId xmlns:a16="http://schemas.microsoft.com/office/drawing/2014/main" id="{042D2BB5-4237-4AD8-BB18-AF19EA9A26F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0" name="Line 50">
          <a:extLst>
            <a:ext uri="{FF2B5EF4-FFF2-40B4-BE49-F238E27FC236}">
              <a16:creationId xmlns:a16="http://schemas.microsoft.com/office/drawing/2014/main" id="{A456928B-0A8A-4113-A324-75D46969F2C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1" name="Line 1">
          <a:extLst>
            <a:ext uri="{FF2B5EF4-FFF2-40B4-BE49-F238E27FC236}">
              <a16:creationId xmlns:a16="http://schemas.microsoft.com/office/drawing/2014/main" id="{A1F153BF-41B1-4F75-93F3-71A460FDA8F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2" name="Line 2">
          <a:extLst>
            <a:ext uri="{FF2B5EF4-FFF2-40B4-BE49-F238E27FC236}">
              <a16:creationId xmlns:a16="http://schemas.microsoft.com/office/drawing/2014/main" id="{22A61018-B2EC-4D37-AC3B-1E641816049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3" name="Line 5">
          <a:extLst>
            <a:ext uri="{FF2B5EF4-FFF2-40B4-BE49-F238E27FC236}">
              <a16:creationId xmlns:a16="http://schemas.microsoft.com/office/drawing/2014/main" id="{F10D6A56-1B51-47DB-9069-5433930B862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4" name="Line 6">
          <a:extLst>
            <a:ext uri="{FF2B5EF4-FFF2-40B4-BE49-F238E27FC236}">
              <a16:creationId xmlns:a16="http://schemas.microsoft.com/office/drawing/2014/main" id="{4205DEC3-809B-4FB9-8615-71FE2C7C9C8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5" name="Line 7">
          <a:extLst>
            <a:ext uri="{FF2B5EF4-FFF2-40B4-BE49-F238E27FC236}">
              <a16:creationId xmlns:a16="http://schemas.microsoft.com/office/drawing/2014/main" id="{12B08848-17F7-4C38-8B4F-5143B244A82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6" name="Line 8">
          <a:extLst>
            <a:ext uri="{FF2B5EF4-FFF2-40B4-BE49-F238E27FC236}">
              <a16:creationId xmlns:a16="http://schemas.microsoft.com/office/drawing/2014/main" id="{4D659851-9A03-4A39-8E2A-23BE253D022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7" name="Line 9">
          <a:extLst>
            <a:ext uri="{FF2B5EF4-FFF2-40B4-BE49-F238E27FC236}">
              <a16:creationId xmlns:a16="http://schemas.microsoft.com/office/drawing/2014/main" id="{BF6784F8-ADBC-4E23-AE89-32E96507E1A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8" name="Line 10">
          <a:extLst>
            <a:ext uri="{FF2B5EF4-FFF2-40B4-BE49-F238E27FC236}">
              <a16:creationId xmlns:a16="http://schemas.microsoft.com/office/drawing/2014/main" id="{A62AFC28-73F6-4953-9E0D-B14979149F6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9" name="Line 11">
          <a:extLst>
            <a:ext uri="{FF2B5EF4-FFF2-40B4-BE49-F238E27FC236}">
              <a16:creationId xmlns:a16="http://schemas.microsoft.com/office/drawing/2014/main" id="{626B33C2-B99C-461C-94ED-C1E594B13C7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0" name="Line 12">
          <a:extLst>
            <a:ext uri="{FF2B5EF4-FFF2-40B4-BE49-F238E27FC236}">
              <a16:creationId xmlns:a16="http://schemas.microsoft.com/office/drawing/2014/main" id="{2D9F2A2F-D2EE-40B3-A7D2-A7D520B8B3A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1" name="Line 13">
          <a:extLst>
            <a:ext uri="{FF2B5EF4-FFF2-40B4-BE49-F238E27FC236}">
              <a16:creationId xmlns:a16="http://schemas.microsoft.com/office/drawing/2014/main" id="{4F7339D5-B175-4361-AFFC-5EF51EF0C5A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2" name="Line 14">
          <a:extLst>
            <a:ext uri="{FF2B5EF4-FFF2-40B4-BE49-F238E27FC236}">
              <a16:creationId xmlns:a16="http://schemas.microsoft.com/office/drawing/2014/main" id="{573C69B6-0809-4DEE-8AC4-58CA26E2E02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3" name="Line 15">
          <a:extLst>
            <a:ext uri="{FF2B5EF4-FFF2-40B4-BE49-F238E27FC236}">
              <a16:creationId xmlns:a16="http://schemas.microsoft.com/office/drawing/2014/main" id="{678CF90B-F530-4E93-BBFD-B12031D4181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4" name="Line 16">
          <a:extLst>
            <a:ext uri="{FF2B5EF4-FFF2-40B4-BE49-F238E27FC236}">
              <a16:creationId xmlns:a16="http://schemas.microsoft.com/office/drawing/2014/main" id="{CEF9BDB1-476A-4F0B-9C78-BA67721F3DC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5" name="Line 17">
          <a:extLst>
            <a:ext uri="{FF2B5EF4-FFF2-40B4-BE49-F238E27FC236}">
              <a16:creationId xmlns:a16="http://schemas.microsoft.com/office/drawing/2014/main" id="{F0298BC1-2DF5-4EE5-B643-01EF34636CD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6" name="Line 18">
          <a:extLst>
            <a:ext uri="{FF2B5EF4-FFF2-40B4-BE49-F238E27FC236}">
              <a16:creationId xmlns:a16="http://schemas.microsoft.com/office/drawing/2014/main" id="{CE23E404-76D0-4CCC-8A80-8D531ABE014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7" name="Line 19">
          <a:extLst>
            <a:ext uri="{FF2B5EF4-FFF2-40B4-BE49-F238E27FC236}">
              <a16:creationId xmlns:a16="http://schemas.microsoft.com/office/drawing/2014/main" id="{C2DBAF17-C92F-4D85-86B5-3284A2A65C0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8" name="Line 20">
          <a:extLst>
            <a:ext uri="{FF2B5EF4-FFF2-40B4-BE49-F238E27FC236}">
              <a16:creationId xmlns:a16="http://schemas.microsoft.com/office/drawing/2014/main" id="{7EE9183A-781E-4228-87A8-C777B185B33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9" name="Line 21">
          <a:extLst>
            <a:ext uri="{FF2B5EF4-FFF2-40B4-BE49-F238E27FC236}">
              <a16:creationId xmlns:a16="http://schemas.microsoft.com/office/drawing/2014/main" id="{58039E4F-B5FA-4C58-A0CD-A714CFD5123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0" name="Line 22">
          <a:extLst>
            <a:ext uri="{FF2B5EF4-FFF2-40B4-BE49-F238E27FC236}">
              <a16:creationId xmlns:a16="http://schemas.microsoft.com/office/drawing/2014/main" id="{154A2FE6-1DB3-4CD1-8DD2-AF5F6A6E907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1" name="Line 23">
          <a:extLst>
            <a:ext uri="{FF2B5EF4-FFF2-40B4-BE49-F238E27FC236}">
              <a16:creationId xmlns:a16="http://schemas.microsoft.com/office/drawing/2014/main" id="{BC0D9D16-6877-428B-B649-E6A6D9A1DFE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2" name="Line 24">
          <a:extLst>
            <a:ext uri="{FF2B5EF4-FFF2-40B4-BE49-F238E27FC236}">
              <a16:creationId xmlns:a16="http://schemas.microsoft.com/office/drawing/2014/main" id="{118ACB0F-2F3F-447F-8640-8113FD6D165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3" name="Line 25">
          <a:extLst>
            <a:ext uri="{FF2B5EF4-FFF2-40B4-BE49-F238E27FC236}">
              <a16:creationId xmlns:a16="http://schemas.microsoft.com/office/drawing/2014/main" id="{3F7B2C20-EBEE-45CF-B32B-4395CDE75A3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4" name="Line 26">
          <a:extLst>
            <a:ext uri="{FF2B5EF4-FFF2-40B4-BE49-F238E27FC236}">
              <a16:creationId xmlns:a16="http://schemas.microsoft.com/office/drawing/2014/main" id="{3CA9AF6E-3059-40E2-BC8C-4D799CBA34F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5" name="Line 27">
          <a:extLst>
            <a:ext uri="{FF2B5EF4-FFF2-40B4-BE49-F238E27FC236}">
              <a16:creationId xmlns:a16="http://schemas.microsoft.com/office/drawing/2014/main" id="{21606147-593E-4527-8441-FC3981740FD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6" name="Line 28">
          <a:extLst>
            <a:ext uri="{FF2B5EF4-FFF2-40B4-BE49-F238E27FC236}">
              <a16:creationId xmlns:a16="http://schemas.microsoft.com/office/drawing/2014/main" id="{A2DDE4EE-E21C-4D68-9407-45311D4CEDF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7" name="Line 29">
          <a:extLst>
            <a:ext uri="{FF2B5EF4-FFF2-40B4-BE49-F238E27FC236}">
              <a16:creationId xmlns:a16="http://schemas.microsoft.com/office/drawing/2014/main" id="{7018EDF4-E4FD-4BAB-8D48-1DD10788CB3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8" name="Line 30">
          <a:extLst>
            <a:ext uri="{FF2B5EF4-FFF2-40B4-BE49-F238E27FC236}">
              <a16:creationId xmlns:a16="http://schemas.microsoft.com/office/drawing/2014/main" id="{5B6DA852-FF61-475B-B5DC-BC62F44A35D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9" name="Line 31">
          <a:extLst>
            <a:ext uri="{FF2B5EF4-FFF2-40B4-BE49-F238E27FC236}">
              <a16:creationId xmlns:a16="http://schemas.microsoft.com/office/drawing/2014/main" id="{CEEA9A1E-8495-4AA5-A798-5A041D57CAB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0" name="Line 32">
          <a:extLst>
            <a:ext uri="{FF2B5EF4-FFF2-40B4-BE49-F238E27FC236}">
              <a16:creationId xmlns:a16="http://schemas.microsoft.com/office/drawing/2014/main" id="{7D17F10A-C94F-475E-90AE-476F564CAB5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1" name="Line 33">
          <a:extLst>
            <a:ext uri="{FF2B5EF4-FFF2-40B4-BE49-F238E27FC236}">
              <a16:creationId xmlns:a16="http://schemas.microsoft.com/office/drawing/2014/main" id="{8122A7EA-A7CA-4FCB-8CF7-D18CB2DAA5C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2" name="Line 34">
          <a:extLst>
            <a:ext uri="{FF2B5EF4-FFF2-40B4-BE49-F238E27FC236}">
              <a16:creationId xmlns:a16="http://schemas.microsoft.com/office/drawing/2014/main" id="{253D1519-8437-444E-A539-07BD208DBD2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3" name="Line 35">
          <a:extLst>
            <a:ext uri="{FF2B5EF4-FFF2-40B4-BE49-F238E27FC236}">
              <a16:creationId xmlns:a16="http://schemas.microsoft.com/office/drawing/2014/main" id="{F850A6D4-4AEF-42E7-B0F4-CDFC1E0D734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4" name="Line 36">
          <a:extLst>
            <a:ext uri="{FF2B5EF4-FFF2-40B4-BE49-F238E27FC236}">
              <a16:creationId xmlns:a16="http://schemas.microsoft.com/office/drawing/2014/main" id="{89F60414-3D57-486F-B929-7414222B179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5" name="Line 37">
          <a:extLst>
            <a:ext uri="{FF2B5EF4-FFF2-40B4-BE49-F238E27FC236}">
              <a16:creationId xmlns:a16="http://schemas.microsoft.com/office/drawing/2014/main" id="{303C208B-0B62-4D52-A4D2-8308919A6DE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6" name="Line 38">
          <a:extLst>
            <a:ext uri="{FF2B5EF4-FFF2-40B4-BE49-F238E27FC236}">
              <a16:creationId xmlns:a16="http://schemas.microsoft.com/office/drawing/2014/main" id="{EE943F95-858A-434B-BD5C-7E1B72D576B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7" name="Line 39">
          <a:extLst>
            <a:ext uri="{FF2B5EF4-FFF2-40B4-BE49-F238E27FC236}">
              <a16:creationId xmlns:a16="http://schemas.microsoft.com/office/drawing/2014/main" id="{4A66A9A7-2F0D-4A0B-A635-C444FBBCFB6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8" name="Line 40">
          <a:extLst>
            <a:ext uri="{FF2B5EF4-FFF2-40B4-BE49-F238E27FC236}">
              <a16:creationId xmlns:a16="http://schemas.microsoft.com/office/drawing/2014/main" id="{9022BBB3-752A-472F-87B5-36BBAFD897F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9" name="Line 41">
          <a:extLst>
            <a:ext uri="{FF2B5EF4-FFF2-40B4-BE49-F238E27FC236}">
              <a16:creationId xmlns:a16="http://schemas.microsoft.com/office/drawing/2014/main" id="{5A93FEDB-176E-49C2-BE07-1D86C1D18D3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0" name="Line 42">
          <a:extLst>
            <a:ext uri="{FF2B5EF4-FFF2-40B4-BE49-F238E27FC236}">
              <a16:creationId xmlns:a16="http://schemas.microsoft.com/office/drawing/2014/main" id="{C8DD8737-2BAB-4D1F-BB90-904C04018B1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1" name="Line 43">
          <a:extLst>
            <a:ext uri="{FF2B5EF4-FFF2-40B4-BE49-F238E27FC236}">
              <a16:creationId xmlns:a16="http://schemas.microsoft.com/office/drawing/2014/main" id="{D4D874CB-E64C-4945-9914-C2A1908EA85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2" name="Line 44">
          <a:extLst>
            <a:ext uri="{FF2B5EF4-FFF2-40B4-BE49-F238E27FC236}">
              <a16:creationId xmlns:a16="http://schemas.microsoft.com/office/drawing/2014/main" id="{6B4B773E-48D6-4862-A24E-3D129876F43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3" name="Line 45">
          <a:extLst>
            <a:ext uri="{FF2B5EF4-FFF2-40B4-BE49-F238E27FC236}">
              <a16:creationId xmlns:a16="http://schemas.microsoft.com/office/drawing/2014/main" id="{B923893D-3E72-4C36-966F-45E67C5FF69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4" name="Line 46">
          <a:extLst>
            <a:ext uri="{FF2B5EF4-FFF2-40B4-BE49-F238E27FC236}">
              <a16:creationId xmlns:a16="http://schemas.microsoft.com/office/drawing/2014/main" id="{4CA2E6E6-22DB-43EC-AE54-6296F003602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5" name="Line 47">
          <a:extLst>
            <a:ext uri="{FF2B5EF4-FFF2-40B4-BE49-F238E27FC236}">
              <a16:creationId xmlns:a16="http://schemas.microsoft.com/office/drawing/2014/main" id="{CAE5724F-8DD6-49C1-9C07-4E2A14D195D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6" name="Line 48">
          <a:extLst>
            <a:ext uri="{FF2B5EF4-FFF2-40B4-BE49-F238E27FC236}">
              <a16:creationId xmlns:a16="http://schemas.microsoft.com/office/drawing/2014/main" id="{C13B346B-59E3-4739-AD3B-5C276582EA4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7" name="Line 49">
          <a:extLst>
            <a:ext uri="{FF2B5EF4-FFF2-40B4-BE49-F238E27FC236}">
              <a16:creationId xmlns:a16="http://schemas.microsoft.com/office/drawing/2014/main" id="{092EFB54-81D2-4F29-A391-6265BB43FD7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8" name="Line 50">
          <a:extLst>
            <a:ext uri="{FF2B5EF4-FFF2-40B4-BE49-F238E27FC236}">
              <a16:creationId xmlns:a16="http://schemas.microsoft.com/office/drawing/2014/main" id="{38AC2310-2666-40F2-B90D-CA6D7723F85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99" name="Line 1">
          <a:extLst>
            <a:ext uri="{FF2B5EF4-FFF2-40B4-BE49-F238E27FC236}">
              <a16:creationId xmlns:a16="http://schemas.microsoft.com/office/drawing/2014/main" id="{3A8971C3-29FA-4BB1-86A6-D7C763396F3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0" name="Line 2">
          <a:extLst>
            <a:ext uri="{FF2B5EF4-FFF2-40B4-BE49-F238E27FC236}">
              <a16:creationId xmlns:a16="http://schemas.microsoft.com/office/drawing/2014/main" id="{77A42D97-F0BB-4248-95E8-2FE1AAA6D0A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1" name="Line 5">
          <a:extLst>
            <a:ext uri="{FF2B5EF4-FFF2-40B4-BE49-F238E27FC236}">
              <a16:creationId xmlns:a16="http://schemas.microsoft.com/office/drawing/2014/main" id="{857BBEAE-E8F6-4B06-B675-93E72059E5F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2" name="Line 6">
          <a:extLst>
            <a:ext uri="{FF2B5EF4-FFF2-40B4-BE49-F238E27FC236}">
              <a16:creationId xmlns:a16="http://schemas.microsoft.com/office/drawing/2014/main" id="{ABFDFD0A-BA73-4FA3-BEEE-FB34A88E6F5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3" name="Line 7">
          <a:extLst>
            <a:ext uri="{FF2B5EF4-FFF2-40B4-BE49-F238E27FC236}">
              <a16:creationId xmlns:a16="http://schemas.microsoft.com/office/drawing/2014/main" id="{EB79DC2F-C7D5-40F7-8B03-9E681781D55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4" name="Line 8">
          <a:extLst>
            <a:ext uri="{FF2B5EF4-FFF2-40B4-BE49-F238E27FC236}">
              <a16:creationId xmlns:a16="http://schemas.microsoft.com/office/drawing/2014/main" id="{B31EC448-B693-4F29-8614-5437721CA20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5" name="Line 9">
          <a:extLst>
            <a:ext uri="{FF2B5EF4-FFF2-40B4-BE49-F238E27FC236}">
              <a16:creationId xmlns:a16="http://schemas.microsoft.com/office/drawing/2014/main" id="{FABCE732-632B-472B-8172-41AFF40B1E5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6" name="Line 10">
          <a:extLst>
            <a:ext uri="{FF2B5EF4-FFF2-40B4-BE49-F238E27FC236}">
              <a16:creationId xmlns:a16="http://schemas.microsoft.com/office/drawing/2014/main" id="{4CE55231-A922-45E5-939E-94162F45B45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7" name="Line 11">
          <a:extLst>
            <a:ext uri="{FF2B5EF4-FFF2-40B4-BE49-F238E27FC236}">
              <a16:creationId xmlns:a16="http://schemas.microsoft.com/office/drawing/2014/main" id="{3898EE21-13C4-4C7E-AFA9-3BEEFE97235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8" name="Line 12">
          <a:extLst>
            <a:ext uri="{FF2B5EF4-FFF2-40B4-BE49-F238E27FC236}">
              <a16:creationId xmlns:a16="http://schemas.microsoft.com/office/drawing/2014/main" id="{67CCDB22-E9D4-4BBD-B143-0002BBB3F72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9" name="Line 13">
          <a:extLst>
            <a:ext uri="{FF2B5EF4-FFF2-40B4-BE49-F238E27FC236}">
              <a16:creationId xmlns:a16="http://schemas.microsoft.com/office/drawing/2014/main" id="{49CE7A25-39F5-4B11-ACE5-6FE6DCB12C5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0" name="Line 14">
          <a:extLst>
            <a:ext uri="{FF2B5EF4-FFF2-40B4-BE49-F238E27FC236}">
              <a16:creationId xmlns:a16="http://schemas.microsoft.com/office/drawing/2014/main" id="{55651150-C612-4AEB-87CD-0286C49CA7A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1" name="Line 15">
          <a:extLst>
            <a:ext uri="{FF2B5EF4-FFF2-40B4-BE49-F238E27FC236}">
              <a16:creationId xmlns:a16="http://schemas.microsoft.com/office/drawing/2014/main" id="{20863BDD-064D-4697-B56A-D9332EC418C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2" name="Line 16">
          <a:extLst>
            <a:ext uri="{FF2B5EF4-FFF2-40B4-BE49-F238E27FC236}">
              <a16:creationId xmlns:a16="http://schemas.microsoft.com/office/drawing/2014/main" id="{105DDD1E-4D52-4A55-8200-47EF7B0C05E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3" name="Line 17">
          <a:extLst>
            <a:ext uri="{FF2B5EF4-FFF2-40B4-BE49-F238E27FC236}">
              <a16:creationId xmlns:a16="http://schemas.microsoft.com/office/drawing/2014/main" id="{8A9FCD88-5274-4AE4-8EDB-2E71610B982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4" name="Line 18">
          <a:extLst>
            <a:ext uri="{FF2B5EF4-FFF2-40B4-BE49-F238E27FC236}">
              <a16:creationId xmlns:a16="http://schemas.microsoft.com/office/drawing/2014/main" id="{00623BC3-D369-47E9-BF80-1D6BF2F29C9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5" name="Line 19">
          <a:extLst>
            <a:ext uri="{FF2B5EF4-FFF2-40B4-BE49-F238E27FC236}">
              <a16:creationId xmlns:a16="http://schemas.microsoft.com/office/drawing/2014/main" id="{8B85DFB4-26FC-45D4-84EF-8950D113C04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6" name="Line 20">
          <a:extLst>
            <a:ext uri="{FF2B5EF4-FFF2-40B4-BE49-F238E27FC236}">
              <a16:creationId xmlns:a16="http://schemas.microsoft.com/office/drawing/2014/main" id="{0B696F0D-3B3A-497F-BD83-F9216789C06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7" name="Line 21">
          <a:extLst>
            <a:ext uri="{FF2B5EF4-FFF2-40B4-BE49-F238E27FC236}">
              <a16:creationId xmlns:a16="http://schemas.microsoft.com/office/drawing/2014/main" id="{1694E5EE-7C94-438F-AF5F-C22F6F23FB3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8" name="Line 22">
          <a:extLst>
            <a:ext uri="{FF2B5EF4-FFF2-40B4-BE49-F238E27FC236}">
              <a16:creationId xmlns:a16="http://schemas.microsoft.com/office/drawing/2014/main" id="{E378D4B5-C42D-40FE-80AF-AC79622EAF5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9" name="Line 23">
          <a:extLst>
            <a:ext uri="{FF2B5EF4-FFF2-40B4-BE49-F238E27FC236}">
              <a16:creationId xmlns:a16="http://schemas.microsoft.com/office/drawing/2014/main" id="{433E49BD-F07D-44BB-AEC7-BA4603F9560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0" name="Line 24">
          <a:extLst>
            <a:ext uri="{FF2B5EF4-FFF2-40B4-BE49-F238E27FC236}">
              <a16:creationId xmlns:a16="http://schemas.microsoft.com/office/drawing/2014/main" id="{A9E9D576-D631-4980-A414-4938ECCCE99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1" name="Line 25">
          <a:extLst>
            <a:ext uri="{FF2B5EF4-FFF2-40B4-BE49-F238E27FC236}">
              <a16:creationId xmlns:a16="http://schemas.microsoft.com/office/drawing/2014/main" id="{207FAC33-FEFB-46F5-8B1B-A95FE45BD6F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2" name="Line 26">
          <a:extLst>
            <a:ext uri="{FF2B5EF4-FFF2-40B4-BE49-F238E27FC236}">
              <a16:creationId xmlns:a16="http://schemas.microsoft.com/office/drawing/2014/main" id="{D253601A-22FF-42E7-94DB-BEFB113BCC8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3" name="Line 27">
          <a:extLst>
            <a:ext uri="{FF2B5EF4-FFF2-40B4-BE49-F238E27FC236}">
              <a16:creationId xmlns:a16="http://schemas.microsoft.com/office/drawing/2014/main" id="{18716D34-1D89-475A-87FF-738FCDEDE82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4" name="Line 28">
          <a:extLst>
            <a:ext uri="{FF2B5EF4-FFF2-40B4-BE49-F238E27FC236}">
              <a16:creationId xmlns:a16="http://schemas.microsoft.com/office/drawing/2014/main" id="{F7EE454F-D649-4567-ABC1-29FF47715B6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5" name="Line 29">
          <a:extLst>
            <a:ext uri="{FF2B5EF4-FFF2-40B4-BE49-F238E27FC236}">
              <a16:creationId xmlns:a16="http://schemas.microsoft.com/office/drawing/2014/main" id="{4A01BC37-87F4-45F3-845D-01802004D48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6" name="Line 30">
          <a:extLst>
            <a:ext uri="{FF2B5EF4-FFF2-40B4-BE49-F238E27FC236}">
              <a16:creationId xmlns:a16="http://schemas.microsoft.com/office/drawing/2014/main" id="{377CC020-09B3-4DBC-9A03-ABB19E57F28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7" name="Line 31">
          <a:extLst>
            <a:ext uri="{FF2B5EF4-FFF2-40B4-BE49-F238E27FC236}">
              <a16:creationId xmlns:a16="http://schemas.microsoft.com/office/drawing/2014/main" id="{70B47FF2-FD94-4505-9274-0289E1E49BA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8" name="Line 32">
          <a:extLst>
            <a:ext uri="{FF2B5EF4-FFF2-40B4-BE49-F238E27FC236}">
              <a16:creationId xmlns:a16="http://schemas.microsoft.com/office/drawing/2014/main" id="{5273B9BF-2727-4C03-8476-C9BBFF6EBA0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9" name="Line 33">
          <a:extLst>
            <a:ext uri="{FF2B5EF4-FFF2-40B4-BE49-F238E27FC236}">
              <a16:creationId xmlns:a16="http://schemas.microsoft.com/office/drawing/2014/main" id="{1BBE700B-EF60-4500-879C-C65A099736F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0" name="Line 34">
          <a:extLst>
            <a:ext uri="{FF2B5EF4-FFF2-40B4-BE49-F238E27FC236}">
              <a16:creationId xmlns:a16="http://schemas.microsoft.com/office/drawing/2014/main" id="{5CBFB915-85E2-4875-8AC9-C0CD92B5FFC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1" name="Line 35">
          <a:extLst>
            <a:ext uri="{FF2B5EF4-FFF2-40B4-BE49-F238E27FC236}">
              <a16:creationId xmlns:a16="http://schemas.microsoft.com/office/drawing/2014/main" id="{F0668E0E-CF07-45B1-9017-C0BBCBCFCAA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2" name="Line 36">
          <a:extLst>
            <a:ext uri="{FF2B5EF4-FFF2-40B4-BE49-F238E27FC236}">
              <a16:creationId xmlns:a16="http://schemas.microsoft.com/office/drawing/2014/main" id="{3652C189-2B81-46DD-82CA-97DC919D906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3" name="Line 37">
          <a:extLst>
            <a:ext uri="{FF2B5EF4-FFF2-40B4-BE49-F238E27FC236}">
              <a16:creationId xmlns:a16="http://schemas.microsoft.com/office/drawing/2014/main" id="{D82B0510-A5F3-4291-93CC-2DB1481ACC9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4" name="Line 38">
          <a:extLst>
            <a:ext uri="{FF2B5EF4-FFF2-40B4-BE49-F238E27FC236}">
              <a16:creationId xmlns:a16="http://schemas.microsoft.com/office/drawing/2014/main" id="{95E28E17-7C64-411B-8958-82C92EE73D9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5" name="Line 39">
          <a:extLst>
            <a:ext uri="{FF2B5EF4-FFF2-40B4-BE49-F238E27FC236}">
              <a16:creationId xmlns:a16="http://schemas.microsoft.com/office/drawing/2014/main" id="{F054F977-F8F4-404C-A133-BF29BB43E64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6" name="Line 40">
          <a:extLst>
            <a:ext uri="{FF2B5EF4-FFF2-40B4-BE49-F238E27FC236}">
              <a16:creationId xmlns:a16="http://schemas.microsoft.com/office/drawing/2014/main" id="{30273E40-D2A4-4FBE-B3F4-157FA7A5D44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7" name="Line 41">
          <a:extLst>
            <a:ext uri="{FF2B5EF4-FFF2-40B4-BE49-F238E27FC236}">
              <a16:creationId xmlns:a16="http://schemas.microsoft.com/office/drawing/2014/main" id="{6A3B525A-5A84-4D71-8F29-C8CAA2D8EA9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8" name="Line 42">
          <a:extLst>
            <a:ext uri="{FF2B5EF4-FFF2-40B4-BE49-F238E27FC236}">
              <a16:creationId xmlns:a16="http://schemas.microsoft.com/office/drawing/2014/main" id="{328C74E1-5B2E-4730-BC71-D9AFF15994F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9" name="Line 43">
          <a:extLst>
            <a:ext uri="{FF2B5EF4-FFF2-40B4-BE49-F238E27FC236}">
              <a16:creationId xmlns:a16="http://schemas.microsoft.com/office/drawing/2014/main" id="{439B562D-373C-444D-8CA5-92013E2492C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0" name="Line 44">
          <a:extLst>
            <a:ext uri="{FF2B5EF4-FFF2-40B4-BE49-F238E27FC236}">
              <a16:creationId xmlns:a16="http://schemas.microsoft.com/office/drawing/2014/main" id="{DA7855F2-6B85-43A0-9AE2-E19F7AC504A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1" name="Line 45">
          <a:extLst>
            <a:ext uri="{FF2B5EF4-FFF2-40B4-BE49-F238E27FC236}">
              <a16:creationId xmlns:a16="http://schemas.microsoft.com/office/drawing/2014/main" id="{2910D982-71CC-4C5B-B938-3F9720E3102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2" name="Line 46">
          <a:extLst>
            <a:ext uri="{FF2B5EF4-FFF2-40B4-BE49-F238E27FC236}">
              <a16:creationId xmlns:a16="http://schemas.microsoft.com/office/drawing/2014/main" id="{73D79BD4-E7A9-43B4-ACDD-115BE6D1B5D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3" name="Line 47">
          <a:extLst>
            <a:ext uri="{FF2B5EF4-FFF2-40B4-BE49-F238E27FC236}">
              <a16:creationId xmlns:a16="http://schemas.microsoft.com/office/drawing/2014/main" id="{FDFD6993-E07A-4E96-9726-ADD1E4ED663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4" name="Line 48">
          <a:extLst>
            <a:ext uri="{FF2B5EF4-FFF2-40B4-BE49-F238E27FC236}">
              <a16:creationId xmlns:a16="http://schemas.microsoft.com/office/drawing/2014/main" id="{A6B00160-CB0C-4CF5-95D6-66C1CEE26B2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5" name="Line 49">
          <a:extLst>
            <a:ext uri="{FF2B5EF4-FFF2-40B4-BE49-F238E27FC236}">
              <a16:creationId xmlns:a16="http://schemas.microsoft.com/office/drawing/2014/main" id="{835E5A2A-7540-43CE-9467-89543C9C239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6" name="Line 50">
          <a:extLst>
            <a:ext uri="{FF2B5EF4-FFF2-40B4-BE49-F238E27FC236}">
              <a16:creationId xmlns:a16="http://schemas.microsoft.com/office/drawing/2014/main" id="{25CD93D7-0D26-4B01-9B13-954FE1988C0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7" name="Line 1">
          <a:extLst>
            <a:ext uri="{FF2B5EF4-FFF2-40B4-BE49-F238E27FC236}">
              <a16:creationId xmlns:a16="http://schemas.microsoft.com/office/drawing/2014/main" id="{24AD5761-6D8C-4CBE-A797-73419852322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8" name="Line 2">
          <a:extLst>
            <a:ext uri="{FF2B5EF4-FFF2-40B4-BE49-F238E27FC236}">
              <a16:creationId xmlns:a16="http://schemas.microsoft.com/office/drawing/2014/main" id="{45069101-6B51-40E6-BCBA-CA93A2B438F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9" name="Line 5">
          <a:extLst>
            <a:ext uri="{FF2B5EF4-FFF2-40B4-BE49-F238E27FC236}">
              <a16:creationId xmlns:a16="http://schemas.microsoft.com/office/drawing/2014/main" id="{148B50F2-B5DF-40D1-9BDC-93C42171A55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0" name="Line 6">
          <a:extLst>
            <a:ext uri="{FF2B5EF4-FFF2-40B4-BE49-F238E27FC236}">
              <a16:creationId xmlns:a16="http://schemas.microsoft.com/office/drawing/2014/main" id="{04C23790-6F9D-446C-8129-D9E56DE4986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1" name="Line 7">
          <a:extLst>
            <a:ext uri="{FF2B5EF4-FFF2-40B4-BE49-F238E27FC236}">
              <a16:creationId xmlns:a16="http://schemas.microsoft.com/office/drawing/2014/main" id="{7916ACDD-A2F0-4AE8-AD93-334F9D6A1E8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2" name="Line 8">
          <a:extLst>
            <a:ext uri="{FF2B5EF4-FFF2-40B4-BE49-F238E27FC236}">
              <a16:creationId xmlns:a16="http://schemas.microsoft.com/office/drawing/2014/main" id="{A97CAB63-BD77-4E66-956C-9C606A85961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3" name="Line 9">
          <a:extLst>
            <a:ext uri="{FF2B5EF4-FFF2-40B4-BE49-F238E27FC236}">
              <a16:creationId xmlns:a16="http://schemas.microsoft.com/office/drawing/2014/main" id="{CC9AE4DC-D7DC-438A-8635-8C183483E07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4" name="Line 10">
          <a:extLst>
            <a:ext uri="{FF2B5EF4-FFF2-40B4-BE49-F238E27FC236}">
              <a16:creationId xmlns:a16="http://schemas.microsoft.com/office/drawing/2014/main" id="{0509A935-DD08-4615-BC01-EC24B8900A7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5" name="Line 11">
          <a:extLst>
            <a:ext uri="{FF2B5EF4-FFF2-40B4-BE49-F238E27FC236}">
              <a16:creationId xmlns:a16="http://schemas.microsoft.com/office/drawing/2014/main" id="{E1817897-A280-452F-A139-868ED6C51DC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6" name="Line 12">
          <a:extLst>
            <a:ext uri="{FF2B5EF4-FFF2-40B4-BE49-F238E27FC236}">
              <a16:creationId xmlns:a16="http://schemas.microsoft.com/office/drawing/2014/main" id="{BC540346-1F28-4376-98F1-B04C09E9A55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7" name="Line 13">
          <a:extLst>
            <a:ext uri="{FF2B5EF4-FFF2-40B4-BE49-F238E27FC236}">
              <a16:creationId xmlns:a16="http://schemas.microsoft.com/office/drawing/2014/main" id="{D7CF0533-8D9C-448C-AA11-1D2FF6B6AE0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8" name="Line 14">
          <a:extLst>
            <a:ext uri="{FF2B5EF4-FFF2-40B4-BE49-F238E27FC236}">
              <a16:creationId xmlns:a16="http://schemas.microsoft.com/office/drawing/2014/main" id="{03E4543F-8213-481C-ACA0-F58FCB1ECB3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9" name="Line 15">
          <a:extLst>
            <a:ext uri="{FF2B5EF4-FFF2-40B4-BE49-F238E27FC236}">
              <a16:creationId xmlns:a16="http://schemas.microsoft.com/office/drawing/2014/main" id="{CFD75F8B-60C9-4966-83AE-34A7C27A1B0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0" name="Line 16">
          <a:extLst>
            <a:ext uri="{FF2B5EF4-FFF2-40B4-BE49-F238E27FC236}">
              <a16:creationId xmlns:a16="http://schemas.microsoft.com/office/drawing/2014/main" id="{59E8D7C9-1641-48C4-A658-2E90AA9ECD8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1" name="Line 17">
          <a:extLst>
            <a:ext uri="{FF2B5EF4-FFF2-40B4-BE49-F238E27FC236}">
              <a16:creationId xmlns:a16="http://schemas.microsoft.com/office/drawing/2014/main" id="{EEAC9929-BABF-4E5C-BDC0-3ABE8033E9F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2" name="Line 18">
          <a:extLst>
            <a:ext uri="{FF2B5EF4-FFF2-40B4-BE49-F238E27FC236}">
              <a16:creationId xmlns:a16="http://schemas.microsoft.com/office/drawing/2014/main" id="{D1D7925B-33D1-495E-A3BB-947C413AE26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3" name="Line 19">
          <a:extLst>
            <a:ext uri="{FF2B5EF4-FFF2-40B4-BE49-F238E27FC236}">
              <a16:creationId xmlns:a16="http://schemas.microsoft.com/office/drawing/2014/main" id="{F69C306D-5501-4BA5-8A5A-27F25A5B8FC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4" name="Line 20">
          <a:extLst>
            <a:ext uri="{FF2B5EF4-FFF2-40B4-BE49-F238E27FC236}">
              <a16:creationId xmlns:a16="http://schemas.microsoft.com/office/drawing/2014/main" id="{D702668C-0D48-4A2E-BD8B-373E7DC464F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5" name="Line 21">
          <a:extLst>
            <a:ext uri="{FF2B5EF4-FFF2-40B4-BE49-F238E27FC236}">
              <a16:creationId xmlns:a16="http://schemas.microsoft.com/office/drawing/2014/main" id="{3607539D-4A2C-4C95-97B4-6345AFC3D50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6" name="Line 22">
          <a:extLst>
            <a:ext uri="{FF2B5EF4-FFF2-40B4-BE49-F238E27FC236}">
              <a16:creationId xmlns:a16="http://schemas.microsoft.com/office/drawing/2014/main" id="{81C3E05C-5BF0-4EC8-B62F-38AC956E332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7" name="Line 23">
          <a:extLst>
            <a:ext uri="{FF2B5EF4-FFF2-40B4-BE49-F238E27FC236}">
              <a16:creationId xmlns:a16="http://schemas.microsoft.com/office/drawing/2014/main" id="{E5B15496-6CC1-44DC-BFD9-3D6D385988B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8" name="Line 24">
          <a:extLst>
            <a:ext uri="{FF2B5EF4-FFF2-40B4-BE49-F238E27FC236}">
              <a16:creationId xmlns:a16="http://schemas.microsoft.com/office/drawing/2014/main" id="{E0B39D80-CDF4-47A7-8A14-BCD4FD60824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9" name="Line 25">
          <a:extLst>
            <a:ext uri="{FF2B5EF4-FFF2-40B4-BE49-F238E27FC236}">
              <a16:creationId xmlns:a16="http://schemas.microsoft.com/office/drawing/2014/main" id="{00A2A777-5A09-4D62-8318-716A1DA8101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0" name="Line 26">
          <a:extLst>
            <a:ext uri="{FF2B5EF4-FFF2-40B4-BE49-F238E27FC236}">
              <a16:creationId xmlns:a16="http://schemas.microsoft.com/office/drawing/2014/main" id="{4A21FD13-84AA-4B03-966B-717D867674A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1" name="Line 27">
          <a:extLst>
            <a:ext uri="{FF2B5EF4-FFF2-40B4-BE49-F238E27FC236}">
              <a16:creationId xmlns:a16="http://schemas.microsoft.com/office/drawing/2014/main" id="{AE570563-68A3-4942-AAF6-0F022322140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2" name="Line 28">
          <a:extLst>
            <a:ext uri="{FF2B5EF4-FFF2-40B4-BE49-F238E27FC236}">
              <a16:creationId xmlns:a16="http://schemas.microsoft.com/office/drawing/2014/main" id="{74CAB64E-F58B-4B4E-BE7F-024C2846159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3" name="Line 29">
          <a:extLst>
            <a:ext uri="{FF2B5EF4-FFF2-40B4-BE49-F238E27FC236}">
              <a16:creationId xmlns:a16="http://schemas.microsoft.com/office/drawing/2014/main" id="{C727436B-0F37-4A88-B329-7B67112C98B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4" name="Line 30">
          <a:extLst>
            <a:ext uri="{FF2B5EF4-FFF2-40B4-BE49-F238E27FC236}">
              <a16:creationId xmlns:a16="http://schemas.microsoft.com/office/drawing/2014/main" id="{B8403021-11A7-4022-A008-DE6BF94FC0D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5" name="Line 31">
          <a:extLst>
            <a:ext uri="{FF2B5EF4-FFF2-40B4-BE49-F238E27FC236}">
              <a16:creationId xmlns:a16="http://schemas.microsoft.com/office/drawing/2014/main" id="{38339998-A978-4C3E-9DF4-EB3CC013D20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6" name="Line 32">
          <a:extLst>
            <a:ext uri="{FF2B5EF4-FFF2-40B4-BE49-F238E27FC236}">
              <a16:creationId xmlns:a16="http://schemas.microsoft.com/office/drawing/2014/main" id="{25502046-2255-4E2A-AFA7-B32C65C8D9D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7" name="Line 33">
          <a:extLst>
            <a:ext uri="{FF2B5EF4-FFF2-40B4-BE49-F238E27FC236}">
              <a16:creationId xmlns:a16="http://schemas.microsoft.com/office/drawing/2014/main" id="{6C32D0B2-35AB-4FB8-9584-BF58FFD0A48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8" name="Line 34">
          <a:extLst>
            <a:ext uri="{FF2B5EF4-FFF2-40B4-BE49-F238E27FC236}">
              <a16:creationId xmlns:a16="http://schemas.microsoft.com/office/drawing/2014/main" id="{E8554936-3F80-4BA0-94F8-9096EE77E5F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9" name="Line 35">
          <a:extLst>
            <a:ext uri="{FF2B5EF4-FFF2-40B4-BE49-F238E27FC236}">
              <a16:creationId xmlns:a16="http://schemas.microsoft.com/office/drawing/2014/main" id="{EAF39A24-CA4B-4FCF-8A4A-E37F5BF69C4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0" name="Line 36">
          <a:extLst>
            <a:ext uri="{FF2B5EF4-FFF2-40B4-BE49-F238E27FC236}">
              <a16:creationId xmlns:a16="http://schemas.microsoft.com/office/drawing/2014/main" id="{1DF07DA6-896C-4450-B6D6-83A9AB4D2B6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1" name="Line 37">
          <a:extLst>
            <a:ext uri="{FF2B5EF4-FFF2-40B4-BE49-F238E27FC236}">
              <a16:creationId xmlns:a16="http://schemas.microsoft.com/office/drawing/2014/main" id="{9C754D93-3FEF-4A6C-BEE8-50F7ED91F73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2" name="Line 38">
          <a:extLst>
            <a:ext uri="{FF2B5EF4-FFF2-40B4-BE49-F238E27FC236}">
              <a16:creationId xmlns:a16="http://schemas.microsoft.com/office/drawing/2014/main" id="{CC1425F3-C198-46A3-94D7-28B7AECC2B5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3" name="Line 39">
          <a:extLst>
            <a:ext uri="{FF2B5EF4-FFF2-40B4-BE49-F238E27FC236}">
              <a16:creationId xmlns:a16="http://schemas.microsoft.com/office/drawing/2014/main" id="{2F37228C-FD4F-4E72-AAB9-7462BBC9268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4" name="Line 40">
          <a:extLst>
            <a:ext uri="{FF2B5EF4-FFF2-40B4-BE49-F238E27FC236}">
              <a16:creationId xmlns:a16="http://schemas.microsoft.com/office/drawing/2014/main" id="{70A788D3-17C1-4A80-861A-94BA110D3EF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5" name="Line 41">
          <a:extLst>
            <a:ext uri="{FF2B5EF4-FFF2-40B4-BE49-F238E27FC236}">
              <a16:creationId xmlns:a16="http://schemas.microsoft.com/office/drawing/2014/main" id="{B1193C93-E067-4497-94A6-3CC95260D56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6" name="Line 42">
          <a:extLst>
            <a:ext uri="{FF2B5EF4-FFF2-40B4-BE49-F238E27FC236}">
              <a16:creationId xmlns:a16="http://schemas.microsoft.com/office/drawing/2014/main" id="{A431A34A-EAF7-4B8B-A178-CD2F885826F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7" name="Line 43">
          <a:extLst>
            <a:ext uri="{FF2B5EF4-FFF2-40B4-BE49-F238E27FC236}">
              <a16:creationId xmlns:a16="http://schemas.microsoft.com/office/drawing/2014/main" id="{52928B47-9395-4FDC-B600-874C8FE7FDC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8" name="Line 44">
          <a:extLst>
            <a:ext uri="{FF2B5EF4-FFF2-40B4-BE49-F238E27FC236}">
              <a16:creationId xmlns:a16="http://schemas.microsoft.com/office/drawing/2014/main" id="{0C4EC168-51E1-48B8-A131-050BD145E7F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9" name="Line 45">
          <a:extLst>
            <a:ext uri="{FF2B5EF4-FFF2-40B4-BE49-F238E27FC236}">
              <a16:creationId xmlns:a16="http://schemas.microsoft.com/office/drawing/2014/main" id="{71C68106-81F1-40A3-8F96-4C776F63EFD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0" name="Line 46">
          <a:extLst>
            <a:ext uri="{FF2B5EF4-FFF2-40B4-BE49-F238E27FC236}">
              <a16:creationId xmlns:a16="http://schemas.microsoft.com/office/drawing/2014/main" id="{2857CD53-58AD-4359-A17D-85C9CED0CDF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1" name="Line 47">
          <a:extLst>
            <a:ext uri="{FF2B5EF4-FFF2-40B4-BE49-F238E27FC236}">
              <a16:creationId xmlns:a16="http://schemas.microsoft.com/office/drawing/2014/main" id="{93BB300A-73F5-442D-B42B-56273C3FC61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2" name="Line 48">
          <a:extLst>
            <a:ext uri="{FF2B5EF4-FFF2-40B4-BE49-F238E27FC236}">
              <a16:creationId xmlns:a16="http://schemas.microsoft.com/office/drawing/2014/main" id="{FACF0B54-503B-487E-A4C2-3A9907B4E07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3" name="Line 49">
          <a:extLst>
            <a:ext uri="{FF2B5EF4-FFF2-40B4-BE49-F238E27FC236}">
              <a16:creationId xmlns:a16="http://schemas.microsoft.com/office/drawing/2014/main" id="{F6641510-240C-471E-BEEE-C8388FC12FD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4" name="Line 50">
          <a:extLst>
            <a:ext uri="{FF2B5EF4-FFF2-40B4-BE49-F238E27FC236}">
              <a16:creationId xmlns:a16="http://schemas.microsoft.com/office/drawing/2014/main" id="{891CB5F5-37A5-461B-A8C7-129DF5B3B24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5" name="Line 1">
          <a:extLst>
            <a:ext uri="{FF2B5EF4-FFF2-40B4-BE49-F238E27FC236}">
              <a16:creationId xmlns:a16="http://schemas.microsoft.com/office/drawing/2014/main" id="{60A9FAA9-22EF-4E49-994B-0C5C925FE9F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6" name="Line 2">
          <a:extLst>
            <a:ext uri="{FF2B5EF4-FFF2-40B4-BE49-F238E27FC236}">
              <a16:creationId xmlns:a16="http://schemas.microsoft.com/office/drawing/2014/main" id="{67FD6FDB-5C2D-405E-AFD5-B9D8D613A81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7" name="Line 5">
          <a:extLst>
            <a:ext uri="{FF2B5EF4-FFF2-40B4-BE49-F238E27FC236}">
              <a16:creationId xmlns:a16="http://schemas.microsoft.com/office/drawing/2014/main" id="{C4F19B77-F9C2-425F-A664-442AE5AD6BA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8" name="Line 6">
          <a:extLst>
            <a:ext uri="{FF2B5EF4-FFF2-40B4-BE49-F238E27FC236}">
              <a16:creationId xmlns:a16="http://schemas.microsoft.com/office/drawing/2014/main" id="{871BC849-1406-4395-8453-1BD945B4B85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9" name="Line 7">
          <a:extLst>
            <a:ext uri="{FF2B5EF4-FFF2-40B4-BE49-F238E27FC236}">
              <a16:creationId xmlns:a16="http://schemas.microsoft.com/office/drawing/2014/main" id="{CD30E2F5-15CB-48B5-A3EE-797F60E3EA3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0" name="Line 8">
          <a:extLst>
            <a:ext uri="{FF2B5EF4-FFF2-40B4-BE49-F238E27FC236}">
              <a16:creationId xmlns:a16="http://schemas.microsoft.com/office/drawing/2014/main" id="{529C2086-9181-4F14-B874-D3CE729DA48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1" name="Line 9">
          <a:extLst>
            <a:ext uri="{FF2B5EF4-FFF2-40B4-BE49-F238E27FC236}">
              <a16:creationId xmlns:a16="http://schemas.microsoft.com/office/drawing/2014/main" id="{F4636FD5-CC02-4CD0-9F12-C821F8B57E1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2" name="Line 10">
          <a:extLst>
            <a:ext uri="{FF2B5EF4-FFF2-40B4-BE49-F238E27FC236}">
              <a16:creationId xmlns:a16="http://schemas.microsoft.com/office/drawing/2014/main" id="{3F0663EB-759F-4A3D-8C6A-915EAFE753E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3" name="Line 11">
          <a:extLst>
            <a:ext uri="{FF2B5EF4-FFF2-40B4-BE49-F238E27FC236}">
              <a16:creationId xmlns:a16="http://schemas.microsoft.com/office/drawing/2014/main" id="{171F9518-51EC-40F5-9B58-96260DD6D98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4" name="Line 12">
          <a:extLst>
            <a:ext uri="{FF2B5EF4-FFF2-40B4-BE49-F238E27FC236}">
              <a16:creationId xmlns:a16="http://schemas.microsoft.com/office/drawing/2014/main" id="{2C45096B-9EBE-44D7-8464-8394EC1ED09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5" name="Line 13">
          <a:extLst>
            <a:ext uri="{FF2B5EF4-FFF2-40B4-BE49-F238E27FC236}">
              <a16:creationId xmlns:a16="http://schemas.microsoft.com/office/drawing/2014/main" id="{5F4E6D28-8A7F-4ED6-BAB2-0AD8D0040EF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6" name="Line 14">
          <a:extLst>
            <a:ext uri="{FF2B5EF4-FFF2-40B4-BE49-F238E27FC236}">
              <a16:creationId xmlns:a16="http://schemas.microsoft.com/office/drawing/2014/main" id="{108ABF6A-FA24-4106-9FBF-E333656DD53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7" name="Line 15">
          <a:extLst>
            <a:ext uri="{FF2B5EF4-FFF2-40B4-BE49-F238E27FC236}">
              <a16:creationId xmlns:a16="http://schemas.microsoft.com/office/drawing/2014/main" id="{AC626F47-B07A-445C-8E7C-BFAED0FB7A1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8" name="Line 16">
          <a:extLst>
            <a:ext uri="{FF2B5EF4-FFF2-40B4-BE49-F238E27FC236}">
              <a16:creationId xmlns:a16="http://schemas.microsoft.com/office/drawing/2014/main" id="{82F0255C-2AD4-4DDF-808A-6459021B1AA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9" name="Line 17">
          <a:extLst>
            <a:ext uri="{FF2B5EF4-FFF2-40B4-BE49-F238E27FC236}">
              <a16:creationId xmlns:a16="http://schemas.microsoft.com/office/drawing/2014/main" id="{F53F4BEF-784B-4C7F-BD9E-0DC3A9A61ED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0" name="Line 18">
          <a:extLst>
            <a:ext uri="{FF2B5EF4-FFF2-40B4-BE49-F238E27FC236}">
              <a16:creationId xmlns:a16="http://schemas.microsoft.com/office/drawing/2014/main" id="{C489C23C-0C8D-4C70-A303-5031D537EA3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1" name="Line 19">
          <a:extLst>
            <a:ext uri="{FF2B5EF4-FFF2-40B4-BE49-F238E27FC236}">
              <a16:creationId xmlns:a16="http://schemas.microsoft.com/office/drawing/2014/main" id="{90B2A7B5-4945-438F-B23E-64A46B51315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2" name="Line 20">
          <a:extLst>
            <a:ext uri="{FF2B5EF4-FFF2-40B4-BE49-F238E27FC236}">
              <a16:creationId xmlns:a16="http://schemas.microsoft.com/office/drawing/2014/main" id="{CBF93759-9945-4849-BCE7-B84BCD008DF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3" name="Line 21">
          <a:extLst>
            <a:ext uri="{FF2B5EF4-FFF2-40B4-BE49-F238E27FC236}">
              <a16:creationId xmlns:a16="http://schemas.microsoft.com/office/drawing/2014/main" id="{7F573A01-51E8-4119-988E-6B2620A550C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4" name="Line 22">
          <a:extLst>
            <a:ext uri="{FF2B5EF4-FFF2-40B4-BE49-F238E27FC236}">
              <a16:creationId xmlns:a16="http://schemas.microsoft.com/office/drawing/2014/main" id="{63790F47-4AA5-4807-9F34-5B48BF66B81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5" name="Line 23">
          <a:extLst>
            <a:ext uri="{FF2B5EF4-FFF2-40B4-BE49-F238E27FC236}">
              <a16:creationId xmlns:a16="http://schemas.microsoft.com/office/drawing/2014/main" id="{0631F14A-E08F-476F-A563-71F8D14C2D6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6" name="Line 24">
          <a:extLst>
            <a:ext uri="{FF2B5EF4-FFF2-40B4-BE49-F238E27FC236}">
              <a16:creationId xmlns:a16="http://schemas.microsoft.com/office/drawing/2014/main" id="{3D1CDA51-98AF-4806-8F10-DDFE0011AB3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7" name="Line 25">
          <a:extLst>
            <a:ext uri="{FF2B5EF4-FFF2-40B4-BE49-F238E27FC236}">
              <a16:creationId xmlns:a16="http://schemas.microsoft.com/office/drawing/2014/main" id="{94FF8492-900E-4BF4-9C84-08309B81F52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8" name="Line 26">
          <a:extLst>
            <a:ext uri="{FF2B5EF4-FFF2-40B4-BE49-F238E27FC236}">
              <a16:creationId xmlns:a16="http://schemas.microsoft.com/office/drawing/2014/main" id="{00C7243A-5FAC-40D7-B242-19D6669F4D2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9" name="Line 27">
          <a:extLst>
            <a:ext uri="{FF2B5EF4-FFF2-40B4-BE49-F238E27FC236}">
              <a16:creationId xmlns:a16="http://schemas.microsoft.com/office/drawing/2014/main" id="{91EBB3E4-1E8D-49E1-971D-4043C3E30F2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0" name="Line 28">
          <a:extLst>
            <a:ext uri="{FF2B5EF4-FFF2-40B4-BE49-F238E27FC236}">
              <a16:creationId xmlns:a16="http://schemas.microsoft.com/office/drawing/2014/main" id="{3A185EE6-EA2A-49D9-8A90-1252C4FCF83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1" name="Line 29">
          <a:extLst>
            <a:ext uri="{FF2B5EF4-FFF2-40B4-BE49-F238E27FC236}">
              <a16:creationId xmlns:a16="http://schemas.microsoft.com/office/drawing/2014/main" id="{A53412B1-F83A-47EB-B156-91828554BB9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2" name="Line 30">
          <a:extLst>
            <a:ext uri="{FF2B5EF4-FFF2-40B4-BE49-F238E27FC236}">
              <a16:creationId xmlns:a16="http://schemas.microsoft.com/office/drawing/2014/main" id="{2CF16A9E-C5BC-42C2-9C9E-C442929D5EB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3" name="Line 31">
          <a:extLst>
            <a:ext uri="{FF2B5EF4-FFF2-40B4-BE49-F238E27FC236}">
              <a16:creationId xmlns:a16="http://schemas.microsoft.com/office/drawing/2014/main" id="{1B6D179C-7D97-43FA-A716-E2F40871151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4" name="Line 32">
          <a:extLst>
            <a:ext uri="{FF2B5EF4-FFF2-40B4-BE49-F238E27FC236}">
              <a16:creationId xmlns:a16="http://schemas.microsoft.com/office/drawing/2014/main" id="{DF13DDA0-B889-4F78-8D17-C2D95E6C4B0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5" name="Line 33">
          <a:extLst>
            <a:ext uri="{FF2B5EF4-FFF2-40B4-BE49-F238E27FC236}">
              <a16:creationId xmlns:a16="http://schemas.microsoft.com/office/drawing/2014/main" id="{8A84DDAB-0ECB-4BAE-B4E1-FFD695EB28F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6" name="Line 34">
          <a:extLst>
            <a:ext uri="{FF2B5EF4-FFF2-40B4-BE49-F238E27FC236}">
              <a16:creationId xmlns:a16="http://schemas.microsoft.com/office/drawing/2014/main" id="{0044D924-67E4-4311-99E2-DE08D3FB1CD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7" name="Line 35">
          <a:extLst>
            <a:ext uri="{FF2B5EF4-FFF2-40B4-BE49-F238E27FC236}">
              <a16:creationId xmlns:a16="http://schemas.microsoft.com/office/drawing/2014/main" id="{7F2552DD-A48A-4211-88EE-ACED207732F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8" name="Line 36">
          <a:extLst>
            <a:ext uri="{FF2B5EF4-FFF2-40B4-BE49-F238E27FC236}">
              <a16:creationId xmlns:a16="http://schemas.microsoft.com/office/drawing/2014/main" id="{AE794C4C-FCCB-4E20-8B19-36B69ADD8DB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9" name="Line 37">
          <a:extLst>
            <a:ext uri="{FF2B5EF4-FFF2-40B4-BE49-F238E27FC236}">
              <a16:creationId xmlns:a16="http://schemas.microsoft.com/office/drawing/2014/main" id="{CB4E8E2A-6B08-43FD-A801-DB36677453A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0" name="Line 38">
          <a:extLst>
            <a:ext uri="{FF2B5EF4-FFF2-40B4-BE49-F238E27FC236}">
              <a16:creationId xmlns:a16="http://schemas.microsoft.com/office/drawing/2014/main" id="{E5B55582-CE54-417A-8576-D72732BC49F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1" name="Line 39">
          <a:extLst>
            <a:ext uri="{FF2B5EF4-FFF2-40B4-BE49-F238E27FC236}">
              <a16:creationId xmlns:a16="http://schemas.microsoft.com/office/drawing/2014/main" id="{C5FAFFE1-4C1B-4502-9CAD-952616C0C8B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2" name="Line 40">
          <a:extLst>
            <a:ext uri="{FF2B5EF4-FFF2-40B4-BE49-F238E27FC236}">
              <a16:creationId xmlns:a16="http://schemas.microsoft.com/office/drawing/2014/main" id="{75127D28-AA88-4ED8-A876-F78AE2F0BDA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3" name="Line 41">
          <a:extLst>
            <a:ext uri="{FF2B5EF4-FFF2-40B4-BE49-F238E27FC236}">
              <a16:creationId xmlns:a16="http://schemas.microsoft.com/office/drawing/2014/main" id="{C1E2E905-F597-47E7-97A1-13D937564A3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4" name="Line 42">
          <a:extLst>
            <a:ext uri="{FF2B5EF4-FFF2-40B4-BE49-F238E27FC236}">
              <a16:creationId xmlns:a16="http://schemas.microsoft.com/office/drawing/2014/main" id="{96F97EEE-67F2-4756-BED5-9E1C81C6B1E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5" name="Line 43">
          <a:extLst>
            <a:ext uri="{FF2B5EF4-FFF2-40B4-BE49-F238E27FC236}">
              <a16:creationId xmlns:a16="http://schemas.microsoft.com/office/drawing/2014/main" id="{9ABE1CF1-71D1-43B4-B7EC-B193B880916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6" name="Line 44">
          <a:extLst>
            <a:ext uri="{FF2B5EF4-FFF2-40B4-BE49-F238E27FC236}">
              <a16:creationId xmlns:a16="http://schemas.microsoft.com/office/drawing/2014/main" id="{E74FD8C6-79EE-4F21-94CB-D9796763EF3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7" name="Line 45">
          <a:extLst>
            <a:ext uri="{FF2B5EF4-FFF2-40B4-BE49-F238E27FC236}">
              <a16:creationId xmlns:a16="http://schemas.microsoft.com/office/drawing/2014/main" id="{D7F65D33-7008-4480-BF53-9ED9E1BFE03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8" name="Line 46">
          <a:extLst>
            <a:ext uri="{FF2B5EF4-FFF2-40B4-BE49-F238E27FC236}">
              <a16:creationId xmlns:a16="http://schemas.microsoft.com/office/drawing/2014/main" id="{4FD7061B-37C6-4D31-94AB-8B0701B2814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9" name="Line 47">
          <a:extLst>
            <a:ext uri="{FF2B5EF4-FFF2-40B4-BE49-F238E27FC236}">
              <a16:creationId xmlns:a16="http://schemas.microsoft.com/office/drawing/2014/main" id="{6F718F8A-7F3C-47D5-BD2B-66F83FA3AA4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0" name="Line 48">
          <a:extLst>
            <a:ext uri="{FF2B5EF4-FFF2-40B4-BE49-F238E27FC236}">
              <a16:creationId xmlns:a16="http://schemas.microsoft.com/office/drawing/2014/main" id="{9B067BE5-1D80-45C4-8727-7873EEC3C8C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1" name="Line 49">
          <a:extLst>
            <a:ext uri="{FF2B5EF4-FFF2-40B4-BE49-F238E27FC236}">
              <a16:creationId xmlns:a16="http://schemas.microsoft.com/office/drawing/2014/main" id="{875A806B-9217-40AF-AF86-75443CF81E1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2" name="Line 50">
          <a:extLst>
            <a:ext uri="{FF2B5EF4-FFF2-40B4-BE49-F238E27FC236}">
              <a16:creationId xmlns:a16="http://schemas.microsoft.com/office/drawing/2014/main" id="{26037552-C215-4EE7-B1A2-466058C3EC4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3" name="Line 1">
          <a:extLst>
            <a:ext uri="{FF2B5EF4-FFF2-40B4-BE49-F238E27FC236}">
              <a16:creationId xmlns:a16="http://schemas.microsoft.com/office/drawing/2014/main" id="{1EB6105F-7E4D-4993-8C92-CDB8BAB75F2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4" name="Line 2">
          <a:extLst>
            <a:ext uri="{FF2B5EF4-FFF2-40B4-BE49-F238E27FC236}">
              <a16:creationId xmlns:a16="http://schemas.microsoft.com/office/drawing/2014/main" id="{A383D977-78A7-4714-8C50-3587BD37C35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5" name="Line 5">
          <a:extLst>
            <a:ext uri="{FF2B5EF4-FFF2-40B4-BE49-F238E27FC236}">
              <a16:creationId xmlns:a16="http://schemas.microsoft.com/office/drawing/2014/main" id="{AFEDACEF-6BD0-4EC4-AEFB-E99B991650A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6" name="Line 6">
          <a:extLst>
            <a:ext uri="{FF2B5EF4-FFF2-40B4-BE49-F238E27FC236}">
              <a16:creationId xmlns:a16="http://schemas.microsoft.com/office/drawing/2014/main" id="{79D1D457-C1CC-4B2F-86B5-7CBDFD519D3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7" name="Line 7">
          <a:extLst>
            <a:ext uri="{FF2B5EF4-FFF2-40B4-BE49-F238E27FC236}">
              <a16:creationId xmlns:a16="http://schemas.microsoft.com/office/drawing/2014/main" id="{77ED44FD-FEEF-4CC3-AF30-0A7293CC1FC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8" name="Line 8">
          <a:extLst>
            <a:ext uri="{FF2B5EF4-FFF2-40B4-BE49-F238E27FC236}">
              <a16:creationId xmlns:a16="http://schemas.microsoft.com/office/drawing/2014/main" id="{34B59715-4E9D-4575-B831-478D90BBBDB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9" name="Line 9">
          <a:extLst>
            <a:ext uri="{FF2B5EF4-FFF2-40B4-BE49-F238E27FC236}">
              <a16:creationId xmlns:a16="http://schemas.microsoft.com/office/drawing/2014/main" id="{268CB261-9478-4478-98EB-B6747E70408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0" name="Line 10">
          <a:extLst>
            <a:ext uri="{FF2B5EF4-FFF2-40B4-BE49-F238E27FC236}">
              <a16:creationId xmlns:a16="http://schemas.microsoft.com/office/drawing/2014/main" id="{3DEFAC96-9EA4-4122-8B2C-BFEE3485D80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1" name="Line 11">
          <a:extLst>
            <a:ext uri="{FF2B5EF4-FFF2-40B4-BE49-F238E27FC236}">
              <a16:creationId xmlns:a16="http://schemas.microsoft.com/office/drawing/2014/main" id="{BE5250F2-3D4D-4295-B976-370D2528C4E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2" name="Line 12">
          <a:extLst>
            <a:ext uri="{FF2B5EF4-FFF2-40B4-BE49-F238E27FC236}">
              <a16:creationId xmlns:a16="http://schemas.microsoft.com/office/drawing/2014/main" id="{3E053A43-792E-475B-84F1-4C670B88C87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3" name="Line 13">
          <a:extLst>
            <a:ext uri="{FF2B5EF4-FFF2-40B4-BE49-F238E27FC236}">
              <a16:creationId xmlns:a16="http://schemas.microsoft.com/office/drawing/2014/main" id="{0C358C15-2D2F-42A4-B38F-92D22585F77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4" name="Line 14">
          <a:extLst>
            <a:ext uri="{FF2B5EF4-FFF2-40B4-BE49-F238E27FC236}">
              <a16:creationId xmlns:a16="http://schemas.microsoft.com/office/drawing/2014/main" id="{64E685D2-8FF2-4E6D-8F01-52A4E4749A8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5" name="Line 15">
          <a:extLst>
            <a:ext uri="{FF2B5EF4-FFF2-40B4-BE49-F238E27FC236}">
              <a16:creationId xmlns:a16="http://schemas.microsoft.com/office/drawing/2014/main" id="{274EE225-792C-4524-B0F6-FFAA961EA4D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6" name="Line 16">
          <a:extLst>
            <a:ext uri="{FF2B5EF4-FFF2-40B4-BE49-F238E27FC236}">
              <a16:creationId xmlns:a16="http://schemas.microsoft.com/office/drawing/2014/main" id="{BA86C7BF-5843-4D6E-9EFF-CEF200F3418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7" name="Line 17">
          <a:extLst>
            <a:ext uri="{FF2B5EF4-FFF2-40B4-BE49-F238E27FC236}">
              <a16:creationId xmlns:a16="http://schemas.microsoft.com/office/drawing/2014/main" id="{E6B15A0C-5F2A-4D49-AB03-4E29A276C32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8" name="Line 18">
          <a:extLst>
            <a:ext uri="{FF2B5EF4-FFF2-40B4-BE49-F238E27FC236}">
              <a16:creationId xmlns:a16="http://schemas.microsoft.com/office/drawing/2014/main" id="{DB89A62D-D7A1-4A20-B547-0164B9240A5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9" name="Line 19">
          <a:extLst>
            <a:ext uri="{FF2B5EF4-FFF2-40B4-BE49-F238E27FC236}">
              <a16:creationId xmlns:a16="http://schemas.microsoft.com/office/drawing/2014/main" id="{3DB0357E-2C8E-485C-9543-CE7DC52A481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0" name="Line 20">
          <a:extLst>
            <a:ext uri="{FF2B5EF4-FFF2-40B4-BE49-F238E27FC236}">
              <a16:creationId xmlns:a16="http://schemas.microsoft.com/office/drawing/2014/main" id="{65381368-860D-441A-851A-F62298018AD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1" name="Line 21">
          <a:extLst>
            <a:ext uri="{FF2B5EF4-FFF2-40B4-BE49-F238E27FC236}">
              <a16:creationId xmlns:a16="http://schemas.microsoft.com/office/drawing/2014/main" id="{42ED3F11-B6CD-408C-9BA1-D36581592E6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2" name="Line 22">
          <a:extLst>
            <a:ext uri="{FF2B5EF4-FFF2-40B4-BE49-F238E27FC236}">
              <a16:creationId xmlns:a16="http://schemas.microsoft.com/office/drawing/2014/main" id="{0F8D82DA-EBA2-493D-AF61-4781C531745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3" name="Line 23">
          <a:extLst>
            <a:ext uri="{FF2B5EF4-FFF2-40B4-BE49-F238E27FC236}">
              <a16:creationId xmlns:a16="http://schemas.microsoft.com/office/drawing/2014/main" id="{385DC3B9-2529-4F74-A6D4-1AD099632B5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4" name="Line 24">
          <a:extLst>
            <a:ext uri="{FF2B5EF4-FFF2-40B4-BE49-F238E27FC236}">
              <a16:creationId xmlns:a16="http://schemas.microsoft.com/office/drawing/2014/main" id="{7EACE54A-B1C2-4BFC-A27D-FA87753C26B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5" name="Line 25">
          <a:extLst>
            <a:ext uri="{FF2B5EF4-FFF2-40B4-BE49-F238E27FC236}">
              <a16:creationId xmlns:a16="http://schemas.microsoft.com/office/drawing/2014/main" id="{79788B5C-195F-44F9-8887-46681B346C3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6" name="Line 26">
          <a:extLst>
            <a:ext uri="{FF2B5EF4-FFF2-40B4-BE49-F238E27FC236}">
              <a16:creationId xmlns:a16="http://schemas.microsoft.com/office/drawing/2014/main" id="{1CE983FA-18D2-4313-9A4C-A5348BBB318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7" name="Line 27">
          <a:extLst>
            <a:ext uri="{FF2B5EF4-FFF2-40B4-BE49-F238E27FC236}">
              <a16:creationId xmlns:a16="http://schemas.microsoft.com/office/drawing/2014/main" id="{9291FC99-D810-4CFA-936D-142BC00801A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8" name="Line 28">
          <a:extLst>
            <a:ext uri="{FF2B5EF4-FFF2-40B4-BE49-F238E27FC236}">
              <a16:creationId xmlns:a16="http://schemas.microsoft.com/office/drawing/2014/main" id="{051AD1CA-32E0-484F-8083-3218E5C58F9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9" name="Line 29">
          <a:extLst>
            <a:ext uri="{FF2B5EF4-FFF2-40B4-BE49-F238E27FC236}">
              <a16:creationId xmlns:a16="http://schemas.microsoft.com/office/drawing/2014/main" id="{DE461756-E43D-40D9-9C04-6E9EB17B155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0" name="Line 30">
          <a:extLst>
            <a:ext uri="{FF2B5EF4-FFF2-40B4-BE49-F238E27FC236}">
              <a16:creationId xmlns:a16="http://schemas.microsoft.com/office/drawing/2014/main" id="{25AAC5EF-8750-4914-B308-9A4DA0ACC66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1" name="Line 31">
          <a:extLst>
            <a:ext uri="{FF2B5EF4-FFF2-40B4-BE49-F238E27FC236}">
              <a16:creationId xmlns:a16="http://schemas.microsoft.com/office/drawing/2014/main" id="{F59779CD-DBCB-41D5-82D5-8C0ACE11F5F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2" name="Line 32">
          <a:extLst>
            <a:ext uri="{FF2B5EF4-FFF2-40B4-BE49-F238E27FC236}">
              <a16:creationId xmlns:a16="http://schemas.microsoft.com/office/drawing/2014/main" id="{0E7DF8E3-39AC-416B-807F-9D518FF2651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3" name="Line 33">
          <a:extLst>
            <a:ext uri="{FF2B5EF4-FFF2-40B4-BE49-F238E27FC236}">
              <a16:creationId xmlns:a16="http://schemas.microsoft.com/office/drawing/2014/main" id="{C0FFEB99-D5EF-4268-BA1D-3552F691BE4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4" name="Line 34">
          <a:extLst>
            <a:ext uri="{FF2B5EF4-FFF2-40B4-BE49-F238E27FC236}">
              <a16:creationId xmlns:a16="http://schemas.microsoft.com/office/drawing/2014/main" id="{0FE9A4C1-2B14-4351-AF50-B5B460BB79B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5" name="Line 35">
          <a:extLst>
            <a:ext uri="{FF2B5EF4-FFF2-40B4-BE49-F238E27FC236}">
              <a16:creationId xmlns:a16="http://schemas.microsoft.com/office/drawing/2014/main" id="{7BB8D2F3-8B15-4668-A134-BC63D83913B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6" name="Line 36">
          <a:extLst>
            <a:ext uri="{FF2B5EF4-FFF2-40B4-BE49-F238E27FC236}">
              <a16:creationId xmlns:a16="http://schemas.microsoft.com/office/drawing/2014/main" id="{042E123A-0842-4892-9529-FE42BCD2C4F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7" name="Line 37">
          <a:extLst>
            <a:ext uri="{FF2B5EF4-FFF2-40B4-BE49-F238E27FC236}">
              <a16:creationId xmlns:a16="http://schemas.microsoft.com/office/drawing/2014/main" id="{8FA77472-713E-43AD-BD48-1E2E12854F2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8" name="Line 38">
          <a:extLst>
            <a:ext uri="{FF2B5EF4-FFF2-40B4-BE49-F238E27FC236}">
              <a16:creationId xmlns:a16="http://schemas.microsoft.com/office/drawing/2014/main" id="{64A2EDC5-1E62-49E8-AD73-D6984A5FA7A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9" name="Line 39">
          <a:extLst>
            <a:ext uri="{FF2B5EF4-FFF2-40B4-BE49-F238E27FC236}">
              <a16:creationId xmlns:a16="http://schemas.microsoft.com/office/drawing/2014/main" id="{8ADB07C8-F02B-4C36-A8DC-FE2E0B9A5BD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0" name="Line 40">
          <a:extLst>
            <a:ext uri="{FF2B5EF4-FFF2-40B4-BE49-F238E27FC236}">
              <a16:creationId xmlns:a16="http://schemas.microsoft.com/office/drawing/2014/main" id="{5D61B6EE-79BB-45DB-850D-8AC21EEDECC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1" name="Line 41">
          <a:extLst>
            <a:ext uri="{FF2B5EF4-FFF2-40B4-BE49-F238E27FC236}">
              <a16:creationId xmlns:a16="http://schemas.microsoft.com/office/drawing/2014/main" id="{E9F1EFAC-9FCB-4E01-9BC3-CD222A57481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2" name="Line 42">
          <a:extLst>
            <a:ext uri="{FF2B5EF4-FFF2-40B4-BE49-F238E27FC236}">
              <a16:creationId xmlns:a16="http://schemas.microsoft.com/office/drawing/2014/main" id="{95D14103-61D9-4CA8-8BA7-4E4AF28929F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3" name="Line 43">
          <a:extLst>
            <a:ext uri="{FF2B5EF4-FFF2-40B4-BE49-F238E27FC236}">
              <a16:creationId xmlns:a16="http://schemas.microsoft.com/office/drawing/2014/main" id="{FA4770F0-449E-4D99-AFB8-21EE264640C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4" name="Line 44">
          <a:extLst>
            <a:ext uri="{FF2B5EF4-FFF2-40B4-BE49-F238E27FC236}">
              <a16:creationId xmlns:a16="http://schemas.microsoft.com/office/drawing/2014/main" id="{4A98E92E-CC6F-462D-BED6-CCF62B20278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5" name="Line 45">
          <a:extLst>
            <a:ext uri="{FF2B5EF4-FFF2-40B4-BE49-F238E27FC236}">
              <a16:creationId xmlns:a16="http://schemas.microsoft.com/office/drawing/2014/main" id="{08D59EE4-55B6-4560-8553-1FA998B41D5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6" name="Line 46">
          <a:extLst>
            <a:ext uri="{FF2B5EF4-FFF2-40B4-BE49-F238E27FC236}">
              <a16:creationId xmlns:a16="http://schemas.microsoft.com/office/drawing/2014/main" id="{51C85AF3-80D8-4F1E-ABD0-83C54C70CD6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7" name="Line 47">
          <a:extLst>
            <a:ext uri="{FF2B5EF4-FFF2-40B4-BE49-F238E27FC236}">
              <a16:creationId xmlns:a16="http://schemas.microsoft.com/office/drawing/2014/main" id="{D15CE542-FB5B-4E0B-96C1-615904C100F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8" name="Line 48">
          <a:extLst>
            <a:ext uri="{FF2B5EF4-FFF2-40B4-BE49-F238E27FC236}">
              <a16:creationId xmlns:a16="http://schemas.microsoft.com/office/drawing/2014/main" id="{2399B822-9F82-43C8-844E-EB63BF7038D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9" name="Line 49">
          <a:extLst>
            <a:ext uri="{FF2B5EF4-FFF2-40B4-BE49-F238E27FC236}">
              <a16:creationId xmlns:a16="http://schemas.microsoft.com/office/drawing/2014/main" id="{1A06D872-4AF9-4EB2-99ED-50F00BDBE8B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90" name="Line 50">
          <a:extLst>
            <a:ext uri="{FF2B5EF4-FFF2-40B4-BE49-F238E27FC236}">
              <a16:creationId xmlns:a16="http://schemas.microsoft.com/office/drawing/2014/main" id="{95518336-A8C7-4033-B271-853BEAB2623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19</xdr:col>
      <xdr:colOff>0</xdr:colOff>
      <xdr:row>5</xdr:row>
      <xdr:rowOff>0</xdr:rowOff>
    </xdr:from>
    <xdr:to>
      <xdr:col>19</xdr:col>
      <xdr:colOff>0</xdr:colOff>
      <xdr:row>5</xdr:row>
      <xdr:rowOff>0</xdr:rowOff>
    </xdr:to>
    <xdr:sp macro="" textlink="">
      <xdr:nvSpPr>
        <xdr:cNvPr id="2" name="Line 1">
          <a:extLst>
            <a:ext uri="{FF2B5EF4-FFF2-40B4-BE49-F238E27FC236}">
              <a16:creationId xmlns:a16="http://schemas.microsoft.com/office/drawing/2014/main" id="{A6B919B7-1770-41BD-ABFC-0D6BB758152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 name="Line 2">
          <a:extLst>
            <a:ext uri="{FF2B5EF4-FFF2-40B4-BE49-F238E27FC236}">
              <a16:creationId xmlns:a16="http://schemas.microsoft.com/office/drawing/2014/main" id="{B9653F0D-70CD-44D2-90EA-009C6941E11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211</xdr:col>
      <xdr:colOff>0</xdr:colOff>
      <xdr:row>5</xdr:row>
      <xdr:rowOff>0</xdr:rowOff>
    </xdr:from>
    <xdr:to>
      <xdr:col>211</xdr:col>
      <xdr:colOff>0</xdr:colOff>
      <xdr:row>5</xdr:row>
      <xdr:rowOff>0</xdr:rowOff>
    </xdr:to>
    <xdr:sp macro="" textlink="">
      <xdr:nvSpPr>
        <xdr:cNvPr id="4" name="Line 4">
          <a:extLst>
            <a:ext uri="{FF2B5EF4-FFF2-40B4-BE49-F238E27FC236}">
              <a16:creationId xmlns:a16="http://schemas.microsoft.com/office/drawing/2014/main" id="{FB3FFB50-2DD6-4D6D-B03C-93E28D05590F}"/>
            </a:ext>
          </a:extLst>
        </xdr:cNvPr>
        <xdr:cNvSpPr>
          <a:spLocks noChangeShapeType="1"/>
        </xdr:cNvSpPr>
      </xdr:nvSpPr>
      <xdr:spPr bwMode="auto">
        <a:xfrm flipH="1">
          <a:off x="93640275" y="15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 name="Line 5">
          <a:extLst>
            <a:ext uri="{FF2B5EF4-FFF2-40B4-BE49-F238E27FC236}">
              <a16:creationId xmlns:a16="http://schemas.microsoft.com/office/drawing/2014/main" id="{B686CB65-D3FA-4578-87EA-27817487350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6" name="Line 6">
          <a:extLst>
            <a:ext uri="{FF2B5EF4-FFF2-40B4-BE49-F238E27FC236}">
              <a16:creationId xmlns:a16="http://schemas.microsoft.com/office/drawing/2014/main" id="{603C06BC-0581-4C40-B75E-1561B8F51C9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7" name="Line 7">
          <a:extLst>
            <a:ext uri="{FF2B5EF4-FFF2-40B4-BE49-F238E27FC236}">
              <a16:creationId xmlns:a16="http://schemas.microsoft.com/office/drawing/2014/main" id="{4DF7AE84-2D30-4924-8193-F674A4242BA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8" name="Line 8">
          <a:extLst>
            <a:ext uri="{FF2B5EF4-FFF2-40B4-BE49-F238E27FC236}">
              <a16:creationId xmlns:a16="http://schemas.microsoft.com/office/drawing/2014/main" id="{85C4ED77-4E3C-42A6-8E11-B06EC746BA2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9" name="Line 9">
          <a:extLst>
            <a:ext uri="{FF2B5EF4-FFF2-40B4-BE49-F238E27FC236}">
              <a16:creationId xmlns:a16="http://schemas.microsoft.com/office/drawing/2014/main" id="{7CD99D7C-7B20-44ED-838A-03D1C2BD0F9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0" name="Line 10">
          <a:extLst>
            <a:ext uri="{FF2B5EF4-FFF2-40B4-BE49-F238E27FC236}">
              <a16:creationId xmlns:a16="http://schemas.microsoft.com/office/drawing/2014/main" id="{86147D5E-FB81-4DBE-BC7A-0C29FFA0C36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1" name="Line 11">
          <a:extLst>
            <a:ext uri="{FF2B5EF4-FFF2-40B4-BE49-F238E27FC236}">
              <a16:creationId xmlns:a16="http://schemas.microsoft.com/office/drawing/2014/main" id="{3FB294B6-B900-40F9-8D9F-DC426E40C3A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2" name="Line 12">
          <a:extLst>
            <a:ext uri="{FF2B5EF4-FFF2-40B4-BE49-F238E27FC236}">
              <a16:creationId xmlns:a16="http://schemas.microsoft.com/office/drawing/2014/main" id="{55D78FD6-FF59-46FC-ADB0-0166683B7AD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3" name="Line 13">
          <a:extLst>
            <a:ext uri="{FF2B5EF4-FFF2-40B4-BE49-F238E27FC236}">
              <a16:creationId xmlns:a16="http://schemas.microsoft.com/office/drawing/2014/main" id="{8ED78970-C4EC-4F90-85E3-1E4006DAC27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4" name="Line 14">
          <a:extLst>
            <a:ext uri="{FF2B5EF4-FFF2-40B4-BE49-F238E27FC236}">
              <a16:creationId xmlns:a16="http://schemas.microsoft.com/office/drawing/2014/main" id="{70136E40-2768-418B-855D-C5469FD8E3D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5" name="Line 15">
          <a:extLst>
            <a:ext uri="{FF2B5EF4-FFF2-40B4-BE49-F238E27FC236}">
              <a16:creationId xmlns:a16="http://schemas.microsoft.com/office/drawing/2014/main" id="{64CE36C0-EEB8-46B3-8C81-27450BF31DC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6" name="Line 16">
          <a:extLst>
            <a:ext uri="{FF2B5EF4-FFF2-40B4-BE49-F238E27FC236}">
              <a16:creationId xmlns:a16="http://schemas.microsoft.com/office/drawing/2014/main" id="{FC5AD5D5-19F7-49AD-B7FA-30B0C864BDF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7" name="Line 17">
          <a:extLst>
            <a:ext uri="{FF2B5EF4-FFF2-40B4-BE49-F238E27FC236}">
              <a16:creationId xmlns:a16="http://schemas.microsoft.com/office/drawing/2014/main" id="{0A002C59-3EC8-4B34-800A-28223A3BA19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8" name="Line 18">
          <a:extLst>
            <a:ext uri="{FF2B5EF4-FFF2-40B4-BE49-F238E27FC236}">
              <a16:creationId xmlns:a16="http://schemas.microsoft.com/office/drawing/2014/main" id="{CFA4FB0F-FBF8-46A7-9826-C96C19A8120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9" name="Line 19">
          <a:extLst>
            <a:ext uri="{FF2B5EF4-FFF2-40B4-BE49-F238E27FC236}">
              <a16:creationId xmlns:a16="http://schemas.microsoft.com/office/drawing/2014/main" id="{57437FAF-4F7F-4192-9AEA-E81E786E0DB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0" name="Line 20">
          <a:extLst>
            <a:ext uri="{FF2B5EF4-FFF2-40B4-BE49-F238E27FC236}">
              <a16:creationId xmlns:a16="http://schemas.microsoft.com/office/drawing/2014/main" id="{9C5FA215-5ED6-4482-A81F-6CA592758F8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1" name="Line 21">
          <a:extLst>
            <a:ext uri="{FF2B5EF4-FFF2-40B4-BE49-F238E27FC236}">
              <a16:creationId xmlns:a16="http://schemas.microsoft.com/office/drawing/2014/main" id="{17AC5C66-F000-43BD-9807-1D831863F3E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2" name="Line 22">
          <a:extLst>
            <a:ext uri="{FF2B5EF4-FFF2-40B4-BE49-F238E27FC236}">
              <a16:creationId xmlns:a16="http://schemas.microsoft.com/office/drawing/2014/main" id="{11FED289-36E1-45B6-BAE0-A6D3A51245F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3" name="Line 23">
          <a:extLst>
            <a:ext uri="{FF2B5EF4-FFF2-40B4-BE49-F238E27FC236}">
              <a16:creationId xmlns:a16="http://schemas.microsoft.com/office/drawing/2014/main" id="{CE7B4D11-EFE9-483E-A37D-592A66BA269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4" name="Line 24">
          <a:extLst>
            <a:ext uri="{FF2B5EF4-FFF2-40B4-BE49-F238E27FC236}">
              <a16:creationId xmlns:a16="http://schemas.microsoft.com/office/drawing/2014/main" id="{B6285AC7-728B-4659-A4BE-AC76BBCBEE4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5" name="Line 25">
          <a:extLst>
            <a:ext uri="{FF2B5EF4-FFF2-40B4-BE49-F238E27FC236}">
              <a16:creationId xmlns:a16="http://schemas.microsoft.com/office/drawing/2014/main" id="{AD5D61DE-F20F-48FA-A7CB-0F50F580778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6" name="Line 26">
          <a:extLst>
            <a:ext uri="{FF2B5EF4-FFF2-40B4-BE49-F238E27FC236}">
              <a16:creationId xmlns:a16="http://schemas.microsoft.com/office/drawing/2014/main" id="{E74EC30B-2E2C-4FED-90BE-97BA229F161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7" name="Line 27">
          <a:extLst>
            <a:ext uri="{FF2B5EF4-FFF2-40B4-BE49-F238E27FC236}">
              <a16:creationId xmlns:a16="http://schemas.microsoft.com/office/drawing/2014/main" id="{93EFCC22-A179-4E6E-B056-25CC2A3F5B4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8" name="Line 28">
          <a:extLst>
            <a:ext uri="{FF2B5EF4-FFF2-40B4-BE49-F238E27FC236}">
              <a16:creationId xmlns:a16="http://schemas.microsoft.com/office/drawing/2014/main" id="{761C4DF9-BFE7-4FF8-9198-3F9085F9556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9" name="Line 29">
          <a:extLst>
            <a:ext uri="{FF2B5EF4-FFF2-40B4-BE49-F238E27FC236}">
              <a16:creationId xmlns:a16="http://schemas.microsoft.com/office/drawing/2014/main" id="{57916065-6316-4A09-90C8-A400B318CD6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0" name="Line 30">
          <a:extLst>
            <a:ext uri="{FF2B5EF4-FFF2-40B4-BE49-F238E27FC236}">
              <a16:creationId xmlns:a16="http://schemas.microsoft.com/office/drawing/2014/main" id="{8EEFD82A-9425-4ABB-986B-4C3714B8E3F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1" name="Line 31">
          <a:extLst>
            <a:ext uri="{FF2B5EF4-FFF2-40B4-BE49-F238E27FC236}">
              <a16:creationId xmlns:a16="http://schemas.microsoft.com/office/drawing/2014/main" id="{E4E4A259-AD0B-4984-859B-834DC428281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2" name="Line 32">
          <a:extLst>
            <a:ext uri="{FF2B5EF4-FFF2-40B4-BE49-F238E27FC236}">
              <a16:creationId xmlns:a16="http://schemas.microsoft.com/office/drawing/2014/main" id="{961644B4-FB44-481F-88BE-64BF9B39335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3" name="Line 33">
          <a:extLst>
            <a:ext uri="{FF2B5EF4-FFF2-40B4-BE49-F238E27FC236}">
              <a16:creationId xmlns:a16="http://schemas.microsoft.com/office/drawing/2014/main" id="{60B164F5-2727-46BA-9B75-0F0B11513AC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4" name="Line 34">
          <a:extLst>
            <a:ext uri="{FF2B5EF4-FFF2-40B4-BE49-F238E27FC236}">
              <a16:creationId xmlns:a16="http://schemas.microsoft.com/office/drawing/2014/main" id="{B3A3042F-FB20-4454-BEB3-702563DF45A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5" name="Line 35">
          <a:extLst>
            <a:ext uri="{FF2B5EF4-FFF2-40B4-BE49-F238E27FC236}">
              <a16:creationId xmlns:a16="http://schemas.microsoft.com/office/drawing/2014/main" id="{D1EB9971-C9CF-4094-AFB3-27AF1C24AAF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6" name="Line 36">
          <a:extLst>
            <a:ext uri="{FF2B5EF4-FFF2-40B4-BE49-F238E27FC236}">
              <a16:creationId xmlns:a16="http://schemas.microsoft.com/office/drawing/2014/main" id="{796CEC77-9EDC-49DE-98F8-9608C30D324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7" name="Line 37">
          <a:extLst>
            <a:ext uri="{FF2B5EF4-FFF2-40B4-BE49-F238E27FC236}">
              <a16:creationId xmlns:a16="http://schemas.microsoft.com/office/drawing/2014/main" id="{0562BC7B-ECF6-4CFC-BE96-E1D1B8A5009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8" name="Line 38">
          <a:extLst>
            <a:ext uri="{FF2B5EF4-FFF2-40B4-BE49-F238E27FC236}">
              <a16:creationId xmlns:a16="http://schemas.microsoft.com/office/drawing/2014/main" id="{6BB23F39-BEC8-4D1F-8C4B-F7982651A03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9" name="Line 39">
          <a:extLst>
            <a:ext uri="{FF2B5EF4-FFF2-40B4-BE49-F238E27FC236}">
              <a16:creationId xmlns:a16="http://schemas.microsoft.com/office/drawing/2014/main" id="{6F8C93F8-7853-4A4F-BD59-938B597DCA0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0" name="Line 40">
          <a:extLst>
            <a:ext uri="{FF2B5EF4-FFF2-40B4-BE49-F238E27FC236}">
              <a16:creationId xmlns:a16="http://schemas.microsoft.com/office/drawing/2014/main" id="{03F05621-474A-4057-BFC2-BEB92C2838A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1" name="Line 41">
          <a:extLst>
            <a:ext uri="{FF2B5EF4-FFF2-40B4-BE49-F238E27FC236}">
              <a16:creationId xmlns:a16="http://schemas.microsoft.com/office/drawing/2014/main" id="{2CFAF888-7C54-4508-B4B7-C9DA6085E1F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2" name="Line 42">
          <a:extLst>
            <a:ext uri="{FF2B5EF4-FFF2-40B4-BE49-F238E27FC236}">
              <a16:creationId xmlns:a16="http://schemas.microsoft.com/office/drawing/2014/main" id="{77207A56-C0AC-4809-8BCC-8344063E105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3" name="Line 43">
          <a:extLst>
            <a:ext uri="{FF2B5EF4-FFF2-40B4-BE49-F238E27FC236}">
              <a16:creationId xmlns:a16="http://schemas.microsoft.com/office/drawing/2014/main" id="{D3A7EC27-4AD5-46EF-B274-388BDA41084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4" name="Line 44">
          <a:extLst>
            <a:ext uri="{FF2B5EF4-FFF2-40B4-BE49-F238E27FC236}">
              <a16:creationId xmlns:a16="http://schemas.microsoft.com/office/drawing/2014/main" id="{E3FC4F3C-DF4F-4FCC-B45A-43F978C2FB2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5" name="Line 45">
          <a:extLst>
            <a:ext uri="{FF2B5EF4-FFF2-40B4-BE49-F238E27FC236}">
              <a16:creationId xmlns:a16="http://schemas.microsoft.com/office/drawing/2014/main" id="{D1725691-AAD3-478A-A6DA-7A7CBC8FB41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6" name="Line 46">
          <a:extLst>
            <a:ext uri="{FF2B5EF4-FFF2-40B4-BE49-F238E27FC236}">
              <a16:creationId xmlns:a16="http://schemas.microsoft.com/office/drawing/2014/main" id="{B0A17445-9449-4877-8177-6557EEB5D4D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7" name="Line 47">
          <a:extLst>
            <a:ext uri="{FF2B5EF4-FFF2-40B4-BE49-F238E27FC236}">
              <a16:creationId xmlns:a16="http://schemas.microsoft.com/office/drawing/2014/main" id="{CD22CAD5-B58C-4C71-B989-0DB1E0E93BA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8" name="Line 48">
          <a:extLst>
            <a:ext uri="{FF2B5EF4-FFF2-40B4-BE49-F238E27FC236}">
              <a16:creationId xmlns:a16="http://schemas.microsoft.com/office/drawing/2014/main" id="{3A4CAA39-1F71-4942-B7F5-F1D5521FC03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9" name="Line 49">
          <a:extLst>
            <a:ext uri="{FF2B5EF4-FFF2-40B4-BE49-F238E27FC236}">
              <a16:creationId xmlns:a16="http://schemas.microsoft.com/office/drawing/2014/main" id="{2C102FE0-2667-4442-BA01-56E6494EA93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0" name="Line 50">
          <a:extLst>
            <a:ext uri="{FF2B5EF4-FFF2-40B4-BE49-F238E27FC236}">
              <a16:creationId xmlns:a16="http://schemas.microsoft.com/office/drawing/2014/main" id="{378E3474-A88A-4712-83D3-BCC846A6289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1" name="Line 1">
          <a:extLst>
            <a:ext uri="{FF2B5EF4-FFF2-40B4-BE49-F238E27FC236}">
              <a16:creationId xmlns:a16="http://schemas.microsoft.com/office/drawing/2014/main" id="{D67D9C4F-DBAB-46C6-B33F-47F2D381317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2" name="Line 2">
          <a:extLst>
            <a:ext uri="{FF2B5EF4-FFF2-40B4-BE49-F238E27FC236}">
              <a16:creationId xmlns:a16="http://schemas.microsoft.com/office/drawing/2014/main" id="{2C05A189-0BDE-4720-86AD-04B9A7367EE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3" name="Line 5">
          <a:extLst>
            <a:ext uri="{FF2B5EF4-FFF2-40B4-BE49-F238E27FC236}">
              <a16:creationId xmlns:a16="http://schemas.microsoft.com/office/drawing/2014/main" id="{65AEA565-E9EA-4DB3-A709-7D5FB2A9F19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4" name="Line 6">
          <a:extLst>
            <a:ext uri="{FF2B5EF4-FFF2-40B4-BE49-F238E27FC236}">
              <a16:creationId xmlns:a16="http://schemas.microsoft.com/office/drawing/2014/main" id="{ED531FB6-2383-40BA-9C74-A8586A01FBE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5" name="Line 7">
          <a:extLst>
            <a:ext uri="{FF2B5EF4-FFF2-40B4-BE49-F238E27FC236}">
              <a16:creationId xmlns:a16="http://schemas.microsoft.com/office/drawing/2014/main" id="{50E0B4C2-3E1C-4868-A4EA-1DD6B6C0291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6" name="Line 8">
          <a:extLst>
            <a:ext uri="{FF2B5EF4-FFF2-40B4-BE49-F238E27FC236}">
              <a16:creationId xmlns:a16="http://schemas.microsoft.com/office/drawing/2014/main" id="{075C84C2-65EF-444D-8995-8D5FEBB689A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7" name="Line 9">
          <a:extLst>
            <a:ext uri="{FF2B5EF4-FFF2-40B4-BE49-F238E27FC236}">
              <a16:creationId xmlns:a16="http://schemas.microsoft.com/office/drawing/2014/main" id="{92288B6C-01F1-4243-B8E6-35D7E43274B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8" name="Line 10">
          <a:extLst>
            <a:ext uri="{FF2B5EF4-FFF2-40B4-BE49-F238E27FC236}">
              <a16:creationId xmlns:a16="http://schemas.microsoft.com/office/drawing/2014/main" id="{84707C42-5859-4858-91A4-0CED7455F18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9" name="Line 11">
          <a:extLst>
            <a:ext uri="{FF2B5EF4-FFF2-40B4-BE49-F238E27FC236}">
              <a16:creationId xmlns:a16="http://schemas.microsoft.com/office/drawing/2014/main" id="{BB231344-10BE-422D-98A4-BEE2EDA552D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0" name="Line 12">
          <a:extLst>
            <a:ext uri="{FF2B5EF4-FFF2-40B4-BE49-F238E27FC236}">
              <a16:creationId xmlns:a16="http://schemas.microsoft.com/office/drawing/2014/main" id="{C11A5AA4-480E-4C75-A195-4498E27747A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1" name="Line 13">
          <a:extLst>
            <a:ext uri="{FF2B5EF4-FFF2-40B4-BE49-F238E27FC236}">
              <a16:creationId xmlns:a16="http://schemas.microsoft.com/office/drawing/2014/main" id="{C296003A-FF31-482D-8F04-3ADEA4DD08D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2" name="Line 14">
          <a:extLst>
            <a:ext uri="{FF2B5EF4-FFF2-40B4-BE49-F238E27FC236}">
              <a16:creationId xmlns:a16="http://schemas.microsoft.com/office/drawing/2014/main" id="{68FC2B4C-F5EF-4709-9E94-01DFA6626CA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3" name="Line 15">
          <a:extLst>
            <a:ext uri="{FF2B5EF4-FFF2-40B4-BE49-F238E27FC236}">
              <a16:creationId xmlns:a16="http://schemas.microsoft.com/office/drawing/2014/main" id="{510DF350-E7FA-4718-9727-9DE9302D132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4" name="Line 16">
          <a:extLst>
            <a:ext uri="{FF2B5EF4-FFF2-40B4-BE49-F238E27FC236}">
              <a16:creationId xmlns:a16="http://schemas.microsoft.com/office/drawing/2014/main" id="{1E9E42FF-219B-4561-878A-9E53BFE2D67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5" name="Line 17">
          <a:extLst>
            <a:ext uri="{FF2B5EF4-FFF2-40B4-BE49-F238E27FC236}">
              <a16:creationId xmlns:a16="http://schemas.microsoft.com/office/drawing/2014/main" id="{E94433C6-A5D1-41B1-A19D-E1CC29A7DE7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6" name="Line 18">
          <a:extLst>
            <a:ext uri="{FF2B5EF4-FFF2-40B4-BE49-F238E27FC236}">
              <a16:creationId xmlns:a16="http://schemas.microsoft.com/office/drawing/2014/main" id="{2E8EDAC8-13A8-43C4-A093-41D2C6000CB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7" name="Line 19">
          <a:extLst>
            <a:ext uri="{FF2B5EF4-FFF2-40B4-BE49-F238E27FC236}">
              <a16:creationId xmlns:a16="http://schemas.microsoft.com/office/drawing/2014/main" id="{4FDECDA4-B57F-4D9E-B492-E783E7DB07B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8" name="Line 20">
          <a:extLst>
            <a:ext uri="{FF2B5EF4-FFF2-40B4-BE49-F238E27FC236}">
              <a16:creationId xmlns:a16="http://schemas.microsoft.com/office/drawing/2014/main" id="{DBFA5418-F8AF-443F-9E9D-10FE3CDB26C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9" name="Line 21">
          <a:extLst>
            <a:ext uri="{FF2B5EF4-FFF2-40B4-BE49-F238E27FC236}">
              <a16:creationId xmlns:a16="http://schemas.microsoft.com/office/drawing/2014/main" id="{0C2237C2-70E1-40B6-AE08-3589684021B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0" name="Line 22">
          <a:extLst>
            <a:ext uri="{FF2B5EF4-FFF2-40B4-BE49-F238E27FC236}">
              <a16:creationId xmlns:a16="http://schemas.microsoft.com/office/drawing/2014/main" id="{5A19B9F6-0D04-476A-85FE-F9AF11CF627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1" name="Line 23">
          <a:extLst>
            <a:ext uri="{FF2B5EF4-FFF2-40B4-BE49-F238E27FC236}">
              <a16:creationId xmlns:a16="http://schemas.microsoft.com/office/drawing/2014/main" id="{4F22F79E-EFB3-48C8-BBDC-97E821F37C3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2" name="Line 24">
          <a:extLst>
            <a:ext uri="{FF2B5EF4-FFF2-40B4-BE49-F238E27FC236}">
              <a16:creationId xmlns:a16="http://schemas.microsoft.com/office/drawing/2014/main" id="{D36984F0-469A-4658-94F5-89210436DB2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3" name="Line 25">
          <a:extLst>
            <a:ext uri="{FF2B5EF4-FFF2-40B4-BE49-F238E27FC236}">
              <a16:creationId xmlns:a16="http://schemas.microsoft.com/office/drawing/2014/main" id="{9815C816-6819-4926-8956-A7045B9163C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4" name="Line 26">
          <a:extLst>
            <a:ext uri="{FF2B5EF4-FFF2-40B4-BE49-F238E27FC236}">
              <a16:creationId xmlns:a16="http://schemas.microsoft.com/office/drawing/2014/main" id="{C3E357E1-243C-4363-BC20-FF4AF5D21FE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5" name="Line 27">
          <a:extLst>
            <a:ext uri="{FF2B5EF4-FFF2-40B4-BE49-F238E27FC236}">
              <a16:creationId xmlns:a16="http://schemas.microsoft.com/office/drawing/2014/main" id="{DAB519B4-12DE-4BF7-A0F5-F44C749FB9B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6" name="Line 28">
          <a:extLst>
            <a:ext uri="{FF2B5EF4-FFF2-40B4-BE49-F238E27FC236}">
              <a16:creationId xmlns:a16="http://schemas.microsoft.com/office/drawing/2014/main" id="{FDB1F18A-FA0D-4491-A4A3-7BEE84552FF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7" name="Line 29">
          <a:extLst>
            <a:ext uri="{FF2B5EF4-FFF2-40B4-BE49-F238E27FC236}">
              <a16:creationId xmlns:a16="http://schemas.microsoft.com/office/drawing/2014/main" id="{BC27122C-4746-4475-A56A-2EC30108694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8" name="Line 30">
          <a:extLst>
            <a:ext uri="{FF2B5EF4-FFF2-40B4-BE49-F238E27FC236}">
              <a16:creationId xmlns:a16="http://schemas.microsoft.com/office/drawing/2014/main" id="{F8D8DDE2-3E12-460B-8F43-3376EC1CAB4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9" name="Line 31">
          <a:extLst>
            <a:ext uri="{FF2B5EF4-FFF2-40B4-BE49-F238E27FC236}">
              <a16:creationId xmlns:a16="http://schemas.microsoft.com/office/drawing/2014/main" id="{CD3EFFF6-40A5-4C9E-9067-7C4E686F080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0" name="Line 32">
          <a:extLst>
            <a:ext uri="{FF2B5EF4-FFF2-40B4-BE49-F238E27FC236}">
              <a16:creationId xmlns:a16="http://schemas.microsoft.com/office/drawing/2014/main" id="{062FF7F7-53F3-43FE-8BA0-3177CD7296C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1" name="Line 33">
          <a:extLst>
            <a:ext uri="{FF2B5EF4-FFF2-40B4-BE49-F238E27FC236}">
              <a16:creationId xmlns:a16="http://schemas.microsoft.com/office/drawing/2014/main" id="{354B9333-24B2-403F-A123-BFFF6374DAD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2" name="Line 34">
          <a:extLst>
            <a:ext uri="{FF2B5EF4-FFF2-40B4-BE49-F238E27FC236}">
              <a16:creationId xmlns:a16="http://schemas.microsoft.com/office/drawing/2014/main" id="{6D796EF5-62E1-40ED-B338-413B088B4D4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3" name="Line 35">
          <a:extLst>
            <a:ext uri="{FF2B5EF4-FFF2-40B4-BE49-F238E27FC236}">
              <a16:creationId xmlns:a16="http://schemas.microsoft.com/office/drawing/2014/main" id="{794F6253-9595-452A-B5E7-AE0E3FF1C0D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4" name="Line 36">
          <a:extLst>
            <a:ext uri="{FF2B5EF4-FFF2-40B4-BE49-F238E27FC236}">
              <a16:creationId xmlns:a16="http://schemas.microsoft.com/office/drawing/2014/main" id="{E88C5893-000D-41F6-98A1-1AB07C8D827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5" name="Line 37">
          <a:extLst>
            <a:ext uri="{FF2B5EF4-FFF2-40B4-BE49-F238E27FC236}">
              <a16:creationId xmlns:a16="http://schemas.microsoft.com/office/drawing/2014/main" id="{DFBF70A0-6411-4BF4-B912-D8096D6AEC4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6" name="Line 38">
          <a:extLst>
            <a:ext uri="{FF2B5EF4-FFF2-40B4-BE49-F238E27FC236}">
              <a16:creationId xmlns:a16="http://schemas.microsoft.com/office/drawing/2014/main" id="{FFCCEE02-8B25-438B-B0C2-BA9E69D88DD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7" name="Line 39">
          <a:extLst>
            <a:ext uri="{FF2B5EF4-FFF2-40B4-BE49-F238E27FC236}">
              <a16:creationId xmlns:a16="http://schemas.microsoft.com/office/drawing/2014/main" id="{FDDD62BD-E66E-44B0-AB32-E9B0E39BEC5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8" name="Line 40">
          <a:extLst>
            <a:ext uri="{FF2B5EF4-FFF2-40B4-BE49-F238E27FC236}">
              <a16:creationId xmlns:a16="http://schemas.microsoft.com/office/drawing/2014/main" id="{818F0705-CEF9-4D21-949C-95C015F3890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9" name="Line 41">
          <a:extLst>
            <a:ext uri="{FF2B5EF4-FFF2-40B4-BE49-F238E27FC236}">
              <a16:creationId xmlns:a16="http://schemas.microsoft.com/office/drawing/2014/main" id="{2646743E-1199-487D-AF1D-C33A865AF5A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0" name="Line 42">
          <a:extLst>
            <a:ext uri="{FF2B5EF4-FFF2-40B4-BE49-F238E27FC236}">
              <a16:creationId xmlns:a16="http://schemas.microsoft.com/office/drawing/2014/main" id="{FD1105C9-0AB6-4766-86C4-BABBC69E0EE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1" name="Line 43">
          <a:extLst>
            <a:ext uri="{FF2B5EF4-FFF2-40B4-BE49-F238E27FC236}">
              <a16:creationId xmlns:a16="http://schemas.microsoft.com/office/drawing/2014/main" id="{49BC8C1F-E4DD-4207-BB70-910B40FE955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2" name="Line 44">
          <a:extLst>
            <a:ext uri="{FF2B5EF4-FFF2-40B4-BE49-F238E27FC236}">
              <a16:creationId xmlns:a16="http://schemas.microsoft.com/office/drawing/2014/main" id="{08E11FEF-E101-4F04-ADF5-34CB6AF3D94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3" name="Line 45">
          <a:extLst>
            <a:ext uri="{FF2B5EF4-FFF2-40B4-BE49-F238E27FC236}">
              <a16:creationId xmlns:a16="http://schemas.microsoft.com/office/drawing/2014/main" id="{3F8302FF-4492-4F2E-A879-A59D70752E7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4" name="Line 46">
          <a:extLst>
            <a:ext uri="{FF2B5EF4-FFF2-40B4-BE49-F238E27FC236}">
              <a16:creationId xmlns:a16="http://schemas.microsoft.com/office/drawing/2014/main" id="{1C2F5130-FA07-44D6-8624-29145B7FCC8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5" name="Line 47">
          <a:extLst>
            <a:ext uri="{FF2B5EF4-FFF2-40B4-BE49-F238E27FC236}">
              <a16:creationId xmlns:a16="http://schemas.microsoft.com/office/drawing/2014/main" id="{A544A82A-1FC5-478B-BAF1-59B3E71685E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6" name="Line 48">
          <a:extLst>
            <a:ext uri="{FF2B5EF4-FFF2-40B4-BE49-F238E27FC236}">
              <a16:creationId xmlns:a16="http://schemas.microsoft.com/office/drawing/2014/main" id="{EC071575-7440-479D-8059-B6C806BCE30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7" name="Line 49">
          <a:extLst>
            <a:ext uri="{FF2B5EF4-FFF2-40B4-BE49-F238E27FC236}">
              <a16:creationId xmlns:a16="http://schemas.microsoft.com/office/drawing/2014/main" id="{68609632-830C-4509-92FA-265E3220F54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8" name="Line 50">
          <a:extLst>
            <a:ext uri="{FF2B5EF4-FFF2-40B4-BE49-F238E27FC236}">
              <a16:creationId xmlns:a16="http://schemas.microsoft.com/office/drawing/2014/main" id="{9E5681CF-9B76-4CE1-8603-11737425B89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99" name="Line 1">
          <a:extLst>
            <a:ext uri="{FF2B5EF4-FFF2-40B4-BE49-F238E27FC236}">
              <a16:creationId xmlns:a16="http://schemas.microsoft.com/office/drawing/2014/main" id="{C51F1B8A-C6CE-4B33-950D-E8F92C8FFDF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0" name="Line 2">
          <a:extLst>
            <a:ext uri="{FF2B5EF4-FFF2-40B4-BE49-F238E27FC236}">
              <a16:creationId xmlns:a16="http://schemas.microsoft.com/office/drawing/2014/main" id="{66FEBE91-31D4-4BA8-BF7D-66F8E7B4C63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1" name="Line 5">
          <a:extLst>
            <a:ext uri="{FF2B5EF4-FFF2-40B4-BE49-F238E27FC236}">
              <a16:creationId xmlns:a16="http://schemas.microsoft.com/office/drawing/2014/main" id="{8EF42563-D5CD-49DF-9DB8-274D5110038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2" name="Line 6">
          <a:extLst>
            <a:ext uri="{FF2B5EF4-FFF2-40B4-BE49-F238E27FC236}">
              <a16:creationId xmlns:a16="http://schemas.microsoft.com/office/drawing/2014/main" id="{C873CF86-EBAF-4FAA-8686-22C4604B5B3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3" name="Line 7">
          <a:extLst>
            <a:ext uri="{FF2B5EF4-FFF2-40B4-BE49-F238E27FC236}">
              <a16:creationId xmlns:a16="http://schemas.microsoft.com/office/drawing/2014/main" id="{751AE460-5A53-4221-872F-AE59C3DCD00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4" name="Line 8">
          <a:extLst>
            <a:ext uri="{FF2B5EF4-FFF2-40B4-BE49-F238E27FC236}">
              <a16:creationId xmlns:a16="http://schemas.microsoft.com/office/drawing/2014/main" id="{6799931C-D454-4F3A-BD01-BD6A0D04CD5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5" name="Line 9">
          <a:extLst>
            <a:ext uri="{FF2B5EF4-FFF2-40B4-BE49-F238E27FC236}">
              <a16:creationId xmlns:a16="http://schemas.microsoft.com/office/drawing/2014/main" id="{8EBDF777-BEA4-4FB7-A6A2-82DB30E82FC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6" name="Line 10">
          <a:extLst>
            <a:ext uri="{FF2B5EF4-FFF2-40B4-BE49-F238E27FC236}">
              <a16:creationId xmlns:a16="http://schemas.microsoft.com/office/drawing/2014/main" id="{C3839D25-CAD1-460D-8E2B-323DB6F2702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7" name="Line 11">
          <a:extLst>
            <a:ext uri="{FF2B5EF4-FFF2-40B4-BE49-F238E27FC236}">
              <a16:creationId xmlns:a16="http://schemas.microsoft.com/office/drawing/2014/main" id="{304D0AE5-B48B-4194-B7DC-C29D3A909AB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8" name="Line 12">
          <a:extLst>
            <a:ext uri="{FF2B5EF4-FFF2-40B4-BE49-F238E27FC236}">
              <a16:creationId xmlns:a16="http://schemas.microsoft.com/office/drawing/2014/main" id="{2B831262-F8F7-4B03-B73A-5F08592BB8A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9" name="Line 13">
          <a:extLst>
            <a:ext uri="{FF2B5EF4-FFF2-40B4-BE49-F238E27FC236}">
              <a16:creationId xmlns:a16="http://schemas.microsoft.com/office/drawing/2014/main" id="{92DC5C6C-6D79-48FB-BC8B-A11F1A75DD2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0" name="Line 14">
          <a:extLst>
            <a:ext uri="{FF2B5EF4-FFF2-40B4-BE49-F238E27FC236}">
              <a16:creationId xmlns:a16="http://schemas.microsoft.com/office/drawing/2014/main" id="{00E635B7-320E-47C3-8940-98B78E6FA65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1" name="Line 15">
          <a:extLst>
            <a:ext uri="{FF2B5EF4-FFF2-40B4-BE49-F238E27FC236}">
              <a16:creationId xmlns:a16="http://schemas.microsoft.com/office/drawing/2014/main" id="{0A68C36F-B083-436E-BDBC-03616CB112F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2" name="Line 16">
          <a:extLst>
            <a:ext uri="{FF2B5EF4-FFF2-40B4-BE49-F238E27FC236}">
              <a16:creationId xmlns:a16="http://schemas.microsoft.com/office/drawing/2014/main" id="{645DA82D-5E7D-4108-A967-05A8C136B34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3" name="Line 17">
          <a:extLst>
            <a:ext uri="{FF2B5EF4-FFF2-40B4-BE49-F238E27FC236}">
              <a16:creationId xmlns:a16="http://schemas.microsoft.com/office/drawing/2014/main" id="{79DF673E-1EBF-4537-BDBE-78B11CA6DA0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4" name="Line 18">
          <a:extLst>
            <a:ext uri="{FF2B5EF4-FFF2-40B4-BE49-F238E27FC236}">
              <a16:creationId xmlns:a16="http://schemas.microsoft.com/office/drawing/2014/main" id="{EDCF9D24-6392-4682-84C5-742C8E8155F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5" name="Line 19">
          <a:extLst>
            <a:ext uri="{FF2B5EF4-FFF2-40B4-BE49-F238E27FC236}">
              <a16:creationId xmlns:a16="http://schemas.microsoft.com/office/drawing/2014/main" id="{C3DCB880-01D7-418C-B5CA-F773628882F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6" name="Line 20">
          <a:extLst>
            <a:ext uri="{FF2B5EF4-FFF2-40B4-BE49-F238E27FC236}">
              <a16:creationId xmlns:a16="http://schemas.microsoft.com/office/drawing/2014/main" id="{38DDC70B-99AC-4B78-95D7-10206CBFD68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7" name="Line 21">
          <a:extLst>
            <a:ext uri="{FF2B5EF4-FFF2-40B4-BE49-F238E27FC236}">
              <a16:creationId xmlns:a16="http://schemas.microsoft.com/office/drawing/2014/main" id="{6D1718E1-AB15-4E85-AE8B-CF02A2FF8C5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8" name="Line 22">
          <a:extLst>
            <a:ext uri="{FF2B5EF4-FFF2-40B4-BE49-F238E27FC236}">
              <a16:creationId xmlns:a16="http://schemas.microsoft.com/office/drawing/2014/main" id="{C775E0D1-B43D-4274-8575-961F831D7BE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9" name="Line 23">
          <a:extLst>
            <a:ext uri="{FF2B5EF4-FFF2-40B4-BE49-F238E27FC236}">
              <a16:creationId xmlns:a16="http://schemas.microsoft.com/office/drawing/2014/main" id="{3885B39A-5390-45C2-8746-1EF61493C81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0" name="Line 24">
          <a:extLst>
            <a:ext uri="{FF2B5EF4-FFF2-40B4-BE49-F238E27FC236}">
              <a16:creationId xmlns:a16="http://schemas.microsoft.com/office/drawing/2014/main" id="{1B6D3C9F-83EF-4D94-A3A8-CF5401E515E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1" name="Line 25">
          <a:extLst>
            <a:ext uri="{FF2B5EF4-FFF2-40B4-BE49-F238E27FC236}">
              <a16:creationId xmlns:a16="http://schemas.microsoft.com/office/drawing/2014/main" id="{DE456570-EE36-4D19-84FF-113B87326D2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2" name="Line 26">
          <a:extLst>
            <a:ext uri="{FF2B5EF4-FFF2-40B4-BE49-F238E27FC236}">
              <a16:creationId xmlns:a16="http://schemas.microsoft.com/office/drawing/2014/main" id="{B234E115-828B-4BC2-AA23-7780E489F7E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3" name="Line 27">
          <a:extLst>
            <a:ext uri="{FF2B5EF4-FFF2-40B4-BE49-F238E27FC236}">
              <a16:creationId xmlns:a16="http://schemas.microsoft.com/office/drawing/2014/main" id="{DF4E227B-A8A3-480C-9D16-D640BE675A5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4" name="Line 28">
          <a:extLst>
            <a:ext uri="{FF2B5EF4-FFF2-40B4-BE49-F238E27FC236}">
              <a16:creationId xmlns:a16="http://schemas.microsoft.com/office/drawing/2014/main" id="{114A2ECE-998F-481E-9558-3D455DD5020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5" name="Line 29">
          <a:extLst>
            <a:ext uri="{FF2B5EF4-FFF2-40B4-BE49-F238E27FC236}">
              <a16:creationId xmlns:a16="http://schemas.microsoft.com/office/drawing/2014/main" id="{71C6F8AE-3BCB-40F2-B52A-26B2ABE7B33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6" name="Line 30">
          <a:extLst>
            <a:ext uri="{FF2B5EF4-FFF2-40B4-BE49-F238E27FC236}">
              <a16:creationId xmlns:a16="http://schemas.microsoft.com/office/drawing/2014/main" id="{77B2D938-1922-4E3F-956A-765138F0C59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7" name="Line 31">
          <a:extLst>
            <a:ext uri="{FF2B5EF4-FFF2-40B4-BE49-F238E27FC236}">
              <a16:creationId xmlns:a16="http://schemas.microsoft.com/office/drawing/2014/main" id="{82B5B623-C020-4EDC-953A-80DCFF3EADB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8" name="Line 32">
          <a:extLst>
            <a:ext uri="{FF2B5EF4-FFF2-40B4-BE49-F238E27FC236}">
              <a16:creationId xmlns:a16="http://schemas.microsoft.com/office/drawing/2014/main" id="{70956DFE-2CB2-4A90-8244-50359F2D986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9" name="Line 33">
          <a:extLst>
            <a:ext uri="{FF2B5EF4-FFF2-40B4-BE49-F238E27FC236}">
              <a16:creationId xmlns:a16="http://schemas.microsoft.com/office/drawing/2014/main" id="{022FF7B8-86A6-454D-A45F-B9072674281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0" name="Line 34">
          <a:extLst>
            <a:ext uri="{FF2B5EF4-FFF2-40B4-BE49-F238E27FC236}">
              <a16:creationId xmlns:a16="http://schemas.microsoft.com/office/drawing/2014/main" id="{F7DBE593-3D60-4EF4-A045-B7EC907BF51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1" name="Line 35">
          <a:extLst>
            <a:ext uri="{FF2B5EF4-FFF2-40B4-BE49-F238E27FC236}">
              <a16:creationId xmlns:a16="http://schemas.microsoft.com/office/drawing/2014/main" id="{537615D7-56FA-4426-97F7-DB4599C2D54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2" name="Line 36">
          <a:extLst>
            <a:ext uri="{FF2B5EF4-FFF2-40B4-BE49-F238E27FC236}">
              <a16:creationId xmlns:a16="http://schemas.microsoft.com/office/drawing/2014/main" id="{A1B021D7-A171-48F2-BBB7-5455998400E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3" name="Line 37">
          <a:extLst>
            <a:ext uri="{FF2B5EF4-FFF2-40B4-BE49-F238E27FC236}">
              <a16:creationId xmlns:a16="http://schemas.microsoft.com/office/drawing/2014/main" id="{E5D8D0D2-31E5-4D34-B4BC-151E65766E1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4" name="Line 38">
          <a:extLst>
            <a:ext uri="{FF2B5EF4-FFF2-40B4-BE49-F238E27FC236}">
              <a16:creationId xmlns:a16="http://schemas.microsoft.com/office/drawing/2014/main" id="{492049DF-8F41-4FF5-A71C-978C3355960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5" name="Line 39">
          <a:extLst>
            <a:ext uri="{FF2B5EF4-FFF2-40B4-BE49-F238E27FC236}">
              <a16:creationId xmlns:a16="http://schemas.microsoft.com/office/drawing/2014/main" id="{7A4D18F1-8CF5-4501-B447-D44F2F27DF6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6" name="Line 40">
          <a:extLst>
            <a:ext uri="{FF2B5EF4-FFF2-40B4-BE49-F238E27FC236}">
              <a16:creationId xmlns:a16="http://schemas.microsoft.com/office/drawing/2014/main" id="{D2F9BAE1-7303-4697-AF1D-7BB55E9F693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7" name="Line 41">
          <a:extLst>
            <a:ext uri="{FF2B5EF4-FFF2-40B4-BE49-F238E27FC236}">
              <a16:creationId xmlns:a16="http://schemas.microsoft.com/office/drawing/2014/main" id="{EDEACEC7-CFAC-4251-9990-FE6EF4223BC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8" name="Line 42">
          <a:extLst>
            <a:ext uri="{FF2B5EF4-FFF2-40B4-BE49-F238E27FC236}">
              <a16:creationId xmlns:a16="http://schemas.microsoft.com/office/drawing/2014/main" id="{830C2EC7-7485-4325-8139-41B64E72EC7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9" name="Line 43">
          <a:extLst>
            <a:ext uri="{FF2B5EF4-FFF2-40B4-BE49-F238E27FC236}">
              <a16:creationId xmlns:a16="http://schemas.microsoft.com/office/drawing/2014/main" id="{02AB0FF7-2242-4EDD-9B1B-99664867CFA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0" name="Line 44">
          <a:extLst>
            <a:ext uri="{FF2B5EF4-FFF2-40B4-BE49-F238E27FC236}">
              <a16:creationId xmlns:a16="http://schemas.microsoft.com/office/drawing/2014/main" id="{5CB4872E-0739-4ED8-8D33-DAD140C7350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1" name="Line 45">
          <a:extLst>
            <a:ext uri="{FF2B5EF4-FFF2-40B4-BE49-F238E27FC236}">
              <a16:creationId xmlns:a16="http://schemas.microsoft.com/office/drawing/2014/main" id="{6A588F20-1DCB-4907-AA17-9E3217382DF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2" name="Line 46">
          <a:extLst>
            <a:ext uri="{FF2B5EF4-FFF2-40B4-BE49-F238E27FC236}">
              <a16:creationId xmlns:a16="http://schemas.microsoft.com/office/drawing/2014/main" id="{4FF1A45A-9EAD-4E5B-A2FA-DE6A178EFC0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3" name="Line 47">
          <a:extLst>
            <a:ext uri="{FF2B5EF4-FFF2-40B4-BE49-F238E27FC236}">
              <a16:creationId xmlns:a16="http://schemas.microsoft.com/office/drawing/2014/main" id="{079D2088-A303-4C3E-943B-9D127CB5B9E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4" name="Line 48">
          <a:extLst>
            <a:ext uri="{FF2B5EF4-FFF2-40B4-BE49-F238E27FC236}">
              <a16:creationId xmlns:a16="http://schemas.microsoft.com/office/drawing/2014/main" id="{FA1F43A5-7A70-4BFE-A9A8-159C54BFF5A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5" name="Line 49">
          <a:extLst>
            <a:ext uri="{FF2B5EF4-FFF2-40B4-BE49-F238E27FC236}">
              <a16:creationId xmlns:a16="http://schemas.microsoft.com/office/drawing/2014/main" id="{870728ED-898C-4D70-8912-8CE0E13CC4B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6" name="Line 50">
          <a:extLst>
            <a:ext uri="{FF2B5EF4-FFF2-40B4-BE49-F238E27FC236}">
              <a16:creationId xmlns:a16="http://schemas.microsoft.com/office/drawing/2014/main" id="{CCF86ACD-7FCD-4E09-A7BE-892BBE58298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7" name="Line 1">
          <a:extLst>
            <a:ext uri="{FF2B5EF4-FFF2-40B4-BE49-F238E27FC236}">
              <a16:creationId xmlns:a16="http://schemas.microsoft.com/office/drawing/2014/main" id="{62E5475E-80E3-42BE-87A2-277FF5D65AC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8" name="Line 2">
          <a:extLst>
            <a:ext uri="{FF2B5EF4-FFF2-40B4-BE49-F238E27FC236}">
              <a16:creationId xmlns:a16="http://schemas.microsoft.com/office/drawing/2014/main" id="{8F3ADFCA-5268-4E7D-AF80-34BD2E195A7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9" name="Line 5">
          <a:extLst>
            <a:ext uri="{FF2B5EF4-FFF2-40B4-BE49-F238E27FC236}">
              <a16:creationId xmlns:a16="http://schemas.microsoft.com/office/drawing/2014/main" id="{2A3FA0C0-A175-4C42-93ED-E0CF3FF67DA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0" name="Line 6">
          <a:extLst>
            <a:ext uri="{FF2B5EF4-FFF2-40B4-BE49-F238E27FC236}">
              <a16:creationId xmlns:a16="http://schemas.microsoft.com/office/drawing/2014/main" id="{50CA94A1-202B-4C52-8A8E-F997BC0B0FF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1" name="Line 7">
          <a:extLst>
            <a:ext uri="{FF2B5EF4-FFF2-40B4-BE49-F238E27FC236}">
              <a16:creationId xmlns:a16="http://schemas.microsoft.com/office/drawing/2014/main" id="{D6CF1E2A-5003-40E8-B55E-7015F5E22C3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2" name="Line 8">
          <a:extLst>
            <a:ext uri="{FF2B5EF4-FFF2-40B4-BE49-F238E27FC236}">
              <a16:creationId xmlns:a16="http://schemas.microsoft.com/office/drawing/2014/main" id="{276A987C-0469-4FEF-8D12-F09DD00DDF2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3" name="Line 9">
          <a:extLst>
            <a:ext uri="{FF2B5EF4-FFF2-40B4-BE49-F238E27FC236}">
              <a16:creationId xmlns:a16="http://schemas.microsoft.com/office/drawing/2014/main" id="{B9CD0CE2-8B1B-45E6-A723-3AEBE36C23D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4" name="Line 10">
          <a:extLst>
            <a:ext uri="{FF2B5EF4-FFF2-40B4-BE49-F238E27FC236}">
              <a16:creationId xmlns:a16="http://schemas.microsoft.com/office/drawing/2014/main" id="{BFB7CA7B-4668-40DE-B687-05878E5DC05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5" name="Line 11">
          <a:extLst>
            <a:ext uri="{FF2B5EF4-FFF2-40B4-BE49-F238E27FC236}">
              <a16:creationId xmlns:a16="http://schemas.microsoft.com/office/drawing/2014/main" id="{4BC9D4CE-855C-4C76-B6CA-E5911BA533C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6" name="Line 12">
          <a:extLst>
            <a:ext uri="{FF2B5EF4-FFF2-40B4-BE49-F238E27FC236}">
              <a16:creationId xmlns:a16="http://schemas.microsoft.com/office/drawing/2014/main" id="{8CCD61C7-5FF7-4EF0-87B2-A907226E109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7" name="Line 13">
          <a:extLst>
            <a:ext uri="{FF2B5EF4-FFF2-40B4-BE49-F238E27FC236}">
              <a16:creationId xmlns:a16="http://schemas.microsoft.com/office/drawing/2014/main" id="{26BBBC55-CE66-4355-BE79-1568BC228E5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8" name="Line 14">
          <a:extLst>
            <a:ext uri="{FF2B5EF4-FFF2-40B4-BE49-F238E27FC236}">
              <a16:creationId xmlns:a16="http://schemas.microsoft.com/office/drawing/2014/main" id="{BA68B224-A92B-4899-BC49-50D4B403532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9" name="Line 15">
          <a:extLst>
            <a:ext uri="{FF2B5EF4-FFF2-40B4-BE49-F238E27FC236}">
              <a16:creationId xmlns:a16="http://schemas.microsoft.com/office/drawing/2014/main" id="{5AAA9C6B-87A6-41BB-95AD-D8268FD7FFC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0" name="Line 16">
          <a:extLst>
            <a:ext uri="{FF2B5EF4-FFF2-40B4-BE49-F238E27FC236}">
              <a16:creationId xmlns:a16="http://schemas.microsoft.com/office/drawing/2014/main" id="{61CFF29C-9389-4B65-862C-8DD7B9FDF0E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1" name="Line 17">
          <a:extLst>
            <a:ext uri="{FF2B5EF4-FFF2-40B4-BE49-F238E27FC236}">
              <a16:creationId xmlns:a16="http://schemas.microsoft.com/office/drawing/2014/main" id="{3188EB11-BDB8-4A96-AEFF-91C743D2CB8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2" name="Line 18">
          <a:extLst>
            <a:ext uri="{FF2B5EF4-FFF2-40B4-BE49-F238E27FC236}">
              <a16:creationId xmlns:a16="http://schemas.microsoft.com/office/drawing/2014/main" id="{9E1D724A-0A4E-41E2-A4BF-40887BDA2C7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3" name="Line 19">
          <a:extLst>
            <a:ext uri="{FF2B5EF4-FFF2-40B4-BE49-F238E27FC236}">
              <a16:creationId xmlns:a16="http://schemas.microsoft.com/office/drawing/2014/main" id="{F54AE6CE-1BDC-4D83-80AA-7B1EEDA301D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4" name="Line 20">
          <a:extLst>
            <a:ext uri="{FF2B5EF4-FFF2-40B4-BE49-F238E27FC236}">
              <a16:creationId xmlns:a16="http://schemas.microsoft.com/office/drawing/2014/main" id="{DCF72413-7C1E-41F1-BA01-AEEA67DA50F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5" name="Line 21">
          <a:extLst>
            <a:ext uri="{FF2B5EF4-FFF2-40B4-BE49-F238E27FC236}">
              <a16:creationId xmlns:a16="http://schemas.microsoft.com/office/drawing/2014/main" id="{D0A38B09-7C7D-4093-B63A-7F0C84CE834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6" name="Line 22">
          <a:extLst>
            <a:ext uri="{FF2B5EF4-FFF2-40B4-BE49-F238E27FC236}">
              <a16:creationId xmlns:a16="http://schemas.microsoft.com/office/drawing/2014/main" id="{7E3F4A7C-0EBE-4C2F-AA25-D418993BC70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7" name="Line 23">
          <a:extLst>
            <a:ext uri="{FF2B5EF4-FFF2-40B4-BE49-F238E27FC236}">
              <a16:creationId xmlns:a16="http://schemas.microsoft.com/office/drawing/2014/main" id="{4017292E-C938-40D5-BA97-94A05C44A22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8" name="Line 24">
          <a:extLst>
            <a:ext uri="{FF2B5EF4-FFF2-40B4-BE49-F238E27FC236}">
              <a16:creationId xmlns:a16="http://schemas.microsoft.com/office/drawing/2014/main" id="{221036AA-192A-4CA7-B14B-2FBCD2BCD6A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9" name="Line 25">
          <a:extLst>
            <a:ext uri="{FF2B5EF4-FFF2-40B4-BE49-F238E27FC236}">
              <a16:creationId xmlns:a16="http://schemas.microsoft.com/office/drawing/2014/main" id="{302729FF-53DA-4CE3-9F85-A050BF15313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0" name="Line 26">
          <a:extLst>
            <a:ext uri="{FF2B5EF4-FFF2-40B4-BE49-F238E27FC236}">
              <a16:creationId xmlns:a16="http://schemas.microsoft.com/office/drawing/2014/main" id="{954A4C0A-0513-4752-8D85-4B14D8F4006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1" name="Line 27">
          <a:extLst>
            <a:ext uri="{FF2B5EF4-FFF2-40B4-BE49-F238E27FC236}">
              <a16:creationId xmlns:a16="http://schemas.microsoft.com/office/drawing/2014/main" id="{6DDC80BA-0976-4DF6-AF7E-299133ED11A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2" name="Line 28">
          <a:extLst>
            <a:ext uri="{FF2B5EF4-FFF2-40B4-BE49-F238E27FC236}">
              <a16:creationId xmlns:a16="http://schemas.microsoft.com/office/drawing/2014/main" id="{D7FFF933-9365-4F2D-93B5-61E82DCCDF3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3" name="Line 29">
          <a:extLst>
            <a:ext uri="{FF2B5EF4-FFF2-40B4-BE49-F238E27FC236}">
              <a16:creationId xmlns:a16="http://schemas.microsoft.com/office/drawing/2014/main" id="{AD8FDA0F-400F-475D-8DF5-2D50E1DBD5D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4" name="Line 30">
          <a:extLst>
            <a:ext uri="{FF2B5EF4-FFF2-40B4-BE49-F238E27FC236}">
              <a16:creationId xmlns:a16="http://schemas.microsoft.com/office/drawing/2014/main" id="{4EF99E98-967C-4321-ABC1-CEB83431849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5" name="Line 31">
          <a:extLst>
            <a:ext uri="{FF2B5EF4-FFF2-40B4-BE49-F238E27FC236}">
              <a16:creationId xmlns:a16="http://schemas.microsoft.com/office/drawing/2014/main" id="{D6183A4F-9069-4D1D-B431-6DD2B946629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6" name="Line 32">
          <a:extLst>
            <a:ext uri="{FF2B5EF4-FFF2-40B4-BE49-F238E27FC236}">
              <a16:creationId xmlns:a16="http://schemas.microsoft.com/office/drawing/2014/main" id="{5D9E0C13-4CD8-48C9-9241-857E005877E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7" name="Line 33">
          <a:extLst>
            <a:ext uri="{FF2B5EF4-FFF2-40B4-BE49-F238E27FC236}">
              <a16:creationId xmlns:a16="http://schemas.microsoft.com/office/drawing/2014/main" id="{F3ACF346-676D-4358-B1FC-FE9445730B9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8" name="Line 34">
          <a:extLst>
            <a:ext uri="{FF2B5EF4-FFF2-40B4-BE49-F238E27FC236}">
              <a16:creationId xmlns:a16="http://schemas.microsoft.com/office/drawing/2014/main" id="{3880048D-10A7-488C-9BBB-52A495C5758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9" name="Line 35">
          <a:extLst>
            <a:ext uri="{FF2B5EF4-FFF2-40B4-BE49-F238E27FC236}">
              <a16:creationId xmlns:a16="http://schemas.microsoft.com/office/drawing/2014/main" id="{48D89022-3780-4489-A8F2-894473958A4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0" name="Line 36">
          <a:extLst>
            <a:ext uri="{FF2B5EF4-FFF2-40B4-BE49-F238E27FC236}">
              <a16:creationId xmlns:a16="http://schemas.microsoft.com/office/drawing/2014/main" id="{5B6D942A-5268-4B90-917E-12A5FF08B94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1" name="Line 37">
          <a:extLst>
            <a:ext uri="{FF2B5EF4-FFF2-40B4-BE49-F238E27FC236}">
              <a16:creationId xmlns:a16="http://schemas.microsoft.com/office/drawing/2014/main" id="{3DC57EB4-8688-4027-A6D7-6D723A362A4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2" name="Line 38">
          <a:extLst>
            <a:ext uri="{FF2B5EF4-FFF2-40B4-BE49-F238E27FC236}">
              <a16:creationId xmlns:a16="http://schemas.microsoft.com/office/drawing/2014/main" id="{F463A9A4-A391-4718-A889-9C1FA5CB8E3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3" name="Line 39">
          <a:extLst>
            <a:ext uri="{FF2B5EF4-FFF2-40B4-BE49-F238E27FC236}">
              <a16:creationId xmlns:a16="http://schemas.microsoft.com/office/drawing/2014/main" id="{5C7C1B44-19DA-48C2-9D52-ECC08CC0039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4" name="Line 40">
          <a:extLst>
            <a:ext uri="{FF2B5EF4-FFF2-40B4-BE49-F238E27FC236}">
              <a16:creationId xmlns:a16="http://schemas.microsoft.com/office/drawing/2014/main" id="{163B4B40-AF1C-408C-82B7-574267D4253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5" name="Line 41">
          <a:extLst>
            <a:ext uri="{FF2B5EF4-FFF2-40B4-BE49-F238E27FC236}">
              <a16:creationId xmlns:a16="http://schemas.microsoft.com/office/drawing/2014/main" id="{0C274279-9FA5-47C0-B699-8E01C5FF770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6" name="Line 42">
          <a:extLst>
            <a:ext uri="{FF2B5EF4-FFF2-40B4-BE49-F238E27FC236}">
              <a16:creationId xmlns:a16="http://schemas.microsoft.com/office/drawing/2014/main" id="{12A896F1-378B-448A-8352-10723559385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7" name="Line 43">
          <a:extLst>
            <a:ext uri="{FF2B5EF4-FFF2-40B4-BE49-F238E27FC236}">
              <a16:creationId xmlns:a16="http://schemas.microsoft.com/office/drawing/2014/main" id="{884D153F-CB27-420F-B398-121FD04B0AE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8" name="Line 44">
          <a:extLst>
            <a:ext uri="{FF2B5EF4-FFF2-40B4-BE49-F238E27FC236}">
              <a16:creationId xmlns:a16="http://schemas.microsoft.com/office/drawing/2014/main" id="{0BCB4E14-CC9E-4C9D-88BD-77A7D941632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9" name="Line 45">
          <a:extLst>
            <a:ext uri="{FF2B5EF4-FFF2-40B4-BE49-F238E27FC236}">
              <a16:creationId xmlns:a16="http://schemas.microsoft.com/office/drawing/2014/main" id="{40286B2E-83B5-4328-BA5A-88B65018F93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0" name="Line 46">
          <a:extLst>
            <a:ext uri="{FF2B5EF4-FFF2-40B4-BE49-F238E27FC236}">
              <a16:creationId xmlns:a16="http://schemas.microsoft.com/office/drawing/2014/main" id="{610B0B05-D548-4B48-9A6B-6332481BD0D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1" name="Line 47">
          <a:extLst>
            <a:ext uri="{FF2B5EF4-FFF2-40B4-BE49-F238E27FC236}">
              <a16:creationId xmlns:a16="http://schemas.microsoft.com/office/drawing/2014/main" id="{E907323B-AA27-4E0A-ACA3-05087F07E3F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2" name="Line 48">
          <a:extLst>
            <a:ext uri="{FF2B5EF4-FFF2-40B4-BE49-F238E27FC236}">
              <a16:creationId xmlns:a16="http://schemas.microsoft.com/office/drawing/2014/main" id="{F9FED477-46B3-4694-95B5-240E5B4908F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3" name="Line 49">
          <a:extLst>
            <a:ext uri="{FF2B5EF4-FFF2-40B4-BE49-F238E27FC236}">
              <a16:creationId xmlns:a16="http://schemas.microsoft.com/office/drawing/2014/main" id="{4E3528DF-03C9-4DE3-8A52-C76E3730FF8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4" name="Line 50">
          <a:extLst>
            <a:ext uri="{FF2B5EF4-FFF2-40B4-BE49-F238E27FC236}">
              <a16:creationId xmlns:a16="http://schemas.microsoft.com/office/drawing/2014/main" id="{9E78F441-490F-4699-93EE-DB14FC2F88B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5" name="Line 1">
          <a:extLst>
            <a:ext uri="{FF2B5EF4-FFF2-40B4-BE49-F238E27FC236}">
              <a16:creationId xmlns:a16="http://schemas.microsoft.com/office/drawing/2014/main" id="{4A1225F9-4746-490C-8F10-7997375913A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6" name="Line 2">
          <a:extLst>
            <a:ext uri="{FF2B5EF4-FFF2-40B4-BE49-F238E27FC236}">
              <a16:creationId xmlns:a16="http://schemas.microsoft.com/office/drawing/2014/main" id="{12CDB492-F123-48A5-8E3E-729E58D4F31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7" name="Line 5">
          <a:extLst>
            <a:ext uri="{FF2B5EF4-FFF2-40B4-BE49-F238E27FC236}">
              <a16:creationId xmlns:a16="http://schemas.microsoft.com/office/drawing/2014/main" id="{0EE25F76-DEFB-4E76-864F-B1EA13115D7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8" name="Line 6">
          <a:extLst>
            <a:ext uri="{FF2B5EF4-FFF2-40B4-BE49-F238E27FC236}">
              <a16:creationId xmlns:a16="http://schemas.microsoft.com/office/drawing/2014/main" id="{DB2C0E4D-3E17-4809-80F2-009B750909C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9" name="Line 7">
          <a:extLst>
            <a:ext uri="{FF2B5EF4-FFF2-40B4-BE49-F238E27FC236}">
              <a16:creationId xmlns:a16="http://schemas.microsoft.com/office/drawing/2014/main" id="{CA4BDD45-9DDB-47BB-94D2-1D220059C06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0" name="Line 8">
          <a:extLst>
            <a:ext uri="{FF2B5EF4-FFF2-40B4-BE49-F238E27FC236}">
              <a16:creationId xmlns:a16="http://schemas.microsoft.com/office/drawing/2014/main" id="{B84D610E-5743-4BDC-89E1-13D1FB26054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1" name="Line 9">
          <a:extLst>
            <a:ext uri="{FF2B5EF4-FFF2-40B4-BE49-F238E27FC236}">
              <a16:creationId xmlns:a16="http://schemas.microsoft.com/office/drawing/2014/main" id="{B58BD979-FF8D-4768-AF70-C270B9D700E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2" name="Line 10">
          <a:extLst>
            <a:ext uri="{FF2B5EF4-FFF2-40B4-BE49-F238E27FC236}">
              <a16:creationId xmlns:a16="http://schemas.microsoft.com/office/drawing/2014/main" id="{D7ABDC2B-2565-4F2A-A695-0E9F1978A19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3" name="Line 11">
          <a:extLst>
            <a:ext uri="{FF2B5EF4-FFF2-40B4-BE49-F238E27FC236}">
              <a16:creationId xmlns:a16="http://schemas.microsoft.com/office/drawing/2014/main" id="{86FAEAAA-40C9-4E6F-8C99-3A676E723B3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4" name="Line 12">
          <a:extLst>
            <a:ext uri="{FF2B5EF4-FFF2-40B4-BE49-F238E27FC236}">
              <a16:creationId xmlns:a16="http://schemas.microsoft.com/office/drawing/2014/main" id="{4A09C740-12B5-4D28-A675-8342901F6EA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5" name="Line 13">
          <a:extLst>
            <a:ext uri="{FF2B5EF4-FFF2-40B4-BE49-F238E27FC236}">
              <a16:creationId xmlns:a16="http://schemas.microsoft.com/office/drawing/2014/main" id="{C6463D93-C674-42FB-8B16-E06C15B5110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6" name="Line 14">
          <a:extLst>
            <a:ext uri="{FF2B5EF4-FFF2-40B4-BE49-F238E27FC236}">
              <a16:creationId xmlns:a16="http://schemas.microsoft.com/office/drawing/2014/main" id="{D44C23DD-FD92-4799-A836-59C5AAA1CA2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7" name="Line 15">
          <a:extLst>
            <a:ext uri="{FF2B5EF4-FFF2-40B4-BE49-F238E27FC236}">
              <a16:creationId xmlns:a16="http://schemas.microsoft.com/office/drawing/2014/main" id="{2FD471F6-5A59-4056-B730-CEDF7D78603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8" name="Line 16">
          <a:extLst>
            <a:ext uri="{FF2B5EF4-FFF2-40B4-BE49-F238E27FC236}">
              <a16:creationId xmlns:a16="http://schemas.microsoft.com/office/drawing/2014/main" id="{66C4A1AC-46B0-4E76-B016-11333EE1E22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9" name="Line 17">
          <a:extLst>
            <a:ext uri="{FF2B5EF4-FFF2-40B4-BE49-F238E27FC236}">
              <a16:creationId xmlns:a16="http://schemas.microsoft.com/office/drawing/2014/main" id="{DABF5583-DECB-4F11-98C0-280A92FFC7E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0" name="Line 18">
          <a:extLst>
            <a:ext uri="{FF2B5EF4-FFF2-40B4-BE49-F238E27FC236}">
              <a16:creationId xmlns:a16="http://schemas.microsoft.com/office/drawing/2014/main" id="{3D6EA82E-DFAF-4028-B8AF-A4E3C1E9B75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1" name="Line 19">
          <a:extLst>
            <a:ext uri="{FF2B5EF4-FFF2-40B4-BE49-F238E27FC236}">
              <a16:creationId xmlns:a16="http://schemas.microsoft.com/office/drawing/2014/main" id="{CC5AF790-E5B3-433F-8890-96AD890BE98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2" name="Line 20">
          <a:extLst>
            <a:ext uri="{FF2B5EF4-FFF2-40B4-BE49-F238E27FC236}">
              <a16:creationId xmlns:a16="http://schemas.microsoft.com/office/drawing/2014/main" id="{00F1FB51-54D1-4F47-90A6-7C91F3D32BA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3" name="Line 21">
          <a:extLst>
            <a:ext uri="{FF2B5EF4-FFF2-40B4-BE49-F238E27FC236}">
              <a16:creationId xmlns:a16="http://schemas.microsoft.com/office/drawing/2014/main" id="{3232469F-4A44-4FA3-9BF5-3984161A71C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4" name="Line 22">
          <a:extLst>
            <a:ext uri="{FF2B5EF4-FFF2-40B4-BE49-F238E27FC236}">
              <a16:creationId xmlns:a16="http://schemas.microsoft.com/office/drawing/2014/main" id="{A326BBF8-FAB9-4381-B8DE-35E4B31FBB3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5" name="Line 23">
          <a:extLst>
            <a:ext uri="{FF2B5EF4-FFF2-40B4-BE49-F238E27FC236}">
              <a16:creationId xmlns:a16="http://schemas.microsoft.com/office/drawing/2014/main" id="{904EB407-9FA2-455E-901C-83348A17D92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6" name="Line 24">
          <a:extLst>
            <a:ext uri="{FF2B5EF4-FFF2-40B4-BE49-F238E27FC236}">
              <a16:creationId xmlns:a16="http://schemas.microsoft.com/office/drawing/2014/main" id="{8FEDF544-5D64-40E5-94DF-5B857453E54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7" name="Line 25">
          <a:extLst>
            <a:ext uri="{FF2B5EF4-FFF2-40B4-BE49-F238E27FC236}">
              <a16:creationId xmlns:a16="http://schemas.microsoft.com/office/drawing/2014/main" id="{2D964990-BD83-467B-A95F-401AB8BF3B8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8" name="Line 26">
          <a:extLst>
            <a:ext uri="{FF2B5EF4-FFF2-40B4-BE49-F238E27FC236}">
              <a16:creationId xmlns:a16="http://schemas.microsoft.com/office/drawing/2014/main" id="{3B858E8B-C5D7-4B09-9453-311C52B7423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9" name="Line 27">
          <a:extLst>
            <a:ext uri="{FF2B5EF4-FFF2-40B4-BE49-F238E27FC236}">
              <a16:creationId xmlns:a16="http://schemas.microsoft.com/office/drawing/2014/main" id="{D505E0BD-F790-4B3C-BEF8-08AA98876CB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0" name="Line 28">
          <a:extLst>
            <a:ext uri="{FF2B5EF4-FFF2-40B4-BE49-F238E27FC236}">
              <a16:creationId xmlns:a16="http://schemas.microsoft.com/office/drawing/2014/main" id="{3E64E6A7-977C-4DD7-B13E-1AF98C584B6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1" name="Line 29">
          <a:extLst>
            <a:ext uri="{FF2B5EF4-FFF2-40B4-BE49-F238E27FC236}">
              <a16:creationId xmlns:a16="http://schemas.microsoft.com/office/drawing/2014/main" id="{553E8780-78C8-4DFE-84CD-37D113397B0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2" name="Line 30">
          <a:extLst>
            <a:ext uri="{FF2B5EF4-FFF2-40B4-BE49-F238E27FC236}">
              <a16:creationId xmlns:a16="http://schemas.microsoft.com/office/drawing/2014/main" id="{F9828B9E-1826-48CD-82EC-EB92460E069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3" name="Line 31">
          <a:extLst>
            <a:ext uri="{FF2B5EF4-FFF2-40B4-BE49-F238E27FC236}">
              <a16:creationId xmlns:a16="http://schemas.microsoft.com/office/drawing/2014/main" id="{A20FD6A5-B745-43FB-860B-0D7B137F982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4" name="Line 32">
          <a:extLst>
            <a:ext uri="{FF2B5EF4-FFF2-40B4-BE49-F238E27FC236}">
              <a16:creationId xmlns:a16="http://schemas.microsoft.com/office/drawing/2014/main" id="{5ACD66FD-C385-46A4-8361-FA25F08FFF0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5" name="Line 33">
          <a:extLst>
            <a:ext uri="{FF2B5EF4-FFF2-40B4-BE49-F238E27FC236}">
              <a16:creationId xmlns:a16="http://schemas.microsoft.com/office/drawing/2014/main" id="{C49C040D-2A05-4DD5-8FAA-4ABB8EECB97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6" name="Line 34">
          <a:extLst>
            <a:ext uri="{FF2B5EF4-FFF2-40B4-BE49-F238E27FC236}">
              <a16:creationId xmlns:a16="http://schemas.microsoft.com/office/drawing/2014/main" id="{F3217C8A-A2B3-409C-B6C1-463F214852E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7" name="Line 35">
          <a:extLst>
            <a:ext uri="{FF2B5EF4-FFF2-40B4-BE49-F238E27FC236}">
              <a16:creationId xmlns:a16="http://schemas.microsoft.com/office/drawing/2014/main" id="{3C449CA4-BFF4-4B8B-819E-398997300A9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8" name="Line 36">
          <a:extLst>
            <a:ext uri="{FF2B5EF4-FFF2-40B4-BE49-F238E27FC236}">
              <a16:creationId xmlns:a16="http://schemas.microsoft.com/office/drawing/2014/main" id="{FA43E9C7-859B-4183-BCA9-CFBBE6169F3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9" name="Line 37">
          <a:extLst>
            <a:ext uri="{FF2B5EF4-FFF2-40B4-BE49-F238E27FC236}">
              <a16:creationId xmlns:a16="http://schemas.microsoft.com/office/drawing/2014/main" id="{86B5E34E-D95B-41EA-8D4B-0FC84466967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0" name="Line 38">
          <a:extLst>
            <a:ext uri="{FF2B5EF4-FFF2-40B4-BE49-F238E27FC236}">
              <a16:creationId xmlns:a16="http://schemas.microsoft.com/office/drawing/2014/main" id="{DC58D732-E303-4178-B60F-366222FE97F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1" name="Line 39">
          <a:extLst>
            <a:ext uri="{FF2B5EF4-FFF2-40B4-BE49-F238E27FC236}">
              <a16:creationId xmlns:a16="http://schemas.microsoft.com/office/drawing/2014/main" id="{58776B89-6CC9-4537-968B-F4BF8A6D0C9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2" name="Line 40">
          <a:extLst>
            <a:ext uri="{FF2B5EF4-FFF2-40B4-BE49-F238E27FC236}">
              <a16:creationId xmlns:a16="http://schemas.microsoft.com/office/drawing/2014/main" id="{97A94EFF-0475-415B-85D5-94310114E1E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3" name="Line 41">
          <a:extLst>
            <a:ext uri="{FF2B5EF4-FFF2-40B4-BE49-F238E27FC236}">
              <a16:creationId xmlns:a16="http://schemas.microsoft.com/office/drawing/2014/main" id="{D43B47C2-1DC8-4C98-B882-80F060FA3C9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4" name="Line 42">
          <a:extLst>
            <a:ext uri="{FF2B5EF4-FFF2-40B4-BE49-F238E27FC236}">
              <a16:creationId xmlns:a16="http://schemas.microsoft.com/office/drawing/2014/main" id="{0709D266-E6A6-4DA2-8636-D937CA6D8BB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5" name="Line 43">
          <a:extLst>
            <a:ext uri="{FF2B5EF4-FFF2-40B4-BE49-F238E27FC236}">
              <a16:creationId xmlns:a16="http://schemas.microsoft.com/office/drawing/2014/main" id="{C00A5450-18D4-41AD-BF7F-693DF2A493D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6" name="Line 44">
          <a:extLst>
            <a:ext uri="{FF2B5EF4-FFF2-40B4-BE49-F238E27FC236}">
              <a16:creationId xmlns:a16="http://schemas.microsoft.com/office/drawing/2014/main" id="{5E4649AF-5DB6-42CE-98A5-3911BDDA6BE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7" name="Line 45">
          <a:extLst>
            <a:ext uri="{FF2B5EF4-FFF2-40B4-BE49-F238E27FC236}">
              <a16:creationId xmlns:a16="http://schemas.microsoft.com/office/drawing/2014/main" id="{9F6D75EB-51A3-47DB-AB48-301AEE53A56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8" name="Line 46">
          <a:extLst>
            <a:ext uri="{FF2B5EF4-FFF2-40B4-BE49-F238E27FC236}">
              <a16:creationId xmlns:a16="http://schemas.microsoft.com/office/drawing/2014/main" id="{59576314-39CC-4E6A-90C4-47430F808E6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9" name="Line 47">
          <a:extLst>
            <a:ext uri="{FF2B5EF4-FFF2-40B4-BE49-F238E27FC236}">
              <a16:creationId xmlns:a16="http://schemas.microsoft.com/office/drawing/2014/main" id="{75BE57A9-5019-4EFF-B008-381B9791735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0" name="Line 48">
          <a:extLst>
            <a:ext uri="{FF2B5EF4-FFF2-40B4-BE49-F238E27FC236}">
              <a16:creationId xmlns:a16="http://schemas.microsoft.com/office/drawing/2014/main" id="{14AFD3CE-6FC5-4F42-BC3C-6C80D67001F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1" name="Line 49">
          <a:extLst>
            <a:ext uri="{FF2B5EF4-FFF2-40B4-BE49-F238E27FC236}">
              <a16:creationId xmlns:a16="http://schemas.microsoft.com/office/drawing/2014/main" id="{1CC66379-1923-4804-9AAB-8699D074BDA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2" name="Line 50">
          <a:extLst>
            <a:ext uri="{FF2B5EF4-FFF2-40B4-BE49-F238E27FC236}">
              <a16:creationId xmlns:a16="http://schemas.microsoft.com/office/drawing/2014/main" id="{AC950957-25A4-4C2B-803D-37E83D028B8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3" name="Line 1">
          <a:extLst>
            <a:ext uri="{FF2B5EF4-FFF2-40B4-BE49-F238E27FC236}">
              <a16:creationId xmlns:a16="http://schemas.microsoft.com/office/drawing/2014/main" id="{33397E58-DC99-4524-92A9-344AB5910D4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4" name="Line 2">
          <a:extLst>
            <a:ext uri="{FF2B5EF4-FFF2-40B4-BE49-F238E27FC236}">
              <a16:creationId xmlns:a16="http://schemas.microsoft.com/office/drawing/2014/main" id="{DD645B80-63C4-4690-A147-9BFF4D397EC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5" name="Line 5">
          <a:extLst>
            <a:ext uri="{FF2B5EF4-FFF2-40B4-BE49-F238E27FC236}">
              <a16:creationId xmlns:a16="http://schemas.microsoft.com/office/drawing/2014/main" id="{168028C9-09F8-4590-89A9-FC20C30A7F2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6" name="Line 6">
          <a:extLst>
            <a:ext uri="{FF2B5EF4-FFF2-40B4-BE49-F238E27FC236}">
              <a16:creationId xmlns:a16="http://schemas.microsoft.com/office/drawing/2014/main" id="{1E598B09-A144-4BA8-820D-35919573A0E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7" name="Line 7">
          <a:extLst>
            <a:ext uri="{FF2B5EF4-FFF2-40B4-BE49-F238E27FC236}">
              <a16:creationId xmlns:a16="http://schemas.microsoft.com/office/drawing/2014/main" id="{2A985558-B1C6-44F6-88A7-9E5AA27E0F8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8" name="Line 8">
          <a:extLst>
            <a:ext uri="{FF2B5EF4-FFF2-40B4-BE49-F238E27FC236}">
              <a16:creationId xmlns:a16="http://schemas.microsoft.com/office/drawing/2014/main" id="{0F6DF35A-E3DB-4BA1-926D-751EA0437C9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9" name="Line 9">
          <a:extLst>
            <a:ext uri="{FF2B5EF4-FFF2-40B4-BE49-F238E27FC236}">
              <a16:creationId xmlns:a16="http://schemas.microsoft.com/office/drawing/2014/main" id="{3AB90E71-FE14-4E17-ABE0-7CF68C290B5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0" name="Line 10">
          <a:extLst>
            <a:ext uri="{FF2B5EF4-FFF2-40B4-BE49-F238E27FC236}">
              <a16:creationId xmlns:a16="http://schemas.microsoft.com/office/drawing/2014/main" id="{0E8C5B02-96B3-413C-B8B8-F77612BAE34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1" name="Line 11">
          <a:extLst>
            <a:ext uri="{FF2B5EF4-FFF2-40B4-BE49-F238E27FC236}">
              <a16:creationId xmlns:a16="http://schemas.microsoft.com/office/drawing/2014/main" id="{222BFAC0-9361-4AA5-B5BB-F004CD0DA23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2" name="Line 12">
          <a:extLst>
            <a:ext uri="{FF2B5EF4-FFF2-40B4-BE49-F238E27FC236}">
              <a16:creationId xmlns:a16="http://schemas.microsoft.com/office/drawing/2014/main" id="{0F63190C-F8DC-4305-8DC1-F6ED0AB2169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3" name="Line 13">
          <a:extLst>
            <a:ext uri="{FF2B5EF4-FFF2-40B4-BE49-F238E27FC236}">
              <a16:creationId xmlns:a16="http://schemas.microsoft.com/office/drawing/2014/main" id="{2BA25D37-12AF-419E-B225-196043D2DC8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4" name="Line 14">
          <a:extLst>
            <a:ext uri="{FF2B5EF4-FFF2-40B4-BE49-F238E27FC236}">
              <a16:creationId xmlns:a16="http://schemas.microsoft.com/office/drawing/2014/main" id="{18C05E67-3BFC-4319-A0A3-40C03C5F9F6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5" name="Line 15">
          <a:extLst>
            <a:ext uri="{FF2B5EF4-FFF2-40B4-BE49-F238E27FC236}">
              <a16:creationId xmlns:a16="http://schemas.microsoft.com/office/drawing/2014/main" id="{B9D228A9-9B68-4322-96D9-5497DAEDD73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6" name="Line 16">
          <a:extLst>
            <a:ext uri="{FF2B5EF4-FFF2-40B4-BE49-F238E27FC236}">
              <a16:creationId xmlns:a16="http://schemas.microsoft.com/office/drawing/2014/main" id="{E79BCA0B-2D4B-4BCB-9FC5-7B4702458A1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7" name="Line 17">
          <a:extLst>
            <a:ext uri="{FF2B5EF4-FFF2-40B4-BE49-F238E27FC236}">
              <a16:creationId xmlns:a16="http://schemas.microsoft.com/office/drawing/2014/main" id="{B09AEB91-80C5-4063-B54E-7412C679BB4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8" name="Line 18">
          <a:extLst>
            <a:ext uri="{FF2B5EF4-FFF2-40B4-BE49-F238E27FC236}">
              <a16:creationId xmlns:a16="http://schemas.microsoft.com/office/drawing/2014/main" id="{C36FE391-2AEA-4C34-9A3A-D066D4814C3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9" name="Line 19">
          <a:extLst>
            <a:ext uri="{FF2B5EF4-FFF2-40B4-BE49-F238E27FC236}">
              <a16:creationId xmlns:a16="http://schemas.microsoft.com/office/drawing/2014/main" id="{1F0F35E4-BEAC-45EF-87C3-67FDDAF55CF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0" name="Line 20">
          <a:extLst>
            <a:ext uri="{FF2B5EF4-FFF2-40B4-BE49-F238E27FC236}">
              <a16:creationId xmlns:a16="http://schemas.microsoft.com/office/drawing/2014/main" id="{CB2211F8-D93E-41C9-B76E-963ABFF2879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1" name="Line 21">
          <a:extLst>
            <a:ext uri="{FF2B5EF4-FFF2-40B4-BE49-F238E27FC236}">
              <a16:creationId xmlns:a16="http://schemas.microsoft.com/office/drawing/2014/main" id="{EC6A4F57-43F2-4E7A-A540-948C70F954E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2" name="Line 22">
          <a:extLst>
            <a:ext uri="{FF2B5EF4-FFF2-40B4-BE49-F238E27FC236}">
              <a16:creationId xmlns:a16="http://schemas.microsoft.com/office/drawing/2014/main" id="{16989910-86BA-4570-B16E-FCA47F5F589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3" name="Line 23">
          <a:extLst>
            <a:ext uri="{FF2B5EF4-FFF2-40B4-BE49-F238E27FC236}">
              <a16:creationId xmlns:a16="http://schemas.microsoft.com/office/drawing/2014/main" id="{6095989D-A048-4941-B4AF-02C9BA97F01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4" name="Line 24">
          <a:extLst>
            <a:ext uri="{FF2B5EF4-FFF2-40B4-BE49-F238E27FC236}">
              <a16:creationId xmlns:a16="http://schemas.microsoft.com/office/drawing/2014/main" id="{5285B80E-26AF-4204-9A04-8A0495501DB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5" name="Line 25">
          <a:extLst>
            <a:ext uri="{FF2B5EF4-FFF2-40B4-BE49-F238E27FC236}">
              <a16:creationId xmlns:a16="http://schemas.microsoft.com/office/drawing/2014/main" id="{441B6AF0-301E-4FB0-B3E0-0EB566CCBB1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6" name="Line 26">
          <a:extLst>
            <a:ext uri="{FF2B5EF4-FFF2-40B4-BE49-F238E27FC236}">
              <a16:creationId xmlns:a16="http://schemas.microsoft.com/office/drawing/2014/main" id="{D06F9100-5166-41C6-AA74-AE1205A5332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7" name="Line 27">
          <a:extLst>
            <a:ext uri="{FF2B5EF4-FFF2-40B4-BE49-F238E27FC236}">
              <a16:creationId xmlns:a16="http://schemas.microsoft.com/office/drawing/2014/main" id="{2FDAC08A-1E2A-4FF0-8E0B-F568AF28614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8" name="Line 28">
          <a:extLst>
            <a:ext uri="{FF2B5EF4-FFF2-40B4-BE49-F238E27FC236}">
              <a16:creationId xmlns:a16="http://schemas.microsoft.com/office/drawing/2014/main" id="{B0E9BAE2-2564-49AF-968C-359ED054FB1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9" name="Line 29">
          <a:extLst>
            <a:ext uri="{FF2B5EF4-FFF2-40B4-BE49-F238E27FC236}">
              <a16:creationId xmlns:a16="http://schemas.microsoft.com/office/drawing/2014/main" id="{1A7A0C71-B994-40E2-B307-EE0774050B4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0" name="Line 30">
          <a:extLst>
            <a:ext uri="{FF2B5EF4-FFF2-40B4-BE49-F238E27FC236}">
              <a16:creationId xmlns:a16="http://schemas.microsoft.com/office/drawing/2014/main" id="{EDF45FDF-DE3F-4DB5-A0BF-C940FCAE0AC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1" name="Line 31">
          <a:extLst>
            <a:ext uri="{FF2B5EF4-FFF2-40B4-BE49-F238E27FC236}">
              <a16:creationId xmlns:a16="http://schemas.microsoft.com/office/drawing/2014/main" id="{52A2921C-025F-4C29-BCF1-898172E7A5C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2" name="Line 32">
          <a:extLst>
            <a:ext uri="{FF2B5EF4-FFF2-40B4-BE49-F238E27FC236}">
              <a16:creationId xmlns:a16="http://schemas.microsoft.com/office/drawing/2014/main" id="{8B9D1B62-CD04-4423-B455-77FAEA3DBED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3" name="Line 33">
          <a:extLst>
            <a:ext uri="{FF2B5EF4-FFF2-40B4-BE49-F238E27FC236}">
              <a16:creationId xmlns:a16="http://schemas.microsoft.com/office/drawing/2014/main" id="{2BA45E19-A799-4E8E-A210-2FBC0C3E68C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4" name="Line 34">
          <a:extLst>
            <a:ext uri="{FF2B5EF4-FFF2-40B4-BE49-F238E27FC236}">
              <a16:creationId xmlns:a16="http://schemas.microsoft.com/office/drawing/2014/main" id="{592AFD41-31E1-47FC-8BF4-99DB074B1F3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5" name="Line 35">
          <a:extLst>
            <a:ext uri="{FF2B5EF4-FFF2-40B4-BE49-F238E27FC236}">
              <a16:creationId xmlns:a16="http://schemas.microsoft.com/office/drawing/2014/main" id="{77DF8820-EA0D-437F-950E-4321F6FF99E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6" name="Line 36">
          <a:extLst>
            <a:ext uri="{FF2B5EF4-FFF2-40B4-BE49-F238E27FC236}">
              <a16:creationId xmlns:a16="http://schemas.microsoft.com/office/drawing/2014/main" id="{FF3F32EF-A36C-4316-AC3F-44921A20C23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7" name="Line 37">
          <a:extLst>
            <a:ext uri="{FF2B5EF4-FFF2-40B4-BE49-F238E27FC236}">
              <a16:creationId xmlns:a16="http://schemas.microsoft.com/office/drawing/2014/main" id="{13A08ED7-5D9C-4A30-B52A-CD42B2EC119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8" name="Line 38">
          <a:extLst>
            <a:ext uri="{FF2B5EF4-FFF2-40B4-BE49-F238E27FC236}">
              <a16:creationId xmlns:a16="http://schemas.microsoft.com/office/drawing/2014/main" id="{B9FA48BA-247B-4ADF-AD1E-CD387F3F733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9" name="Line 39">
          <a:extLst>
            <a:ext uri="{FF2B5EF4-FFF2-40B4-BE49-F238E27FC236}">
              <a16:creationId xmlns:a16="http://schemas.microsoft.com/office/drawing/2014/main" id="{6CFDD82A-84B9-4566-A6FC-95BCDF176B3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0" name="Line 40">
          <a:extLst>
            <a:ext uri="{FF2B5EF4-FFF2-40B4-BE49-F238E27FC236}">
              <a16:creationId xmlns:a16="http://schemas.microsoft.com/office/drawing/2014/main" id="{6C20771D-EE7E-4333-8259-8CF9B8A2D20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1" name="Line 41">
          <a:extLst>
            <a:ext uri="{FF2B5EF4-FFF2-40B4-BE49-F238E27FC236}">
              <a16:creationId xmlns:a16="http://schemas.microsoft.com/office/drawing/2014/main" id="{DF9EDCE3-6846-4E61-BA5F-3BFADD05AE7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2" name="Line 42">
          <a:extLst>
            <a:ext uri="{FF2B5EF4-FFF2-40B4-BE49-F238E27FC236}">
              <a16:creationId xmlns:a16="http://schemas.microsoft.com/office/drawing/2014/main" id="{3E0FA291-4EF4-46A7-979C-AC817D2BB42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3" name="Line 43">
          <a:extLst>
            <a:ext uri="{FF2B5EF4-FFF2-40B4-BE49-F238E27FC236}">
              <a16:creationId xmlns:a16="http://schemas.microsoft.com/office/drawing/2014/main" id="{317B105E-56D8-45B0-B63B-3429ED07570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4" name="Line 44">
          <a:extLst>
            <a:ext uri="{FF2B5EF4-FFF2-40B4-BE49-F238E27FC236}">
              <a16:creationId xmlns:a16="http://schemas.microsoft.com/office/drawing/2014/main" id="{0172F113-E0A0-49E8-829C-317314243DE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5" name="Line 45">
          <a:extLst>
            <a:ext uri="{FF2B5EF4-FFF2-40B4-BE49-F238E27FC236}">
              <a16:creationId xmlns:a16="http://schemas.microsoft.com/office/drawing/2014/main" id="{E4D78C3E-E6B5-4C3A-9DED-9FFFD3494D1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6" name="Line 46">
          <a:extLst>
            <a:ext uri="{FF2B5EF4-FFF2-40B4-BE49-F238E27FC236}">
              <a16:creationId xmlns:a16="http://schemas.microsoft.com/office/drawing/2014/main" id="{EEC2CD98-540A-4300-A054-ED3AB18C6C2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7" name="Line 47">
          <a:extLst>
            <a:ext uri="{FF2B5EF4-FFF2-40B4-BE49-F238E27FC236}">
              <a16:creationId xmlns:a16="http://schemas.microsoft.com/office/drawing/2014/main" id="{14A6739E-7681-4EBE-BEFB-04BF36DE294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8" name="Line 48">
          <a:extLst>
            <a:ext uri="{FF2B5EF4-FFF2-40B4-BE49-F238E27FC236}">
              <a16:creationId xmlns:a16="http://schemas.microsoft.com/office/drawing/2014/main" id="{E1E797D9-C5F5-451D-95C5-5B1D446474F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9" name="Line 49">
          <a:extLst>
            <a:ext uri="{FF2B5EF4-FFF2-40B4-BE49-F238E27FC236}">
              <a16:creationId xmlns:a16="http://schemas.microsoft.com/office/drawing/2014/main" id="{54FBE9BB-B532-4CB7-9B1E-C1BC2F8B2F0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90" name="Line 50">
          <a:extLst>
            <a:ext uri="{FF2B5EF4-FFF2-40B4-BE49-F238E27FC236}">
              <a16:creationId xmlns:a16="http://schemas.microsoft.com/office/drawing/2014/main" id="{6CD193CB-B30B-49AB-A3F1-14890A558F3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19</xdr:col>
      <xdr:colOff>0</xdr:colOff>
      <xdr:row>5</xdr:row>
      <xdr:rowOff>0</xdr:rowOff>
    </xdr:from>
    <xdr:to>
      <xdr:col>19</xdr:col>
      <xdr:colOff>0</xdr:colOff>
      <xdr:row>5</xdr:row>
      <xdr:rowOff>0</xdr:rowOff>
    </xdr:to>
    <xdr:sp macro="" textlink="">
      <xdr:nvSpPr>
        <xdr:cNvPr id="2" name="Line 1">
          <a:extLst>
            <a:ext uri="{FF2B5EF4-FFF2-40B4-BE49-F238E27FC236}">
              <a16:creationId xmlns:a16="http://schemas.microsoft.com/office/drawing/2014/main" id="{3173FDBA-4D8E-4D1A-AE27-3A9EAEF172A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 name="Line 2">
          <a:extLst>
            <a:ext uri="{FF2B5EF4-FFF2-40B4-BE49-F238E27FC236}">
              <a16:creationId xmlns:a16="http://schemas.microsoft.com/office/drawing/2014/main" id="{C47FC179-2E2F-46EA-B5FE-837FFE8C08E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211</xdr:col>
      <xdr:colOff>0</xdr:colOff>
      <xdr:row>5</xdr:row>
      <xdr:rowOff>0</xdr:rowOff>
    </xdr:from>
    <xdr:to>
      <xdr:col>211</xdr:col>
      <xdr:colOff>0</xdr:colOff>
      <xdr:row>5</xdr:row>
      <xdr:rowOff>0</xdr:rowOff>
    </xdr:to>
    <xdr:sp macro="" textlink="">
      <xdr:nvSpPr>
        <xdr:cNvPr id="4" name="Line 4">
          <a:extLst>
            <a:ext uri="{FF2B5EF4-FFF2-40B4-BE49-F238E27FC236}">
              <a16:creationId xmlns:a16="http://schemas.microsoft.com/office/drawing/2014/main" id="{5A01FFB8-C25D-448E-A081-58B94B87232E}"/>
            </a:ext>
          </a:extLst>
        </xdr:cNvPr>
        <xdr:cNvSpPr>
          <a:spLocks noChangeShapeType="1"/>
        </xdr:cNvSpPr>
      </xdr:nvSpPr>
      <xdr:spPr bwMode="auto">
        <a:xfrm flipH="1">
          <a:off x="93640275" y="15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 name="Line 5">
          <a:extLst>
            <a:ext uri="{FF2B5EF4-FFF2-40B4-BE49-F238E27FC236}">
              <a16:creationId xmlns:a16="http://schemas.microsoft.com/office/drawing/2014/main" id="{3EDCBF9D-A55E-477C-A044-9CF69C64BE1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6" name="Line 6">
          <a:extLst>
            <a:ext uri="{FF2B5EF4-FFF2-40B4-BE49-F238E27FC236}">
              <a16:creationId xmlns:a16="http://schemas.microsoft.com/office/drawing/2014/main" id="{1AB9217F-76FF-4AC7-B174-C280E97F196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7" name="Line 7">
          <a:extLst>
            <a:ext uri="{FF2B5EF4-FFF2-40B4-BE49-F238E27FC236}">
              <a16:creationId xmlns:a16="http://schemas.microsoft.com/office/drawing/2014/main" id="{BF2C4A4E-122E-4B7F-9C7D-FA0D08F9764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8" name="Line 8">
          <a:extLst>
            <a:ext uri="{FF2B5EF4-FFF2-40B4-BE49-F238E27FC236}">
              <a16:creationId xmlns:a16="http://schemas.microsoft.com/office/drawing/2014/main" id="{85BE40BC-1329-4E94-89C8-BB9D1D13B15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9" name="Line 9">
          <a:extLst>
            <a:ext uri="{FF2B5EF4-FFF2-40B4-BE49-F238E27FC236}">
              <a16:creationId xmlns:a16="http://schemas.microsoft.com/office/drawing/2014/main" id="{A2E1826C-0899-4A11-AB2E-26086648107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0" name="Line 10">
          <a:extLst>
            <a:ext uri="{FF2B5EF4-FFF2-40B4-BE49-F238E27FC236}">
              <a16:creationId xmlns:a16="http://schemas.microsoft.com/office/drawing/2014/main" id="{A259EDAB-E072-4803-8BA8-5B204417101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1" name="Line 11">
          <a:extLst>
            <a:ext uri="{FF2B5EF4-FFF2-40B4-BE49-F238E27FC236}">
              <a16:creationId xmlns:a16="http://schemas.microsoft.com/office/drawing/2014/main" id="{AFBEF063-1F92-40E2-95C2-703D2C80127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2" name="Line 12">
          <a:extLst>
            <a:ext uri="{FF2B5EF4-FFF2-40B4-BE49-F238E27FC236}">
              <a16:creationId xmlns:a16="http://schemas.microsoft.com/office/drawing/2014/main" id="{91534A1F-DCE3-4E13-A3AE-54AC6D067D5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3" name="Line 13">
          <a:extLst>
            <a:ext uri="{FF2B5EF4-FFF2-40B4-BE49-F238E27FC236}">
              <a16:creationId xmlns:a16="http://schemas.microsoft.com/office/drawing/2014/main" id="{D3CAD23D-A689-4703-B523-6A4CE82C3F8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4" name="Line 14">
          <a:extLst>
            <a:ext uri="{FF2B5EF4-FFF2-40B4-BE49-F238E27FC236}">
              <a16:creationId xmlns:a16="http://schemas.microsoft.com/office/drawing/2014/main" id="{CA99092E-2745-4C95-9E0F-20CF12BCDBB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5" name="Line 15">
          <a:extLst>
            <a:ext uri="{FF2B5EF4-FFF2-40B4-BE49-F238E27FC236}">
              <a16:creationId xmlns:a16="http://schemas.microsoft.com/office/drawing/2014/main" id="{B1CF48E7-BDE1-4517-A07E-AE3499AA8B9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6" name="Line 16">
          <a:extLst>
            <a:ext uri="{FF2B5EF4-FFF2-40B4-BE49-F238E27FC236}">
              <a16:creationId xmlns:a16="http://schemas.microsoft.com/office/drawing/2014/main" id="{194F2B30-5B63-45A8-8213-B3A30D8B112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7" name="Line 17">
          <a:extLst>
            <a:ext uri="{FF2B5EF4-FFF2-40B4-BE49-F238E27FC236}">
              <a16:creationId xmlns:a16="http://schemas.microsoft.com/office/drawing/2014/main" id="{658C8A64-9A4E-4B1B-9B5B-3EA2D27D187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8" name="Line 18">
          <a:extLst>
            <a:ext uri="{FF2B5EF4-FFF2-40B4-BE49-F238E27FC236}">
              <a16:creationId xmlns:a16="http://schemas.microsoft.com/office/drawing/2014/main" id="{12A5F191-1DC3-4189-A4AC-EF6ECBCA3FF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9" name="Line 19">
          <a:extLst>
            <a:ext uri="{FF2B5EF4-FFF2-40B4-BE49-F238E27FC236}">
              <a16:creationId xmlns:a16="http://schemas.microsoft.com/office/drawing/2014/main" id="{05B47002-7DD3-41D4-A309-32D58AFA208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0" name="Line 20">
          <a:extLst>
            <a:ext uri="{FF2B5EF4-FFF2-40B4-BE49-F238E27FC236}">
              <a16:creationId xmlns:a16="http://schemas.microsoft.com/office/drawing/2014/main" id="{AFD3CCFE-8873-4A1E-AB2F-F17AE9143EE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1" name="Line 21">
          <a:extLst>
            <a:ext uri="{FF2B5EF4-FFF2-40B4-BE49-F238E27FC236}">
              <a16:creationId xmlns:a16="http://schemas.microsoft.com/office/drawing/2014/main" id="{3904B355-022C-4075-9BCB-AE77D9C6C49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2" name="Line 22">
          <a:extLst>
            <a:ext uri="{FF2B5EF4-FFF2-40B4-BE49-F238E27FC236}">
              <a16:creationId xmlns:a16="http://schemas.microsoft.com/office/drawing/2014/main" id="{818F2E6D-81E1-4DEA-BFF5-A5FF0DEE1DE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3" name="Line 23">
          <a:extLst>
            <a:ext uri="{FF2B5EF4-FFF2-40B4-BE49-F238E27FC236}">
              <a16:creationId xmlns:a16="http://schemas.microsoft.com/office/drawing/2014/main" id="{29F81D5E-8140-4E78-B7CD-BA5E09761CB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4" name="Line 24">
          <a:extLst>
            <a:ext uri="{FF2B5EF4-FFF2-40B4-BE49-F238E27FC236}">
              <a16:creationId xmlns:a16="http://schemas.microsoft.com/office/drawing/2014/main" id="{B44F905E-3E57-45C2-912C-317F1EB611F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5" name="Line 25">
          <a:extLst>
            <a:ext uri="{FF2B5EF4-FFF2-40B4-BE49-F238E27FC236}">
              <a16:creationId xmlns:a16="http://schemas.microsoft.com/office/drawing/2014/main" id="{9111F470-3BD7-4D9B-AD65-723295DF6E9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6" name="Line 26">
          <a:extLst>
            <a:ext uri="{FF2B5EF4-FFF2-40B4-BE49-F238E27FC236}">
              <a16:creationId xmlns:a16="http://schemas.microsoft.com/office/drawing/2014/main" id="{98E04D3B-454B-4233-A778-889B36A6440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7" name="Line 27">
          <a:extLst>
            <a:ext uri="{FF2B5EF4-FFF2-40B4-BE49-F238E27FC236}">
              <a16:creationId xmlns:a16="http://schemas.microsoft.com/office/drawing/2014/main" id="{67C356B1-F48E-4769-AA67-FDB9D18E2DB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8" name="Line 28">
          <a:extLst>
            <a:ext uri="{FF2B5EF4-FFF2-40B4-BE49-F238E27FC236}">
              <a16:creationId xmlns:a16="http://schemas.microsoft.com/office/drawing/2014/main" id="{FE510BF8-A0BC-4E2A-BAF3-0EEDEE49CB2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9" name="Line 29">
          <a:extLst>
            <a:ext uri="{FF2B5EF4-FFF2-40B4-BE49-F238E27FC236}">
              <a16:creationId xmlns:a16="http://schemas.microsoft.com/office/drawing/2014/main" id="{DF5A507C-B28C-420B-9796-0E50334113E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0" name="Line 30">
          <a:extLst>
            <a:ext uri="{FF2B5EF4-FFF2-40B4-BE49-F238E27FC236}">
              <a16:creationId xmlns:a16="http://schemas.microsoft.com/office/drawing/2014/main" id="{3CF3EDFE-5E8D-47EC-B19D-E2F4F75E987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1" name="Line 31">
          <a:extLst>
            <a:ext uri="{FF2B5EF4-FFF2-40B4-BE49-F238E27FC236}">
              <a16:creationId xmlns:a16="http://schemas.microsoft.com/office/drawing/2014/main" id="{991AAD9E-2799-4101-AEB1-C2CE6F47F17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2" name="Line 32">
          <a:extLst>
            <a:ext uri="{FF2B5EF4-FFF2-40B4-BE49-F238E27FC236}">
              <a16:creationId xmlns:a16="http://schemas.microsoft.com/office/drawing/2014/main" id="{FCF54392-FEAD-4275-9665-0FDBF5DC813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3" name="Line 33">
          <a:extLst>
            <a:ext uri="{FF2B5EF4-FFF2-40B4-BE49-F238E27FC236}">
              <a16:creationId xmlns:a16="http://schemas.microsoft.com/office/drawing/2014/main" id="{0455277F-B134-481C-9BA3-3465664C87C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4" name="Line 34">
          <a:extLst>
            <a:ext uri="{FF2B5EF4-FFF2-40B4-BE49-F238E27FC236}">
              <a16:creationId xmlns:a16="http://schemas.microsoft.com/office/drawing/2014/main" id="{9C529654-08B9-4A78-B0CC-DCF3314CE01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5" name="Line 35">
          <a:extLst>
            <a:ext uri="{FF2B5EF4-FFF2-40B4-BE49-F238E27FC236}">
              <a16:creationId xmlns:a16="http://schemas.microsoft.com/office/drawing/2014/main" id="{52644883-BD95-4FB6-9FDC-A444119E334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6" name="Line 36">
          <a:extLst>
            <a:ext uri="{FF2B5EF4-FFF2-40B4-BE49-F238E27FC236}">
              <a16:creationId xmlns:a16="http://schemas.microsoft.com/office/drawing/2014/main" id="{4D8A1676-B1E9-4DFD-9490-9D664763703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7" name="Line 37">
          <a:extLst>
            <a:ext uri="{FF2B5EF4-FFF2-40B4-BE49-F238E27FC236}">
              <a16:creationId xmlns:a16="http://schemas.microsoft.com/office/drawing/2014/main" id="{4F383EA9-A36C-41DF-AE06-2D53525A0F4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8" name="Line 38">
          <a:extLst>
            <a:ext uri="{FF2B5EF4-FFF2-40B4-BE49-F238E27FC236}">
              <a16:creationId xmlns:a16="http://schemas.microsoft.com/office/drawing/2014/main" id="{AD0D83A5-72D4-459F-96B7-0BF3DD5BC04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9" name="Line 39">
          <a:extLst>
            <a:ext uri="{FF2B5EF4-FFF2-40B4-BE49-F238E27FC236}">
              <a16:creationId xmlns:a16="http://schemas.microsoft.com/office/drawing/2014/main" id="{59226073-ACB3-4A91-9523-B6C8209CC20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0" name="Line 40">
          <a:extLst>
            <a:ext uri="{FF2B5EF4-FFF2-40B4-BE49-F238E27FC236}">
              <a16:creationId xmlns:a16="http://schemas.microsoft.com/office/drawing/2014/main" id="{584D6DCF-36C3-4E6A-AB03-12EDA1153AE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1" name="Line 41">
          <a:extLst>
            <a:ext uri="{FF2B5EF4-FFF2-40B4-BE49-F238E27FC236}">
              <a16:creationId xmlns:a16="http://schemas.microsoft.com/office/drawing/2014/main" id="{72648541-6D93-400A-AEE0-0076AFE3FDB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2" name="Line 42">
          <a:extLst>
            <a:ext uri="{FF2B5EF4-FFF2-40B4-BE49-F238E27FC236}">
              <a16:creationId xmlns:a16="http://schemas.microsoft.com/office/drawing/2014/main" id="{D64286EB-4A90-4B6B-8207-3DAC0293CFE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3" name="Line 43">
          <a:extLst>
            <a:ext uri="{FF2B5EF4-FFF2-40B4-BE49-F238E27FC236}">
              <a16:creationId xmlns:a16="http://schemas.microsoft.com/office/drawing/2014/main" id="{C5B91D7A-6ADC-4863-8E56-F59648382B3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4" name="Line 44">
          <a:extLst>
            <a:ext uri="{FF2B5EF4-FFF2-40B4-BE49-F238E27FC236}">
              <a16:creationId xmlns:a16="http://schemas.microsoft.com/office/drawing/2014/main" id="{5414F499-C688-4541-A9C8-361B34DAAE0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5" name="Line 45">
          <a:extLst>
            <a:ext uri="{FF2B5EF4-FFF2-40B4-BE49-F238E27FC236}">
              <a16:creationId xmlns:a16="http://schemas.microsoft.com/office/drawing/2014/main" id="{B303681D-8788-446C-B129-10EFCF039D0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6" name="Line 46">
          <a:extLst>
            <a:ext uri="{FF2B5EF4-FFF2-40B4-BE49-F238E27FC236}">
              <a16:creationId xmlns:a16="http://schemas.microsoft.com/office/drawing/2014/main" id="{33BA2EB3-10F3-45E7-A2DF-EDB1E852C60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7" name="Line 47">
          <a:extLst>
            <a:ext uri="{FF2B5EF4-FFF2-40B4-BE49-F238E27FC236}">
              <a16:creationId xmlns:a16="http://schemas.microsoft.com/office/drawing/2014/main" id="{3F816536-37A7-4CBE-946D-C0E459010F8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8" name="Line 48">
          <a:extLst>
            <a:ext uri="{FF2B5EF4-FFF2-40B4-BE49-F238E27FC236}">
              <a16:creationId xmlns:a16="http://schemas.microsoft.com/office/drawing/2014/main" id="{0411C467-EEF9-42A6-821A-9D446C44912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9" name="Line 49">
          <a:extLst>
            <a:ext uri="{FF2B5EF4-FFF2-40B4-BE49-F238E27FC236}">
              <a16:creationId xmlns:a16="http://schemas.microsoft.com/office/drawing/2014/main" id="{790F3438-919E-4857-866E-FB1A688BC489}"/>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0" name="Line 50">
          <a:extLst>
            <a:ext uri="{FF2B5EF4-FFF2-40B4-BE49-F238E27FC236}">
              <a16:creationId xmlns:a16="http://schemas.microsoft.com/office/drawing/2014/main" id="{296DC19E-DBC4-42D5-A59C-72F4C6ECCF4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1" name="Line 1">
          <a:extLst>
            <a:ext uri="{FF2B5EF4-FFF2-40B4-BE49-F238E27FC236}">
              <a16:creationId xmlns:a16="http://schemas.microsoft.com/office/drawing/2014/main" id="{A4C97C0D-4F75-4869-8019-1FBABDF3443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2" name="Line 2">
          <a:extLst>
            <a:ext uri="{FF2B5EF4-FFF2-40B4-BE49-F238E27FC236}">
              <a16:creationId xmlns:a16="http://schemas.microsoft.com/office/drawing/2014/main" id="{666937AD-270B-44F8-881A-F73D5CCAA0D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3" name="Line 5">
          <a:extLst>
            <a:ext uri="{FF2B5EF4-FFF2-40B4-BE49-F238E27FC236}">
              <a16:creationId xmlns:a16="http://schemas.microsoft.com/office/drawing/2014/main" id="{FC36051E-7382-4618-AF8F-DABD80241CC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4" name="Line 6">
          <a:extLst>
            <a:ext uri="{FF2B5EF4-FFF2-40B4-BE49-F238E27FC236}">
              <a16:creationId xmlns:a16="http://schemas.microsoft.com/office/drawing/2014/main" id="{A02C10CE-27E4-4101-A82E-A8D39CAE465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5" name="Line 7">
          <a:extLst>
            <a:ext uri="{FF2B5EF4-FFF2-40B4-BE49-F238E27FC236}">
              <a16:creationId xmlns:a16="http://schemas.microsoft.com/office/drawing/2014/main" id="{A152630F-E04B-484D-9F96-226CEBDE44F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6" name="Line 8">
          <a:extLst>
            <a:ext uri="{FF2B5EF4-FFF2-40B4-BE49-F238E27FC236}">
              <a16:creationId xmlns:a16="http://schemas.microsoft.com/office/drawing/2014/main" id="{047A1E81-EA55-4534-9E4E-8B0B280961A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7" name="Line 9">
          <a:extLst>
            <a:ext uri="{FF2B5EF4-FFF2-40B4-BE49-F238E27FC236}">
              <a16:creationId xmlns:a16="http://schemas.microsoft.com/office/drawing/2014/main" id="{3044C3E2-C1D2-4E48-9A9B-5F555AC9B1E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8" name="Line 10">
          <a:extLst>
            <a:ext uri="{FF2B5EF4-FFF2-40B4-BE49-F238E27FC236}">
              <a16:creationId xmlns:a16="http://schemas.microsoft.com/office/drawing/2014/main" id="{6D011358-60AA-4BB6-845E-DC0713E51AE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9" name="Line 11">
          <a:extLst>
            <a:ext uri="{FF2B5EF4-FFF2-40B4-BE49-F238E27FC236}">
              <a16:creationId xmlns:a16="http://schemas.microsoft.com/office/drawing/2014/main" id="{AFF2701F-2120-427C-A748-53CD49AE6E9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0" name="Line 12">
          <a:extLst>
            <a:ext uri="{FF2B5EF4-FFF2-40B4-BE49-F238E27FC236}">
              <a16:creationId xmlns:a16="http://schemas.microsoft.com/office/drawing/2014/main" id="{5D03D988-9EC8-4B3E-8BAF-7FB6530C419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1" name="Line 13">
          <a:extLst>
            <a:ext uri="{FF2B5EF4-FFF2-40B4-BE49-F238E27FC236}">
              <a16:creationId xmlns:a16="http://schemas.microsoft.com/office/drawing/2014/main" id="{5E37EB0F-155C-4738-844C-6CB740F5B8C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2" name="Line 14">
          <a:extLst>
            <a:ext uri="{FF2B5EF4-FFF2-40B4-BE49-F238E27FC236}">
              <a16:creationId xmlns:a16="http://schemas.microsoft.com/office/drawing/2014/main" id="{3B3E1C36-6CD2-4389-9F08-1156F54C1F2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3" name="Line 15">
          <a:extLst>
            <a:ext uri="{FF2B5EF4-FFF2-40B4-BE49-F238E27FC236}">
              <a16:creationId xmlns:a16="http://schemas.microsoft.com/office/drawing/2014/main" id="{2223924A-35B5-4A6F-B206-132B105334B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4" name="Line 16">
          <a:extLst>
            <a:ext uri="{FF2B5EF4-FFF2-40B4-BE49-F238E27FC236}">
              <a16:creationId xmlns:a16="http://schemas.microsoft.com/office/drawing/2014/main" id="{CC93A667-73E1-4AC7-BA51-24CC9D6AAB4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5" name="Line 17">
          <a:extLst>
            <a:ext uri="{FF2B5EF4-FFF2-40B4-BE49-F238E27FC236}">
              <a16:creationId xmlns:a16="http://schemas.microsoft.com/office/drawing/2014/main" id="{B8083266-DA1C-4C2B-82D5-1EC8695596B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6" name="Line 18">
          <a:extLst>
            <a:ext uri="{FF2B5EF4-FFF2-40B4-BE49-F238E27FC236}">
              <a16:creationId xmlns:a16="http://schemas.microsoft.com/office/drawing/2014/main" id="{91071E37-64E9-4232-9584-29E144E7D2B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7" name="Line 19">
          <a:extLst>
            <a:ext uri="{FF2B5EF4-FFF2-40B4-BE49-F238E27FC236}">
              <a16:creationId xmlns:a16="http://schemas.microsoft.com/office/drawing/2014/main" id="{8143629C-8F40-44D2-A925-4B5559A2912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8" name="Line 20">
          <a:extLst>
            <a:ext uri="{FF2B5EF4-FFF2-40B4-BE49-F238E27FC236}">
              <a16:creationId xmlns:a16="http://schemas.microsoft.com/office/drawing/2014/main" id="{29C3424E-40DA-4594-A7CE-E43C4CC7778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9" name="Line 21">
          <a:extLst>
            <a:ext uri="{FF2B5EF4-FFF2-40B4-BE49-F238E27FC236}">
              <a16:creationId xmlns:a16="http://schemas.microsoft.com/office/drawing/2014/main" id="{F511A8C0-4C9C-4C9B-AFDA-006810DF75D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0" name="Line 22">
          <a:extLst>
            <a:ext uri="{FF2B5EF4-FFF2-40B4-BE49-F238E27FC236}">
              <a16:creationId xmlns:a16="http://schemas.microsoft.com/office/drawing/2014/main" id="{FD66B707-10F4-475D-A7CC-B9D981D590E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1" name="Line 23">
          <a:extLst>
            <a:ext uri="{FF2B5EF4-FFF2-40B4-BE49-F238E27FC236}">
              <a16:creationId xmlns:a16="http://schemas.microsoft.com/office/drawing/2014/main" id="{8E420430-28A2-4FA8-8B41-590D1642DFA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2" name="Line 24">
          <a:extLst>
            <a:ext uri="{FF2B5EF4-FFF2-40B4-BE49-F238E27FC236}">
              <a16:creationId xmlns:a16="http://schemas.microsoft.com/office/drawing/2014/main" id="{26EB0FAC-E503-4430-8271-B8CD4F337AE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3" name="Line 25">
          <a:extLst>
            <a:ext uri="{FF2B5EF4-FFF2-40B4-BE49-F238E27FC236}">
              <a16:creationId xmlns:a16="http://schemas.microsoft.com/office/drawing/2014/main" id="{FD2A2366-94F3-488F-9930-4D4C141C3B2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4" name="Line 26">
          <a:extLst>
            <a:ext uri="{FF2B5EF4-FFF2-40B4-BE49-F238E27FC236}">
              <a16:creationId xmlns:a16="http://schemas.microsoft.com/office/drawing/2014/main" id="{2E205D92-18BE-43C9-BB6A-1C206EE73F5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5" name="Line 27">
          <a:extLst>
            <a:ext uri="{FF2B5EF4-FFF2-40B4-BE49-F238E27FC236}">
              <a16:creationId xmlns:a16="http://schemas.microsoft.com/office/drawing/2014/main" id="{12F3849C-C85B-4547-9F95-A62B411DAEC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6" name="Line 28">
          <a:extLst>
            <a:ext uri="{FF2B5EF4-FFF2-40B4-BE49-F238E27FC236}">
              <a16:creationId xmlns:a16="http://schemas.microsoft.com/office/drawing/2014/main" id="{173D60F5-47EE-4342-A4C7-3C096E579D1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7" name="Line 29">
          <a:extLst>
            <a:ext uri="{FF2B5EF4-FFF2-40B4-BE49-F238E27FC236}">
              <a16:creationId xmlns:a16="http://schemas.microsoft.com/office/drawing/2014/main" id="{6707664F-31DD-4BA9-84E3-8500131CDDD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8" name="Line 30">
          <a:extLst>
            <a:ext uri="{FF2B5EF4-FFF2-40B4-BE49-F238E27FC236}">
              <a16:creationId xmlns:a16="http://schemas.microsoft.com/office/drawing/2014/main" id="{C0E051FB-E42F-44D7-896F-525FB831D05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9" name="Line 31">
          <a:extLst>
            <a:ext uri="{FF2B5EF4-FFF2-40B4-BE49-F238E27FC236}">
              <a16:creationId xmlns:a16="http://schemas.microsoft.com/office/drawing/2014/main" id="{C68FB945-5D39-4269-80A9-396959669DE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0" name="Line 32">
          <a:extLst>
            <a:ext uri="{FF2B5EF4-FFF2-40B4-BE49-F238E27FC236}">
              <a16:creationId xmlns:a16="http://schemas.microsoft.com/office/drawing/2014/main" id="{21C652AF-100F-4082-84E5-61C5B1F4118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1" name="Line 33">
          <a:extLst>
            <a:ext uri="{FF2B5EF4-FFF2-40B4-BE49-F238E27FC236}">
              <a16:creationId xmlns:a16="http://schemas.microsoft.com/office/drawing/2014/main" id="{D22F618B-70D4-4532-A6A0-159A0C414E0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2" name="Line 34">
          <a:extLst>
            <a:ext uri="{FF2B5EF4-FFF2-40B4-BE49-F238E27FC236}">
              <a16:creationId xmlns:a16="http://schemas.microsoft.com/office/drawing/2014/main" id="{9FF46BDE-A26A-4D64-91CC-776F8D69173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3" name="Line 35">
          <a:extLst>
            <a:ext uri="{FF2B5EF4-FFF2-40B4-BE49-F238E27FC236}">
              <a16:creationId xmlns:a16="http://schemas.microsoft.com/office/drawing/2014/main" id="{30ED710B-9539-4AEA-897D-569DB85F7E1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4" name="Line 36">
          <a:extLst>
            <a:ext uri="{FF2B5EF4-FFF2-40B4-BE49-F238E27FC236}">
              <a16:creationId xmlns:a16="http://schemas.microsoft.com/office/drawing/2014/main" id="{11AC454E-6029-4286-81A7-14C49762884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5" name="Line 37">
          <a:extLst>
            <a:ext uri="{FF2B5EF4-FFF2-40B4-BE49-F238E27FC236}">
              <a16:creationId xmlns:a16="http://schemas.microsoft.com/office/drawing/2014/main" id="{4021F26E-95CE-46BD-9B93-15294B9608F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6" name="Line 38">
          <a:extLst>
            <a:ext uri="{FF2B5EF4-FFF2-40B4-BE49-F238E27FC236}">
              <a16:creationId xmlns:a16="http://schemas.microsoft.com/office/drawing/2014/main" id="{3C086076-ACC4-4AD4-A89F-EE1C07468FD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7" name="Line 39">
          <a:extLst>
            <a:ext uri="{FF2B5EF4-FFF2-40B4-BE49-F238E27FC236}">
              <a16:creationId xmlns:a16="http://schemas.microsoft.com/office/drawing/2014/main" id="{E9CF60E1-E008-478D-8141-B77C8AAD16C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8" name="Line 40">
          <a:extLst>
            <a:ext uri="{FF2B5EF4-FFF2-40B4-BE49-F238E27FC236}">
              <a16:creationId xmlns:a16="http://schemas.microsoft.com/office/drawing/2014/main" id="{5BD24665-0E22-490D-81D1-B46E1D250CB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9" name="Line 41">
          <a:extLst>
            <a:ext uri="{FF2B5EF4-FFF2-40B4-BE49-F238E27FC236}">
              <a16:creationId xmlns:a16="http://schemas.microsoft.com/office/drawing/2014/main" id="{6B888198-E55B-4B1A-BCDC-02F80905C08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0" name="Line 42">
          <a:extLst>
            <a:ext uri="{FF2B5EF4-FFF2-40B4-BE49-F238E27FC236}">
              <a16:creationId xmlns:a16="http://schemas.microsoft.com/office/drawing/2014/main" id="{7641BEE7-C70A-41B8-8485-3EC8FC6F364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1" name="Line 43">
          <a:extLst>
            <a:ext uri="{FF2B5EF4-FFF2-40B4-BE49-F238E27FC236}">
              <a16:creationId xmlns:a16="http://schemas.microsoft.com/office/drawing/2014/main" id="{0D52E686-DFF9-4306-875A-14B8D66A6CB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2" name="Line 44">
          <a:extLst>
            <a:ext uri="{FF2B5EF4-FFF2-40B4-BE49-F238E27FC236}">
              <a16:creationId xmlns:a16="http://schemas.microsoft.com/office/drawing/2014/main" id="{8E86033C-3335-491D-94C2-70D04DA94B5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3" name="Line 45">
          <a:extLst>
            <a:ext uri="{FF2B5EF4-FFF2-40B4-BE49-F238E27FC236}">
              <a16:creationId xmlns:a16="http://schemas.microsoft.com/office/drawing/2014/main" id="{EDC85DB4-658B-438F-AEA9-1572758DD82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4" name="Line 46">
          <a:extLst>
            <a:ext uri="{FF2B5EF4-FFF2-40B4-BE49-F238E27FC236}">
              <a16:creationId xmlns:a16="http://schemas.microsoft.com/office/drawing/2014/main" id="{5B084125-591A-491D-9601-34945F98BB0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5" name="Line 47">
          <a:extLst>
            <a:ext uri="{FF2B5EF4-FFF2-40B4-BE49-F238E27FC236}">
              <a16:creationId xmlns:a16="http://schemas.microsoft.com/office/drawing/2014/main" id="{1DB9A5F8-C2AD-45D7-9472-7D7E5BEB65F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6" name="Line 48">
          <a:extLst>
            <a:ext uri="{FF2B5EF4-FFF2-40B4-BE49-F238E27FC236}">
              <a16:creationId xmlns:a16="http://schemas.microsoft.com/office/drawing/2014/main" id="{51A51B60-A30D-4A3A-92F9-0561A657FEC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7" name="Line 49">
          <a:extLst>
            <a:ext uri="{FF2B5EF4-FFF2-40B4-BE49-F238E27FC236}">
              <a16:creationId xmlns:a16="http://schemas.microsoft.com/office/drawing/2014/main" id="{F53F5303-A7B4-4757-A6ED-EC8AF3D5AB8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8" name="Line 50">
          <a:extLst>
            <a:ext uri="{FF2B5EF4-FFF2-40B4-BE49-F238E27FC236}">
              <a16:creationId xmlns:a16="http://schemas.microsoft.com/office/drawing/2014/main" id="{12FAF2A7-56E4-410F-942A-B052DDDE190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99" name="Line 1">
          <a:extLst>
            <a:ext uri="{FF2B5EF4-FFF2-40B4-BE49-F238E27FC236}">
              <a16:creationId xmlns:a16="http://schemas.microsoft.com/office/drawing/2014/main" id="{BB03D9A7-789A-4E88-9AD2-043534519F2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0" name="Line 2">
          <a:extLst>
            <a:ext uri="{FF2B5EF4-FFF2-40B4-BE49-F238E27FC236}">
              <a16:creationId xmlns:a16="http://schemas.microsoft.com/office/drawing/2014/main" id="{85CF78C2-72F7-468B-9F2A-BA5110DA891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1" name="Line 5">
          <a:extLst>
            <a:ext uri="{FF2B5EF4-FFF2-40B4-BE49-F238E27FC236}">
              <a16:creationId xmlns:a16="http://schemas.microsoft.com/office/drawing/2014/main" id="{8A6398CD-443E-43DF-9D0E-2F5A5DD704F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2" name="Line 6">
          <a:extLst>
            <a:ext uri="{FF2B5EF4-FFF2-40B4-BE49-F238E27FC236}">
              <a16:creationId xmlns:a16="http://schemas.microsoft.com/office/drawing/2014/main" id="{21B2D504-DDDC-4F77-B408-B1EA6157E98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3" name="Line 7">
          <a:extLst>
            <a:ext uri="{FF2B5EF4-FFF2-40B4-BE49-F238E27FC236}">
              <a16:creationId xmlns:a16="http://schemas.microsoft.com/office/drawing/2014/main" id="{FDF5882B-5FCC-4C10-A72E-10003A850AC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4" name="Line 8">
          <a:extLst>
            <a:ext uri="{FF2B5EF4-FFF2-40B4-BE49-F238E27FC236}">
              <a16:creationId xmlns:a16="http://schemas.microsoft.com/office/drawing/2014/main" id="{05FC7850-A96B-446A-8B0A-7235C0A8F3E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5" name="Line 9">
          <a:extLst>
            <a:ext uri="{FF2B5EF4-FFF2-40B4-BE49-F238E27FC236}">
              <a16:creationId xmlns:a16="http://schemas.microsoft.com/office/drawing/2014/main" id="{A260E504-52A0-457E-9884-CCEF3343C99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6" name="Line 10">
          <a:extLst>
            <a:ext uri="{FF2B5EF4-FFF2-40B4-BE49-F238E27FC236}">
              <a16:creationId xmlns:a16="http://schemas.microsoft.com/office/drawing/2014/main" id="{C2B3532F-898B-4965-BFF0-3A132C8B836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7" name="Line 11">
          <a:extLst>
            <a:ext uri="{FF2B5EF4-FFF2-40B4-BE49-F238E27FC236}">
              <a16:creationId xmlns:a16="http://schemas.microsoft.com/office/drawing/2014/main" id="{9A7D1819-AB8B-4A86-A397-C456A4E5B10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8" name="Line 12">
          <a:extLst>
            <a:ext uri="{FF2B5EF4-FFF2-40B4-BE49-F238E27FC236}">
              <a16:creationId xmlns:a16="http://schemas.microsoft.com/office/drawing/2014/main" id="{50FCEE3B-BA9D-4D9E-8A1B-EA2E9DDB704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9" name="Line 13">
          <a:extLst>
            <a:ext uri="{FF2B5EF4-FFF2-40B4-BE49-F238E27FC236}">
              <a16:creationId xmlns:a16="http://schemas.microsoft.com/office/drawing/2014/main" id="{0FA8FAA7-573C-432F-AE10-CDFBD01324C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0" name="Line 14">
          <a:extLst>
            <a:ext uri="{FF2B5EF4-FFF2-40B4-BE49-F238E27FC236}">
              <a16:creationId xmlns:a16="http://schemas.microsoft.com/office/drawing/2014/main" id="{105E11A7-331F-48C0-9527-EEADD6CBC08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1" name="Line 15">
          <a:extLst>
            <a:ext uri="{FF2B5EF4-FFF2-40B4-BE49-F238E27FC236}">
              <a16:creationId xmlns:a16="http://schemas.microsoft.com/office/drawing/2014/main" id="{192CE0B5-DD93-4FF3-A19B-6C6256B8592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2" name="Line 16">
          <a:extLst>
            <a:ext uri="{FF2B5EF4-FFF2-40B4-BE49-F238E27FC236}">
              <a16:creationId xmlns:a16="http://schemas.microsoft.com/office/drawing/2014/main" id="{27B5EBF5-2F60-4D6D-BDCA-F00002B7302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3" name="Line 17">
          <a:extLst>
            <a:ext uri="{FF2B5EF4-FFF2-40B4-BE49-F238E27FC236}">
              <a16:creationId xmlns:a16="http://schemas.microsoft.com/office/drawing/2014/main" id="{C59DF96B-2C92-42E1-9178-F103A940EA5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4" name="Line 18">
          <a:extLst>
            <a:ext uri="{FF2B5EF4-FFF2-40B4-BE49-F238E27FC236}">
              <a16:creationId xmlns:a16="http://schemas.microsoft.com/office/drawing/2014/main" id="{22AC1ECE-F3D9-4A9A-845F-562EBDC32F5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5" name="Line 19">
          <a:extLst>
            <a:ext uri="{FF2B5EF4-FFF2-40B4-BE49-F238E27FC236}">
              <a16:creationId xmlns:a16="http://schemas.microsoft.com/office/drawing/2014/main" id="{C94D7F54-2654-4967-ACAF-0AB9D0D86EB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6" name="Line 20">
          <a:extLst>
            <a:ext uri="{FF2B5EF4-FFF2-40B4-BE49-F238E27FC236}">
              <a16:creationId xmlns:a16="http://schemas.microsoft.com/office/drawing/2014/main" id="{DAD0DB52-3165-444B-A9BE-B64F4C77D2D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7" name="Line 21">
          <a:extLst>
            <a:ext uri="{FF2B5EF4-FFF2-40B4-BE49-F238E27FC236}">
              <a16:creationId xmlns:a16="http://schemas.microsoft.com/office/drawing/2014/main" id="{A341EB0A-FCF9-4CCD-A0AB-C2CE6FF6C0B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8" name="Line 22">
          <a:extLst>
            <a:ext uri="{FF2B5EF4-FFF2-40B4-BE49-F238E27FC236}">
              <a16:creationId xmlns:a16="http://schemas.microsoft.com/office/drawing/2014/main" id="{839EEF86-0E52-4632-9501-BB1EABD7A92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9" name="Line 23">
          <a:extLst>
            <a:ext uri="{FF2B5EF4-FFF2-40B4-BE49-F238E27FC236}">
              <a16:creationId xmlns:a16="http://schemas.microsoft.com/office/drawing/2014/main" id="{F6486D3A-13C8-4DE4-9CE9-F1FC3E61A25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0" name="Line 24">
          <a:extLst>
            <a:ext uri="{FF2B5EF4-FFF2-40B4-BE49-F238E27FC236}">
              <a16:creationId xmlns:a16="http://schemas.microsoft.com/office/drawing/2014/main" id="{4A6B1268-1190-48A4-9865-B0657C0BC1D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1" name="Line 25">
          <a:extLst>
            <a:ext uri="{FF2B5EF4-FFF2-40B4-BE49-F238E27FC236}">
              <a16:creationId xmlns:a16="http://schemas.microsoft.com/office/drawing/2014/main" id="{88E5AE9B-3210-4444-94AC-5A98B696583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2" name="Line 26">
          <a:extLst>
            <a:ext uri="{FF2B5EF4-FFF2-40B4-BE49-F238E27FC236}">
              <a16:creationId xmlns:a16="http://schemas.microsoft.com/office/drawing/2014/main" id="{B5645942-84AB-4E91-91E0-C0A8E3B3B48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3" name="Line 27">
          <a:extLst>
            <a:ext uri="{FF2B5EF4-FFF2-40B4-BE49-F238E27FC236}">
              <a16:creationId xmlns:a16="http://schemas.microsoft.com/office/drawing/2014/main" id="{8C5D7EF1-FCF1-4C7F-8D78-3A12E470A27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4" name="Line 28">
          <a:extLst>
            <a:ext uri="{FF2B5EF4-FFF2-40B4-BE49-F238E27FC236}">
              <a16:creationId xmlns:a16="http://schemas.microsoft.com/office/drawing/2014/main" id="{7F383E8C-E519-4E13-85E7-1C7297B5FBE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5" name="Line 29">
          <a:extLst>
            <a:ext uri="{FF2B5EF4-FFF2-40B4-BE49-F238E27FC236}">
              <a16:creationId xmlns:a16="http://schemas.microsoft.com/office/drawing/2014/main" id="{DBEE317A-1E9F-459B-B356-505562AE63B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6" name="Line 30">
          <a:extLst>
            <a:ext uri="{FF2B5EF4-FFF2-40B4-BE49-F238E27FC236}">
              <a16:creationId xmlns:a16="http://schemas.microsoft.com/office/drawing/2014/main" id="{C87A4475-5417-4046-A4BD-340A53996F8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7" name="Line 31">
          <a:extLst>
            <a:ext uri="{FF2B5EF4-FFF2-40B4-BE49-F238E27FC236}">
              <a16:creationId xmlns:a16="http://schemas.microsoft.com/office/drawing/2014/main" id="{C8A8ACCA-EC8C-4E46-ADF9-7850B8CABF9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8" name="Line 32">
          <a:extLst>
            <a:ext uri="{FF2B5EF4-FFF2-40B4-BE49-F238E27FC236}">
              <a16:creationId xmlns:a16="http://schemas.microsoft.com/office/drawing/2014/main" id="{32D61B6E-951A-462E-B143-3BB3E7CA641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9" name="Line 33">
          <a:extLst>
            <a:ext uri="{FF2B5EF4-FFF2-40B4-BE49-F238E27FC236}">
              <a16:creationId xmlns:a16="http://schemas.microsoft.com/office/drawing/2014/main" id="{B808CA3D-52D3-420F-BB79-365411E4A1A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0" name="Line 34">
          <a:extLst>
            <a:ext uri="{FF2B5EF4-FFF2-40B4-BE49-F238E27FC236}">
              <a16:creationId xmlns:a16="http://schemas.microsoft.com/office/drawing/2014/main" id="{8699F886-9A82-41C8-8963-260F464E089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1" name="Line 35">
          <a:extLst>
            <a:ext uri="{FF2B5EF4-FFF2-40B4-BE49-F238E27FC236}">
              <a16:creationId xmlns:a16="http://schemas.microsoft.com/office/drawing/2014/main" id="{E6E80F36-EA20-46CD-A74E-3E0F16E20FE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2" name="Line 36">
          <a:extLst>
            <a:ext uri="{FF2B5EF4-FFF2-40B4-BE49-F238E27FC236}">
              <a16:creationId xmlns:a16="http://schemas.microsoft.com/office/drawing/2014/main" id="{46F62014-FA9C-4B4F-9765-51A0510347B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3" name="Line 37">
          <a:extLst>
            <a:ext uri="{FF2B5EF4-FFF2-40B4-BE49-F238E27FC236}">
              <a16:creationId xmlns:a16="http://schemas.microsoft.com/office/drawing/2014/main" id="{2269A2B9-BCC7-48DB-8528-3A2B9C7570B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4" name="Line 38">
          <a:extLst>
            <a:ext uri="{FF2B5EF4-FFF2-40B4-BE49-F238E27FC236}">
              <a16:creationId xmlns:a16="http://schemas.microsoft.com/office/drawing/2014/main" id="{F123E2B8-0267-4132-B289-4BF55C37610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5" name="Line 39">
          <a:extLst>
            <a:ext uri="{FF2B5EF4-FFF2-40B4-BE49-F238E27FC236}">
              <a16:creationId xmlns:a16="http://schemas.microsoft.com/office/drawing/2014/main" id="{0F9363FC-52E2-4CAE-A8D8-1476B16E4C0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6" name="Line 40">
          <a:extLst>
            <a:ext uri="{FF2B5EF4-FFF2-40B4-BE49-F238E27FC236}">
              <a16:creationId xmlns:a16="http://schemas.microsoft.com/office/drawing/2014/main" id="{B036651D-EF88-4324-954A-92C1A54FE28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7" name="Line 41">
          <a:extLst>
            <a:ext uri="{FF2B5EF4-FFF2-40B4-BE49-F238E27FC236}">
              <a16:creationId xmlns:a16="http://schemas.microsoft.com/office/drawing/2014/main" id="{BCFA7268-999E-44DD-A524-C020FB82B50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8" name="Line 42">
          <a:extLst>
            <a:ext uri="{FF2B5EF4-FFF2-40B4-BE49-F238E27FC236}">
              <a16:creationId xmlns:a16="http://schemas.microsoft.com/office/drawing/2014/main" id="{2ED296E3-2C21-4075-98D0-E20D4425B8A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9" name="Line 43">
          <a:extLst>
            <a:ext uri="{FF2B5EF4-FFF2-40B4-BE49-F238E27FC236}">
              <a16:creationId xmlns:a16="http://schemas.microsoft.com/office/drawing/2014/main" id="{60717FB1-1997-427D-834A-A6E34675AE6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0" name="Line 44">
          <a:extLst>
            <a:ext uri="{FF2B5EF4-FFF2-40B4-BE49-F238E27FC236}">
              <a16:creationId xmlns:a16="http://schemas.microsoft.com/office/drawing/2014/main" id="{27A769E7-D74D-434B-8EB1-209F92CF203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1" name="Line 45">
          <a:extLst>
            <a:ext uri="{FF2B5EF4-FFF2-40B4-BE49-F238E27FC236}">
              <a16:creationId xmlns:a16="http://schemas.microsoft.com/office/drawing/2014/main" id="{9A38A743-094C-4729-A64A-E8ECEB2D5A8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2" name="Line 46">
          <a:extLst>
            <a:ext uri="{FF2B5EF4-FFF2-40B4-BE49-F238E27FC236}">
              <a16:creationId xmlns:a16="http://schemas.microsoft.com/office/drawing/2014/main" id="{F80F41C5-91FF-4FBB-A85B-E9688E89CC3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3" name="Line 47">
          <a:extLst>
            <a:ext uri="{FF2B5EF4-FFF2-40B4-BE49-F238E27FC236}">
              <a16:creationId xmlns:a16="http://schemas.microsoft.com/office/drawing/2014/main" id="{EF21750D-A32E-45D4-A122-47B66033DDD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4" name="Line 48">
          <a:extLst>
            <a:ext uri="{FF2B5EF4-FFF2-40B4-BE49-F238E27FC236}">
              <a16:creationId xmlns:a16="http://schemas.microsoft.com/office/drawing/2014/main" id="{02B25766-92F9-41EB-BD26-3520996CA8E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5" name="Line 49">
          <a:extLst>
            <a:ext uri="{FF2B5EF4-FFF2-40B4-BE49-F238E27FC236}">
              <a16:creationId xmlns:a16="http://schemas.microsoft.com/office/drawing/2014/main" id="{2DBFB82D-5AC0-4588-8AF2-474C446EEE6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6" name="Line 50">
          <a:extLst>
            <a:ext uri="{FF2B5EF4-FFF2-40B4-BE49-F238E27FC236}">
              <a16:creationId xmlns:a16="http://schemas.microsoft.com/office/drawing/2014/main" id="{BC5E1DC4-5DE4-48E2-9345-B3F9AA7C56D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7" name="Line 1">
          <a:extLst>
            <a:ext uri="{FF2B5EF4-FFF2-40B4-BE49-F238E27FC236}">
              <a16:creationId xmlns:a16="http://schemas.microsoft.com/office/drawing/2014/main" id="{3DD11456-AAF4-4155-AC5A-F1B24E5B8B5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8" name="Line 2">
          <a:extLst>
            <a:ext uri="{FF2B5EF4-FFF2-40B4-BE49-F238E27FC236}">
              <a16:creationId xmlns:a16="http://schemas.microsoft.com/office/drawing/2014/main" id="{5AF9956A-3CE3-4D32-A1BB-C1F63DDA0EA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9" name="Line 5">
          <a:extLst>
            <a:ext uri="{FF2B5EF4-FFF2-40B4-BE49-F238E27FC236}">
              <a16:creationId xmlns:a16="http://schemas.microsoft.com/office/drawing/2014/main" id="{D9227CE9-C606-4FEE-802F-9A5F6E52CEB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0" name="Line 6">
          <a:extLst>
            <a:ext uri="{FF2B5EF4-FFF2-40B4-BE49-F238E27FC236}">
              <a16:creationId xmlns:a16="http://schemas.microsoft.com/office/drawing/2014/main" id="{970F1327-EDBC-44E8-97FA-E22FC363CFC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1" name="Line 7">
          <a:extLst>
            <a:ext uri="{FF2B5EF4-FFF2-40B4-BE49-F238E27FC236}">
              <a16:creationId xmlns:a16="http://schemas.microsoft.com/office/drawing/2014/main" id="{15271F9B-7245-4BA6-A06C-16B40FC633C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2" name="Line 8">
          <a:extLst>
            <a:ext uri="{FF2B5EF4-FFF2-40B4-BE49-F238E27FC236}">
              <a16:creationId xmlns:a16="http://schemas.microsoft.com/office/drawing/2014/main" id="{CE8C5C85-238B-42C0-BFB5-03C2EFCBCB3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3" name="Line 9">
          <a:extLst>
            <a:ext uri="{FF2B5EF4-FFF2-40B4-BE49-F238E27FC236}">
              <a16:creationId xmlns:a16="http://schemas.microsoft.com/office/drawing/2014/main" id="{972DCCFA-FB3A-47A4-A5AD-C54F4295515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4" name="Line 10">
          <a:extLst>
            <a:ext uri="{FF2B5EF4-FFF2-40B4-BE49-F238E27FC236}">
              <a16:creationId xmlns:a16="http://schemas.microsoft.com/office/drawing/2014/main" id="{9AB6E513-C294-42CD-8A73-4978943F19B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5" name="Line 11">
          <a:extLst>
            <a:ext uri="{FF2B5EF4-FFF2-40B4-BE49-F238E27FC236}">
              <a16:creationId xmlns:a16="http://schemas.microsoft.com/office/drawing/2014/main" id="{FA3F7C48-571A-414A-BE3E-F8943A34FAD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6" name="Line 12">
          <a:extLst>
            <a:ext uri="{FF2B5EF4-FFF2-40B4-BE49-F238E27FC236}">
              <a16:creationId xmlns:a16="http://schemas.microsoft.com/office/drawing/2014/main" id="{8D85DD41-6FAB-41A0-9A00-B69BB7B676A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7" name="Line 13">
          <a:extLst>
            <a:ext uri="{FF2B5EF4-FFF2-40B4-BE49-F238E27FC236}">
              <a16:creationId xmlns:a16="http://schemas.microsoft.com/office/drawing/2014/main" id="{6AED56AA-C807-4442-9812-13328112A6F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8" name="Line 14">
          <a:extLst>
            <a:ext uri="{FF2B5EF4-FFF2-40B4-BE49-F238E27FC236}">
              <a16:creationId xmlns:a16="http://schemas.microsoft.com/office/drawing/2014/main" id="{1362A6D5-1FAC-454A-94AA-3D8F51A59CD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9" name="Line 15">
          <a:extLst>
            <a:ext uri="{FF2B5EF4-FFF2-40B4-BE49-F238E27FC236}">
              <a16:creationId xmlns:a16="http://schemas.microsoft.com/office/drawing/2014/main" id="{66E0BFAD-266D-44E0-8E3B-BF7739BA731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0" name="Line 16">
          <a:extLst>
            <a:ext uri="{FF2B5EF4-FFF2-40B4-BE49-F238E27FC236}">
              <a16:creationId xmlns:a16="http://schemas.microsoft.com/office/drawing/2014/main" id="{339DDBCE-F675-4733-8A98-389EEDB8292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1" name="Line 17">
          <a:extLst>
            <a:ext uri="{FF2B5EF4-FFF2-40B4-BE49-F238E27FC236}">
              <a16:creationId xmlns:a16="http://schemas.microsoft.com/office/drawing/2014/main" id="{01289ED5-A10F-4801-AE9B-9FB40C7B1DE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2" name="Line 18">
          <a:extLst>
            <a:ext uri="{FF2B5EF4-FFF2-40B4-BE49-F238E27FC236}">
              <a16:creationId xmlns:a16="http://schemas.microsoft.com/office/drawing/2014/main" id="{AD46525B-D76D-4DB3-8550-B49AC309FD7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3" name="Line 19">
          <a:extLst>
            <a:ext uri="{FF2B5EF4-FFF2-40B4-BE49-F238E27FC236}">
              <a16:creationId xmlns:a16="http://schemas.microsoft.com/office/drawing/2014/main" id="{1DF5B661-FDFD-478C-AC19-94D4E6C74C1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4" name="Line 20">
          <a:extLst>
            <a:ext uri="{FF2B5EF4-FFF2-40B4-BE49-F238E27FC236}">
              <a16:creationId xmlns:a16="http://schemas.microsoft.com/office/drawing/2014/main" id="{9D7CE5A7-5141-4EC9-842F-88616EE776E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5" name="Line 21">
          <a:extLst>
            <a:ext uri="{FF2B5EF4-FFF2-40B4-BE49-F238E27FC236}">
              <a16:creationId xmlns:a16="http://schemas.microsoft.com/office/drawing/2014/main" id="{68605745-76EF-4BEE-A039-6A1AC9B6EB8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6" name="Line 22">
          <a:extLst>
            <a:ext uri="{FF2B5EF4-FFF2-40B4-BE49-F238E27FC236}">
              <a16:creationId xmlns:a16="http://schemas.microsoft.com/office/drawing/2014/main" id="{75329837-E006-4762-84F3-400D17A960E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7" name="Line 23">
          <a:extLst>
            <a:ext uri="{FF2B5EF4-FFF2-40B4-BE49-F238E27FC236}">
              <a16:creationId xmlns:a16="http://schemas.microsoft.com/office/drawing/2014/main" id="{27AE2C3B-4D7D-43A6-879E-41DA45AFC98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8" name="Line 24">
          <a:extLst>
            <a:ext uri="{FF2B5EF4-FFF2-40B4-BE49-F238E27FC236}">
              <a16:creationId xmlns:a16="http://schemas.microsoft.com/office/drawing/2014/main" id="{6467C093-DC15-4B15-B767-5C3FA77E769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9" name="Line 25">
          <a:extLst>
            <a:ext uri="{FF2B5EF4-FFF2-40B4-BE49-F238E27FC236}">
              <a16:creationId xmlns:a16="http://schemas.microsoft.com/office/drawing/2014/main" id="{BFA1F09A-2EB7-4905-A8B7-70A0E1F4E24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0" name="Line 26">
          <a:extLst>
            <a:ext uri="{FF2B5EF4-FFF2-40B4-BE49-F238E27FC236}">
              <a16:creationId xmlns:a16="http://schemas.microsoft.com/office/drawing/2014/main" id="{75FA9325-8CB4-4327-8F3A-7ED9F2ED9F8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1" name="Line 27">
          <a:extLst>
            <a:ext uri="{FF2B5EF4-FFF2-40B4-BE49-F238E27FC236}">
              <a16:creationId xmlns:a16="http://schemas.microsoft.com/office/drawing/2014/main" id="{9EBA2A44-84F4-4C0E-974B-7FF7C7952B8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2" name="Line 28">
          <a:extLst>
            <a:ext uri="{FF2B5EF4-FFF2-40B4-BE49-F238E27FC236}">
              <a16:creationId xmlns:a16="http://schemas.microsoft.com/office/drawing/2014/main" id="{AC7A010F-0B53-46A8-BA04-2CC184CB46D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3" name="Line 29">
          <a:extLst>
            <a:ext uri="{FF2B5EF4-FFF2-40B4-BE49-F238E27FC236}">
              <a16:creationId xmlns:a16="http://schemas.microsoft.com/office/drawing/2014/main" id="{B7930EAA-9FD8-4343-89E9-28367B0AA9D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4" name="Line 30">
          <a:extLst>
            <a:ext uri="{FF2B5EF4-FFF2-40B4-BE49-F238E27FC236}">
              <a16:creationId xmlns:a16="http://schemas.microsoft.com/office/drawing/2014/main" id="{E454338E-0150-4A84-82D4-F99CEA087BD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5" name="Line 31">
          <a:extLst>
            <a:ext uri="{FF2B5EF4-FFF2-40B4-BE49-F238E27FC236}">
              <a16:creationId xmlns:a16="http://schemas.microsoft.com/office/drawing/2014/main" id="{A2D6BE3A-A73E-43E7-A733-B80F954F879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6" name="Line 32">
          <a:extLst>
            <a:ext uri="{FF2B5EF4-FFF2-40B4-BE49-F238E27FC236}">
              <a16:creationId xmlns:a16="http://schemas.microsoft.com/office/drawing/2014/main" id="{56E912CC-F608-436B-841D-42DE78AFDBE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7" name="Line 33">
          <a:extLst>
            <a:ext uri="{FF2B5EF4-FFF2-40B4-BE49-F238E27FC236}">
              <a16:creationId xmlns:a16="http://schemas.microsoft.com/office/drawing/2014/main" id="{F74B9261-481D-4D80-96CD-975034A26EB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8" name="Line 34">
          <a:extLst>
            <a:ext uri="{FF2B5EF4-FFF2-40B4-BE49-F238E27FC236}">
              <a16:creationId xmlns:a16="http://schemas.microsoft.com/office/drawing/2014/main" id="{8B20DC15-1D1E-40DF-8C34-FC17EA68E4A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9" name="Line 35">
          <a:extLst>
            <a:ext uri="{FF2B5EF4-FFF2-40B4-BE49-F238E27FC236}">
              <a16:creationId xmlns:a16="http://schemas.microsoft.com/office/drawing/2014/main" id="{737FEC10-DD5A-4357-AB63-412E6E3CA1B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0" name="Line 36">
          <a:extLst>
            <a:ext uri="{FF2B5EF4-FFF2-40B4-BE49-F238E27FC236}">
              <a16:creationId xmlns:a16="http://schemas.microsoft.com/office/drawing/2014/main" id="{9B741C33-06FE-49CB-98CB-12DED09EA8B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1" name="Line 37">
          <a:extLst>
            <a:ext uri="{FF2B5EF4-FFF2-40B4-BE49-F238E27FC236}">
              <a16:creationId xmlns:a16="http://schemas.microsoft.com/office/drawing/2014/main" id="{03091BB6-3D2D-4F71-89F9-B34C8A8604A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2" name="Line 38">
          <a:extLst>
            <a:ext uri="{FF2B5EF4-FFF2-40B4-BE49-F238E27FC236}">
              <a16:creationId xmlns:a16="http://schemas.microsoft.com/office/drawing/2014/main" id="{70A762DC-845D-46FE-8E2E-8D1A64EA8AB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3" name="Line 39">
          <a:extLst>
            <a:ext uri="{FF2B5EF4-FFF2-40B4-BE49-F238E27FC236}">
              <a16:creationId xmlns:a16="http://schemas.microsoft.com/office/drawing/2014/main" id="{1E3171ED-DDCD-4F53-BF48-F0A8F97E909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4" name="Line 40">
          <a:extLst>
            <a:ext uri="{FF2B5EF4-FFF2-40B4-BE49-F238E27FC236}">
              <a16:creationId xmlns:a16="http://schemas.microsoft.com/office/drawing/2014/main" id="{C8A54498-EA57-4059-A076-D21B8FF1649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5" name="Line 41">
          <a:extLst>
            <a:ext uri="{FF2B5EF4-FFF2-40B4-BE49-F238E27FC236}">
              <a16:creationId xmlns:a16="http://schemas.microsoft.com/office/drawing/2014/main" id="{97B02B90-EFBB-4F6F-A502-9E3E650CAE8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6" name="Line 42">
          <a:extLst>
            <a:ext uri="{FF2B5EF4-FFF2-40B4-BE49-F238E27FC236}">
              <a16:creationId xmlns:a16="http://schemas.microsoft.com/office/drawing/2014/main" id="{890B2389-B050-416A-A352-D34F746743A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7" name="Line 43">
          <a:extLst>
            <a:ext uri="{FF2B5EF4-FFF2-40B4-BE49-F238E27FC236}">
              <a16:creationId xmlns:a16="http://schemas.microsoft.com/office/drawing/2014/main" id="{48ADDB55-97ED-4C0E-A1D4-9828B7F570C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8" name="Line 44">
          <a:extLst>
            <a:ext uri="{FF2B5EF4-FFF2-40B4-BE49-F238E27FC236}">
              <a16:creationId xmlns:a16="http://schemas.microsoft.com/office/drawing/2014/main" id="{6C1D2161-C297-43CA-BFFF-B5298889D6A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9" name="Line 45">
          <a:extLst>
            <a:ext uri="{FF2B5EF4-FFF2-40B4-BE49-F238E27FC236}">
              <a16:creationId xmlns:a16="http://schemas.microsoft.com/office/drawing/2014/main" id="{E153C705-F616-425A-8A36-2968377176D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0" name="Line 46">
          <a:extLst>
            <a:ext uri="{FF2B5EF4-FFF2-40B4-BE49-F238E27FC236}">
              <a16:creationId xmlns:a16="http://schemas.microsoft.com/office/drawing/2014/main" id="{4BCD9823-F86A-4413-AAE6-45A5C7ED3C7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1" name="Line 47">
          <a:extLst>
            <a:ext uri="{FF2B5EF4-FFF2-40B4-BE49-F238E27FC236}">
              <a16:creationId xmlns:a16="http://schemas.microsoft.com/office/drawing/2014/main" id="{9F01F1D3-FEA3-4819-971A-F170F79003F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2" name="Line 48">
          <a:extLst>
            <a:ext uri="{FF2B5EF4-FFF2-40B4-BE49-F238E27FC236}">
              <a16:creationId xmlns:a16="http://schemas.microsoft.com/office/drawing/2014/main" id="{D2A1C3AB-2CAC-47E5-BC86-A059F2CBABB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3" name="Line 49">
          <a:extLst>
            <a:ext uri="{FF2B5EF4-FFF2-40B4-BE49-F238E27FC236}">
              <a16:creationId xmlns:a16="http://schemas.microsoft.com/office/drawing/2014/main" id="{9B537DD1-42AE-4C7B-A86A-628747B6E4A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4" name="Line 50">
          <a:extLst>
            <a:ext uri="{FF2B5EF4-FFF2-40B4-BE49-F238E27FC236}">
              <a16:creationId xmlns:a16="http://schemas.microsoft.com/office/drawing/2014/main" id="{55E985F1-31B1-481E-BF9E-E241BB5D93C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5" name="Line 1">
          <a:extLst>
            <a:ext uri="{FF2B5EF4-FFF2-40B4-BE49-F238E27FC236}">
              <a16:creationId xmlns:a16="http://schemas.microsoft.com/office/drawing/2014/main" id="{B42A3165-7749-4A0B-ABAE-19EA33636CC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6" name="Line 2">
          <a:extLst>
            <a:ext uri="{FF2B5EF4-FFF2-40B4-BE49-F238E27FC236}">
              <a16:creationId xmlns:a16="http://schemas.microsoft.com/office/drawing/2014/main" id="{353DD404-17D2-43AA-84B8-14C5D530340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7" name="Line 5">
          <a:extLst>
            <a:ext uri="{FF2B5EF4-FFF2-40B4-BE49-F238E27FC236}">
              <a16:creationId xmlns:a16="http://schemas.microsoft.com/office/drawing/2014/main" id="{E51A9A39-123B-44A2-BA3E-7E00E6E9B19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8" name="Line 6">
          <a:extLst>
            <a:ext uri="{FF2B5EF4-FFF2-40B4-BE49-F238E27FC236}">
              <a16:creationId xmlns:a16="http://schemas.microsoft.com/office/drawing/2014/main" id="{6B07B8C6-F617-426D-AEC6-6D5C4B10A6E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9" name="Line 7">
          <a:extLst>
            <a:ext uri="{FF2B5EF4-FFF2-40B4-BE49-F238E27FC236}">
              <a16:creationId xmlns:a16="http://schemas.microsoft.com/office/drawing/2014/main" id="{1A2F69CC-CAB5-4BB6-A584-9C071033A55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0" name="Line 8">
          <a:extLst>
            <a:ext uri="{FF2B5EF4-FFF2-40B4-BE49-F238E27FC236}">
              <a16:creationId xmlns:a16="http://schemas.microsoft.com/office/drawing/2014/main" id="{A14CD409-F712-4175-ABCB-AFC38898281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1" name="Line 9">
          <a:extLst>
            <a:ext uri="{FF2B5EF4-FFF2-40B4-BE49-F238E27FC236}">
              <a16:creationId xmlns:a16="http://schemas.microsoft.com/office/drawing/2014/main" id="{017B96F7-F7C0-4F34-9231-86AB0E661D1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2" name="Line 10">
          <a:extLst>
            <a:ext uri="{FF2B5EF4-FFF2-40B4-BE49-F238E27FC236}">
              <a16:creationId xmlns:a16="http://schemas.microsoft.com/office/drawing/2014/main" id="{B9869D89-EF32-4CA2-A996-6D8669E386F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3" name="Line 11">
          <a:extLst>
            <a:ext uri="{FF2B5EF4-FFF2-40B4-BE49-F238E27FC236}">
              <a16:creationId xmlns:a16="http://schemas.microsoft.com/office/drawing/2014/main" id="{38D238BA-C835-4133-9C48-053C3AEE7E8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4" name="Line 12">
          <a:extLst>
            <a:ext uri="{FF2B5EF4-FFF2-40B4-BE49-F238E27FC236}">
              <a16:creationId xmlns:a16="http://schemas.microsoft.com/office/drawing/2014/main" id="{A26A3E40-946F-42C4-AB6F-C6476F43A08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5" name="Line 13">
          <a:extLst>
            <a:ext uri="{FF2B5EF4-FFF2-40B4-BE49-F238E27FC236}">
              <a16:creationId xmlns:a16="http://schemas.microsoft.com/office/drawing/2014/main" id="{3F88791A-835E-4AF3-ACE8-AA423A8D345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6" name="Line 14">
          <a:extLst>
            <a:ext uri="{FF2B5EF4-FFF2-40B4-BE49-F238E27FC236}">
              <a16:creationId xmlns:a16="http://schemas.microsoft.com/office/drawing/2014/main" id="{1E50B999-9FBF-4250-8F65-F6278CCFEBA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7" name="Line 15">
          <a:extLst>
            <a:ext uri="{FF2B5EF4-FFF2-40B4-BE49-F238E27FC236}">
              <a16:creationId xmlns:a16="http://schemas.microsoft.com/office/drawing/2014/main" id="{6A94A6E8-D6E7-47A6-9354-52094D6E8E8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8" name="Line 16">
          <a:extLst>
            <a:ext uri="{FF2B5EF4-FFF2-40B4-BE49-F238E27FC236}">
              <a16:creationId xmlns:a16="http://schemas.microsoft.com/office/drawing/2014/main" id="{C747BB99-D306-4CE3-9448-631C94E9845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9" name="Line 17">
          <a:extLst>
            <a:ext uri="{FF2B5EF4-FFF2-40B4-BE49-F238E27FC236}">
              <a16:creationId xmlns:a16="http://schemas.microsoft.com/office/drawing/2014/main" id="{27DC2319-EE96-434F-92F4-ED5871C8835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0" name="Line 18">
          <a:extLst>
            <a:ext uri="{FF2B5EF4-FFF2-40B4-BE49-F238E27FC236}">
              <a16:creationId xmlns:a16="http://schemas.microsoft.com/office/drawing/2014/main" id="{E9D20429-E17D-4905-8A0B-50459B59E5F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1" name="Line 19">
          <a:extLst>
            <a:ext uri="{FF2B5EF4-FFF2-40B4-BE49-F238E27FC236}">
              <a16:creationId xmlns:a16="http://schemas.microsoft.com/office/drawing/2014/main" id="{CA13D257-D6A8-4835-B70F-65E97F707B3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2" name="Line 20">
          <a:extLst>
            <a:ext uri="{FF2B5EF4-FFF2-40B4-BE49-F238E27FC236}">
              <a16:creationId xmlns:a16="http://schemas.microsoft.com/office/drawing/2014/main" id="{281A00CF-0C6F-4584-BC49-D70AAF1409D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3" name="Line 21">
          <a:extLst>
            <a:ext uri="{FF2B5EF4-FFF2-40B4-BE49-F238E27FC236}">
              <a16:creationId xmlns:a16="http://schemas.microsoft.com/office/drawing/2014/main" id="{21327665-543E-4E40-8C95-7454678C54C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4" name="Line 22">
          <a:extLst>
            <a:ext uri="{FF2B5EF4-FFF2-40B4-BE49-F238E27FC236}">
              <a16:creationId xmlns:a16="http://schemas.microsoft.com/office/drawing/2014/main" id="{70346B39-1CC7-4AB5-BEFE-94637867560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5" name="Line 23">
          <a:extLst>
            <a:ext uri="{FF2B5EF4-FFF2-40B4-BE49-F238E27FC236}">
              <a16:creationId xmlns:a16="http://schemas.microsoft.com/office/drawing/2014/main" id="{FB30F1BC-065B-4527-8E6C-7679C2B2FD6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6" name="Line 24">
          <a:extLst>
            <a:ext uri="{FF2B5EF4-FFF2-40B4-BE49-F238E27FC236}">
              <a16:creationId xmlns:a16="http://schemas.microsoft.com/office/drawing/2014/main" id="{F320DDF1-2062-4909-A466-602D29F6420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7" name="Line 25">
          <a:extLst>
            <a:ext uri="{FF2B5EF4-FFF2-40B4-BE49-F238E27FC236}">
              <a16:creationId xmlns:a16="http://schemas.microsoft.com/office/drawing/2014/main" id="{AD54F5DB-0510-4757-8753-AD1A7A7BA85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8" name="Line 26">
          <a:extLst>
            <a:ext uri="{FF2B5EF4-FFF2-40B4-BE49-F238E27FC236}">
              <a16:creationId xmlns:a16="http://schemas.microsoft.com/office/drawing/2014/main" id="{F6A67919-57E9-44CB-8679-92AB0194CEE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9" name="Line 27">
          <a:extLst>
            <a:ext uri="{FF2B5EF4-FFF2-40B4-BE49-F238E27FC236}">
              <a16:creationId xmlns:a16="http://schemas.microsoft.com/office/drawing/2014/main" id="{F93E89ED-1884-4F1B-B2FD-382FAD364A8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0" name="Line 28">
          <a:extLst>
            <a:ext uri="{FF2B5EF4-FFF2-40B4-BE49-F238E27FC236}">
              <a16:creationId xmlns:a16="http://schemas.microsoft.com/office/drawing/2014/main" id="{A9387850-7935-4D89-966A-885DA71D483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1" name="Line 29">
          <a:extLst>
            <a:ext uri="{FF2B5EF4-FFF2-40B4-BE49-F238E27FC236}">
              <a16:creationId xmlns:a16="http://schemas.microsoft.com/office/drawing/2014/main" id="{FE1CA926-3CF0-4C77-85ED-CFC1C04C3BA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2" name="Line 30">
          <a:extLst>
            <a:ext uri="{FF2B5EF4-FFF2-40B4-BE49-F238E27FC236}">
              <a16:creationId xmlns:a16="http://schemas.microsoft.com/office/drawing/2014/main" id="{45981A24-4C27-44CF-B9E4-A8522C3A1F4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3" name="Line 31">
          <a:extLst>
            <a:ext uri="{FF2B5EF4-FFF2-40B4-BE49-F238E27FC236}">
              <a16:creationId xmlns:a16="http://schemas.microsoft.com/office/drawing/2014/main" id="{08F59CAF-EAEC-448E-AE4C-C288A2C2890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4" name="Line 32">
          <a:extLst>
            <a:ext uri="{FF2B5EF4-FFF2-40B4-BE49-F238E27FC236}">
              <a16:creationId xmlns:a16="http://schemas.microsoft.com/office/drawing/2014/main" id="{4EE0EE1F-31B6-445F-8F90-CA0D98C5019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5" name="Line 33">
          <a:extLst>
            <a:ext uri="{FF2B5EF4-FFF2-40B4-BE49-F238E27FC236}">
              <a16:creationId xmlns:a16="http://schemas.microsoft.com/office/drawing/2014/main" id="{1123E3EF-21E6-40F0-820C-78BB4B2C0F4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6" name="Line 34">
          <a:extLst>
            <a:ext uri="{FF2B5EF4-FFF2-40B4-BE49-F238E27FC236}">
              <a16:creationId xmlns:a16="http://schemas.microsoft.com/office/drawing/2014/main" id="{12275D6E-83C4-4F4C-8C6A-C374EDA2261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7" name="Line 35">
          <a:extLst>
            <a:ext uri="{FF2B5EF4-FFF2-40B4-BE49-F238E27FC236}">
              <a16:creationId xmlns:a16="http://schemas.microsoft.com/office/drawing/2014/main" id="{19236BCC-21E3-4610-AB32-6BF22AB4375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8" name="Line 36">
          <a:extLst>
            <a:ext uri="{FF2B5EF4-FFF2-40B4-BE49-F238E27FC236}">
              <a16:creationId xmlns:a16="http://schemas.microsoft.com/office/drawing/2014/main" id="{AD7B3192-E245-43EE-8732-34566F4EF4A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9" name="Line 37">
          <a:extLst>
            <a:ext uri="{FF2B5EF4-FFF2-40B4-BE49-F238E27FC236}">
              <a16:creationId xmlns:a16="http://schemas.microsoft.com/office/drawing/2014/main" id="{3D5A3DF4-B2C2-4A1A-8CB0-F4EE809B0E3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0" name="Line 38">
          <a:extLst>
            <a:ext uri="{FF2B5EF4-FFF2-40B4-BE49-F238E27FC236}">
              <a16:creationId xmlns:a16="http://schemas.microsoft.com/office/drawing/2014/main" id="{92731FB6-9B1C-4176-853C-262BF879FF0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1" name="Line 39">
          <a:extLst>
            <a:ext uri="{FF2B5EF4-FFF2-40B4-BE49-F238E27FC236}">
              <a16:creationId xmlns:a16="http://schemas.microsoft.com/office/drawing/2014/main" id="{ABF12F04-FD56-4EF0-9498-12132BBCA75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2" name="Line 40">
          <a:extLst>
            <a:ext uri="{FF2B5EF4-FFF2-40B4-BE49-F238E27FC236}">
              <a16:creationId xmlns:a16="http://schemas.microsoft.com/office/drawing/2014/main" id="{23628C91-474B-4E17-88B4-59712AD24E3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3" name="Line 41">
          <a:extLst>
            <a:ext uri="{FF2B5EF4-FFF2-40B4-BE49-F238E27FC236}">
              <a16:creationId xmlns:a16="http://schemas.microsoft.com/office/drawing/2014/main" id="{82FF00E3-D029-44CC-939B-7782DED30E4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4" name="Line 42">
          <a:extLst>
            <a:ext uri="{FF2B5EF4-FFF2-40B4-BE49-F238E27FC236}">
              <a16:creationId xmlns:a16="http://schemas.microsoft.com/office/drawing/2014/main" id="{917C58AA-695A-4B8C-B02D-572C44E9544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5" name="Line 43">
          <a:extLst>
            <a:ext uri="{FF2B5EF4-FFF2-40B4-BE49-F238E27FC236}">
              <a16:creationId xmlns:a16="http://schemas.microsoft.com/office/drawing/2014/main" id="{324A3FA3-6551-4647-9CB4-11FFA763352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6" name="Line 44">
          <a:extLst>
            <a:ext uri="{FF2B5EF4-FFF2-40B4-BE49-F238E27FC236}">
              <a16:creationId xmlns:a16="http://schemas.microsoft.com/office/drawing/2014/main" id="{20F99E16-95AC-496A-8C29-E36BFEFC020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7" name="Line 45">
          <a:extLst>
            <a:ext uri="{FF2B5EF4-FFF2-40B4-BE49-F238E27FC236}">
              <a16:creationId xmlns:a16="http://schemas.microsoft.com/office/drawing/2014/main" id="{9EB63359-9C58-4C96-80A6-563D53A4BCF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8" name="Line 46">
          <a:extLst>
            <a:ext uri="{FF2B5EF4-FFF2-40B4-BE49-F238E27FC236}">
              <a16:creationId xmlns:a16="http://schemas.microsoft.com/office/drawing/2014/main" id="{8BC8828E-386E-4825-BB75-43A4B30B77A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9" name="Line 47">
          <a:extLst>
            <a:ext uri="{FF2B5EF4-FFF2-40B4-BE49-F238E27FC236}">
              <a16:creationId xmlns:a16="http://schemas.microsoft.com/office/drawing/2014/main" id="{6E83D27D-A740-42D5-9844-9EA2733011A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0" name="Line 48">
          <a:extLst>
            <a:ext uri="{FF2B5EF4-FFF2-40B4-BE49-F238E27FC236}">
              <a16:creationId xmlns:a16="http://schemas.microsoft.com/office/drawing/2014/main" id="{3C7EE0E7-09EF-4F52-B1B0-6B563CA8A97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1" name="Line 49">
          <a:extLst>
            <a:ext uri="{FF2B5EF4-FFF2-40B4-BE49-F238E27FC236}">
              <a16:creationId xmlns:a16="http://schemas.microsoft.com/office/drawing/2014/main" id="{263B933D-77BA-4401-B031-8F4D97C8B03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2" name="Line 50">
          <a:extLst>
            <a:ext uri="{FF2B5EF4-FFF2-40B4-BE49-F238E27FC236}">
              <a16:creationId xmlns:a16="http://schemas.microsoft.com/office/drawing/2014/main" id="{C57A779B-A7FB-4CE6-9DB8-7C2A120506E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3" name="Line 1">
          <a:extLst>
            <a:ext uri="{FF2B5EF4-FFF2-40B4-BE49-F238E27FC236}">
              <a16:creationId xmlns:a16="http://schemas.microsoft.com/office/drawing/2014/main" id="{D0925ABD-4DCD-498B-89E9-12BF9E4A4A8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4" name="Line 2">
          <a:extLst>
            <a:ext uri="{FF2B5EF4-FFF2-40B4-BE49-F238E27FC236}">
              <a16:creationId xmlns:a16="http://schemas.microsoft.com/office/drawing/2014/main" id="{F918832F-58BF-4B3A-9EAD-F0ABFC3A19C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5" name="Line 5">
          <a:extLst>
            <a:ext uri="{FF2B5EF4-FFF2-40B4-BE49-F238E27FC236}">
              <a16:creationId xmlns:a16="http://schemas.microsoft.com/office/drawing/2014/main" id="{558CDD52-CCAC-4621-91FD-BFF85423840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6" name="Line 6">
          <a:extLst>
            <a:ext uri="{FF2B5EF4-FFF2-40B4-BE49-F238E27FC236}">
              <a16:creationId xmlns:a16="http://schemas.microsoft.com/office/drawing/2014/main" id="{924AD506-8B34-4B41-B549-374B389AFC3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7" name="Line 7">
          <a:extLst>
            <a:ext uri="{FF2B5EF4-FFF2-40B4-BE49-F238E27FC236}">
              <a16:creationId xmlns:a16="http://schemas.microsoft.com/office/drawing/2014/main" id="{BBCF4767-799E-4CF2-BB0E-A92913BC813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8" name="Line 8">
          <a:extLst>
            <a:ext uri="{FF2B5EF4-FFF2-40B4-BE49-F238E27FC236}">
              <a16:creationId xmlns:a16="http://schemas.microsoft.com/office/drawing/2014/main" id="{80B4EFDE-BE67-4F79-9226-EAFA0F02AB8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9" name="Line 9">
          <a:extLst>
            <a:ext uri="{FF2B5EF4-FFF2-40B4-BE49-F238E27FC236}">
              <a16:creationId xmlns:a16="http://schemas.microsoft.com/office/drawing/2014/main" id="{E4432AF4-7719-426E-9367-DC0360EB67B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0" name="Line 10">
          <a:extLst>
            <a:ext uri="{FF2B5EF4-FFF2-40B4-BE49-F238E27FC236}">
              <a16:creationId xmlns:a16="http://schemas.microsoft.com/office/drawing/2014/main" id="{D1E1393E-6543-41BF-9E4C-98FA7048D5E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1" name="Line 11">
          <a:extLst>
            <a:ext uri="{FF2B5EF4-FFF2-40B4-BE49-F238E27FC236}">
              <a16:creationId xmlns:a16="http://schemas.microsoft.com/office/drawing/2014/main" id="{75126D87-34AB-4EB8-A76E-FB55DFC7965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2" name="Line 12">
          <a:extLst>
            <a:ext uri="{FF2B5EF4-FFF2-40B4-BE49-F238E27FC236}">
              <a16:creationId xmlns:a16="http://schemas.microsoft.com/office/drawing/2014/main" id="{6D3DF16A-8F03-4C0F-A315-034877A92F7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3" name="Line 13">
          <a:extLst>
            <a:ext uri="{FF2B5EF4-FFF2-40B4-BE49-F238E27FC236}">
              <a16:creationId xmlns:a16="http://schemas.microsoft.com/office/drawing/2014/main" id="{1003E028-AD3D-469C-8D6C-B58BFE917CC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4" name="Line 14">
          <a:extLst>
            <a:ext uri="{FF2B5EF4-FFF2-40B4-BE49-F238E27FC236}">
              <a16:creationId xmlns:a16="http://schemas.microsoft.com/office/drawing/2014/main" id="{48A33ED5-3686-4AC7-8ABE-DECF48394E0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5" name="Line 15">
          <a:extLst>
            <a:ext uri="{FF2B5EF4-FFF2-40B4-BE49-F238E27FC236}">
              <a16:creationId xmlns:a16="http://schemas.microsoft.com/office/drawing/2014/main" id="{8754C9F1-9BD0-4FCA-9CA0-EF2B308B36E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6" name="Line 16">
          <a:extLst>
            <a:ext uri="{FF2B5EF4-FFF2-40B4-BE49-F238E27FC236}">
              <a16:creationId xmlns:a16="http://schemas.microsoft.com/office/drawing/2014/main" id="{2C6C3F70-7776-47F1-9086-0DA0EAB9D49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7" name="Line 17">
          <a:extLst>
            <a:ext uri="{FF2B5EF4-FFF2-40B4-BE49-F238E27FC236}">
              <a16:creationId xmlns:a16="http://schemas.microsoft.com/office/drawing/2014/main" id="{CB750C13-D48B-4A39-B0BC-787FD51D52A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8" name="Line 18">
          <a:extLst>
            <a:ext uri="{FF2B5EF4-FFF2-40B4-BE49-F238E27FC236}">
              <a16:creationId xmlns:a16="http://schemas.microsoft.com/office/drawing/2014/main" id="{1C98ED18-04CC-4E24-8C5E-C1125F967DC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9" name="Line 19">
          <a:extLst>
            <a:ext uri="{FF2B5EF4-FFF2-40B4-BE49-F238E27FC236}">
              <a16:creationId xmlns:a16="http://schemas.microsoft.com/office/drawing/2014/main" id="{A9780124-32C0-4AC5-9846-6C6CE4D564B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0" name="Line 20">
          <a:extLst>
            <a:ext uri="{FF2B5EF4-FFF2-40B4-BE49-F238E27FC236}">
              <a16:creationId xmlns:a16="http://schemas.microsoft.com/office/drawing/2014/main" id="{26BB2D5B-6987-406F-BC5A-77798DD9947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1" name="Line 21">
          <a:extLst>
            <a:ext uri="{FF2B5EF4-FFF2-40B4-BE49-F238E27FC236}">
              <a16:creationId xmlns:a16="http://schemas.microsoft.com/office/drawing/2014/main" id="{0C0650F1-B7F7-4AD2-8F15-CDF627B9CEB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2" name="Line 22">
          <a:extLst>
            <a:ext uri="{FF2B5EF4-FFF2-40B4-BE49-F238E27FC236}">
              <a16:creationId xmlns:a16="http://schemas.microsoft.com/office/drawing/2014/main" id="{EC7B6245-F638-4ACB-A741-49B2459AE8F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3" name="Line 23">
          <a:extLst>
            <a:ext uri="{FF2B5EF4-FFF2-40B4-BE49-F238E27FC236}">
              <a16:creationId xmlns:a16="http://schemas.microsoft.com/office/drawing/2014/main" id="{B4250A26-2AB4-446F-B3E6-8F9360D48D9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4" name="Line 24">
          <a:extLst>
            <a:ext uri="{FF2B5EF4-FFF2-40B4-BE49-F238E27FC236}">
              <a16:creationId xmlns:a16="http://schemas.microsoft.com/office/drawing/2014/main" id="{72191549-5947-485E-A429-3653C5455C3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5" name="Line 25">
          <a:extLst>
            <a:ext uri="{FF2B5EF4-FFF2-40B4-BE49-F238E27FC236}">
              <a16:creationId xmlns:a16="http://schemas.microsoft.com/office/drawing/2014/main" id="{59C0A345-BC81-4C06-AA99-C0A13E38DD2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6" name="Line 26">
          <a:extLst>
            <a:ext uri="{FF2B5EF4-FFF2-40B4-BE49-F238E27FC236}">
              <a16:creationId xmlns:a16="http://schemas.microsoft.com/office/drawing/2014/main" id="{FB93F199-F651-4B6C-8583-CF38AEC47C7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7" name="Line 27">
          <a:extLst>
            <a:ext uri="{FF2B5EF4-FFF2-40B4-BE49-F238E27FC236}">
              <a16:creationId xmlns:a16="http://schemas.microsoft.com/office/drawing/2014/main" id="{8E8F16EC-3DA4-4194-866C-6F025D12AFB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8" name="Line 28">
          <a:extLst>
            <a:ext uri="{FF2B5EF4-FFF2-40B4-BE49-F238E27FC236}">
              <a16:creationId xmlns:a16="http://schemas.microsoft.com/office/drawing/2014/main" id="{E5427C72-6CDA-43AB-AD0D-E247A41E693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9" name="Line 29">
          <a:extLst>
            <a:ext uri="{FF2B5EF4-FFF2-40B4-BE49-F238E27FC236}">
              <a16:creationId xmlns:a16="http://schemas.microsoft.com/office/drawing/2014/main" id="{D9DFCF43-DB7B-48CA-A6BC-59A02E0BD93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0" name="Line 30">
          <a:extLst>
            <a:ext uri="{FF2B5EF4-FFF2-40B4-BE49-F238E27FC236}">
              <a16:creationId xmlns:a16="http://schemas.microsoft.com/office/drawing/2014/main" id="{0E417746-1D02-4C30-A5B2-1ACB63DEA83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1" name="Line 31">
          <a:extLst>
            <a:ext uri="{FF2B5EF4-FFF2-40B4-BE49-F238E27FC236}">
              <a16:creationId xmlns:a16="http://schemas.microsoft.com/office/drawing/2014/main" id="{DF782E2C-A088-4856-83FB-BDBC579CA67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2" name="Line 32">
          <a:extLst>
            <a:ext uri="{FF2B5EF4-FFF2-40B4-BE49-F238E27FC236}">
              <a16:creationId xmlns:a16="http://schemas.microsoft.com/office/drawing/2014/main" id="{25E6C87E-A495-408D-9735-86403F3298A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3" name="Line 33">
          <a:extLst>
            <a:ext uri="{FF2B5EF4-FFF2-40B4-BE49-F238E27FC236}">
              <a16:creationId xmlns:a16="http://schemas.microsoft.com/office/drawing/2014/main" id="{39EC10EB-3A83-4B7B-925F-1BEDB517695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4" name="Line 34">
          <a:extLst>
            <a:ext uri="{FF2B5EF4-FFF2-40B4-BE49-F238E27FC236}">
              <a16:creationId xmlns:a16="http://schemas.microsoft.com/office/drawing/2014/main" id="{747D280C-2A3B-481B-9AF0-B027A7E70DE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5" name="Line 35">
          <a:extLst>
            <a:ext uri="{FF2B5EF4-FFF2-40B4-BE49-F238E27FC236}">
              <a16:creationId xmlns:a16="http://schemas.microsoft.com/office/drawing/2014/main" id="{111CDAB2-0E45-4460-8BBD-21AEC469FEB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6" name="Line 36">
          <a:extLst>
            <a:ext uri="{FF2B5EF4-FFF2-40B4-BE49-F238E27FC236}">
              <a16:creationId xmlns:a16="http://schemas.microsoft.com/office/drawing/2014/main" id="{636227B3-4F73-41EB-8DBF-D75675F2174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7" name="Line 37">
          <a:extLst>
            <a:ext uri="{FF2B5EF4-FFF2-40B4-BE49-F238E27FC236}">
              <a16:creationId xmlns:a16="http://schemas.microsoft.com/office/drawing/2014/main" id="{43BF5E78-D77D-481E-96E2-DB090A15900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8" name="Line 38">
          <a:extLst>
            <a:ext uri="{FF2B5EF4-FFF2-40B4-BE49-F238E27FC236}">
              <a16:creationId xmlns:a16="http://schemas.microsoft.com/office/drawing/2014/main" id="{08AAFC2E-3D41-4168-BBEF-DFB51E16489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9" name="Line 39">
          <a:extLst>
            <a:ext uri="{FF2B5EF4-FFF2-40B4-BE49-F238E27FC236}">
              <a16:creationId xmlns:a16="http://schemas.microsoft.com/office/drawing/2014/main" id="{CEEDEFEF-2C0C-4845-85B6-7B34A4152D9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0" name="Line 40">
          <a:extLst>
            <a:ext uri="{FF2B5EF4-FFF2-40B4-BE49-F238E27FC236}">
              <a16:creationId xmlns:a16="http://schemas.microsoft.com/office/drawing/2014/main" id="{5FA6E592-46C2-4276-8B7E-3C05626FFE0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1" name="Line 41">
          <a:extLst>
            <a:ext uri="{FF2B5EF4-FFF2-40B4-BE49-F238E27FC236}">
              <a16:creationId xmlns:a16="http://schemas.microsoft.com/office/drawing/2014/main" id="{72E0CA02-08AA-42A9-86EE-ED6A6ED3512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2" name="Line 42">
          <a:extLst>
            <a:ext uri="{FF2B5EF4-FFF2-40B4-BE49-F238E27FC236}">
              <a16:creationId xmlns:a16="http://schemas.microsoft.com/office/drawing/2014/main" id="{DF699C87-EF86-41BD-9CDB-A51AD1D184A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3" name="Line 43">
          <a:extLst>
            <a:ext uri="{FF2B5EF4-FFF2-40B4-BE49-F238E27FC236}">
              <a16:creationId xmlns:a16="http://schemas.microsoft.com/office/drawing/2014/main" id="{7C4F86F9-82CC-4141-80BB-AFB9F23A937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4" name="Line 44">
          <a:extLst>
            <a:ext uri="{FF2B5EF4-FFF2-40B4-BE49-F238E27FC236}">
              <a16:creationId xmlns:a16="http://schemas.microsoft.com/office/drawing/2014/main" id="{569FC871-4E3B-4C5E-BA3A-6C95441E899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5" name="Line 45">
          <a:extLst>
            <a:ext uri="{FF2B5EF4-FFF2-40B4-BE49-F238E27FC236}">
              <a16:creationId xmlns:a16="http://schemas.microsoft.com/office/drawing/2014/main" id="{0E69DA79-228C-46FA-BBF3-A0AE63D6D55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6" name="Line 46">
          <a:extLst>
            <a:ext uri="{FF2B5EF4-FFF2-40B4-BE49-F238E27FC236}">
              <a16:creationId xmlns:a16="http://schemas.microsoft.com/office/drawing/2014/main" id="{B3FB97CE-713D-4BEA-8AA5-EB8573238BF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7" name="Line 47">
          <a:extLst>
            <a:ext uri="{FF2B5EF4-FFF2-40B4-BE49-F238E27FC236}">
              <a16:creationId xmlns:a16="http://schemas.microsoft.com/office/drawing/2014/main" id="{AC76202B-23E6-4730-9156-D8712F334AE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8" name="Line 48">
          <a:extLst>
            <a:ext uri="{FF2B5EF4-FFF2-40B4-BE49-F238E27FC236}">
              <a16:creationId xmlns:a16="http://schemas.microsoft.com/office/drawing/2014/main" id="{840D5257-5771-4F44-98FC-FC27CD802F3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9" name="Line 49">
          <a:extLst>
            <a:ext uri="{FF2B5EF4-FFF2-40B4-BE49-F238E27FC236}">
              <a16:creationId xmlns:a16="http://schemas.microsoft.com/office/drawing/2014/main" id="{13E611AE-24E7-4983-8108-AAFD0CB878C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90" name="Line 50">
          <a:extLst>
            <a:ext uri="{FF2B5EF4-FFF2-40B4-BE49-F238E27FC236}">
              <a16:creationId xmlns:a16="http://schemas.microsoft.com/office/drawing/2014/main" id="{5FEEE539-D63F-40A3-BAE2-384C801AD38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19</xdr:col>
      <xdr:colOff>0</xdr:colOff>
      <xdr:row>5</xdr:row>
      <xdr:rowOff>0</xdr:rowOff>
    </xdr:from>
    <xdr:to>
      <xdr:col>19</xdr:col>
      <xdr:colOff>0</xdr:colOff>
      <xdr:row>5</xdr:row>
      <xdr:rowOff>0</xdr:rowOff>
    </xdr:to>
    <xdr:sp macro="" textlink="">
      <xdr:nvSpPr>
        <xdr:cNvPr id="2" name="Line 1">
          <a:extLst>
            <a:ext uri="{FF2B5EF4-FFF2-40B4-BE49-F238E27FC236}">
              <a16:creationId xmlns:a16="http://schemas.microsoft.com/office/drawing/2014/main" id="{5FED062F-7A22-4D5C-9B03-001F48CB4C8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 name="Line 2">
          <a:extLst>
            <a:ext uri="{FF2B5EF4-FFF2-40B4-BE49-F238E27FC236}">
              <a16:creationId xmlns:a16="http://schemas.microsoft.com/office/drawing/2014/main" id="{4F2B39B1-87CC-43F3-8022-D5F94D08807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211</xdr:col>
      <xdr:colOff>0</xdr:colOff>
      <xdr:row>5</xdr:row>
      <xdr:rowOff>0</xdr:rowOff>
    </xdr:from>
    <xdr:to>
      <xdr:col>211</xdr:col>
      <xdr:colOff>0</xdr:colOff>
      <xdr:row>5</xdr:row>
      <xdr:rowOff>0</xdr:rowOff>
    </xdr:to>
    <xdr:sp macro="" textlink="">
      <xdr:nvSpPr>
        <xdr:cNvPr id="4" name="Line 4">
          <a:extLst>
            <a:ext uri="{FF2B5EF4-FFF2-40B4-BE49-F238E27FC236}">
              <a16:creationId xmlns:a16="http://schemas.microsoft.com/office/drawing/2014/main" id="{ADC8E2C2-C80F-4638-9B62-F07E5278DED2}"/>
            </a:ext>
          </a:extLst>
        </xdr:cNvPr>
        <xdr:cNvSpPr>
          <a:spLocks noChangeShapeType="1"/>
        </xdr:cNvSpPr>
      </xdr:nvSpPr>
      <xdr:spPr bwMode="auto">
        <a:xfrm flipH="1">
          <a:off x="93640275" y="1590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 name="Line 5">
          <a:extLst>
            <a:ext uri="{FF2B5EF4-FFF2-40B4-BE49-F238E27FC236}">
              <a16:creationId xmlns:a16="http://schemas.microsoft.com/office/drawing/2014/main" id="{4D166962-6270-4D29-8886-0CF88C550EB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6" name="Line 6">
          <a:extLst>
            <a:ext uri="{FF2B5EF4-FFF2-40B4-BE49-F238E27FC236}">
              <a16:creationId xmlns:a16="http://schemas.microsoft.com/office/drawing/2014/main" id="{9DD52B41-8DC2-453F-A4AF-90A0F134F51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7" name="Line 7">
          <a:extLst>
            <a:ext uri="{FF2B5EF4-FFF2-40B4-BE49-F238E27FC236}">
              <a16:creationId xmlns:a16="http://schemas.microsoft.com/office/drawing/2014/main" id="{047912F5-DC69-4082-B79C-42E7456E306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8" name="Line 8">
          <a:extLst>
            <a:ext uri="{FF2B5EF4-FFF2-40B4-BE49-F238E27FC236}">
              <a16:creationId xmlns:a16="http://schemas.microsoft.com/office/drawing/2014/main" id="{4AAF0010-2F97-4123-AF97-1DE36975BD4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9" name="Line 9">
          <a:extLst>
            <a:ext uri="{FF2B5EF4-FFF2-40B4-BE49-F238E27FC236}">
              <a16:creationId xmlns:a16="http://schemas.microsoft.com/office/drawing/2014/main" id="{46589861-F2C8-42E9-9F07-C743DC4A841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0" name="Line 10">
          <a:extLst>
            <a:ext uri="{FF2B5EF4-FFF2-40B4-BE49-F238E27FC236}">
              <a16:creationId xmlns:a16="http://schemas.microsoft.com/office/drawing/2014/main" id="{BD650ECD-2B98-4D32-81D7-2BEAF3619AF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1" name="Line 11">
          <a:extLst>
            <a:ext uri="{FF2B5EF4-FFF2-40B4-BE49-F238E27FC236}">
              <a16:creationId xmlns:a16="http://schemas.microsoft.com/office/drawing/2014/main" id="{9F42CD9A-BC69-4A9C-A7D8-728BD9A364EC}"/>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2" name="Line 12">
          <a:extLst>
            <a:ext uri="{FF2B5EF4-FFF2-40B4-BE49-F238E27FC236}">
              <a16:creationId xmlns:a16="http://schemas.microsoft.com/office/drawing/2014/main" id="{B15B5C66-3D26-4839-AF42-FF50D49735E8}"/>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3" name="Line 13">
          <a:extLst>
            <a:ext uri="{FF2B5EF4-FFF2-40B4-BE49-F238E27FC236}">
              <a16:creationId xmlns:a16="http://schemas.microsoft.com/office/drawing/2014/main" id="{92FC0670-D242-4C8D-9F72-E2CC9A73E15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4" name="Line 14">
          <a:extLst>
            <a:ext uri="{FF2B5EF4-FFF2-40B4-BE49-F238E27FC236}">
              <a16:creationId xmlns:a16="http://schemas.microsoft.com/office/drawing/2014/main" id="{EEBF4FE9-6062-4247-8483-9C258D7BD9C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5" name="Line 15">
          <a:extLst>
            <a:ext uri="{FF2B5EF4-FFF2-40B4-BE49-F238E27FC236}">
              <a16:creationId xmlns:a16="http://schemas.microsoft.com/office/drawing/2014/main" id="{4BA405AB-EDC5-4A65-98CE-69897C5F4BB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6" name="Line 16">
          <a:extLst>
            <a:ext uri="{FF2B5EF4-FFF2-40B4-BE49-F238E27FC236}">
              <a16:creationId xmlns:a16="http://schemas.microsoft.com/office/drawing/2014/main" id="{49646A21-13E3-4B36-8B1F-3DF06976049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7" name="Line 17">
          <a:extLst>
            <a:ext uri="{FF2B5EF4-FFF2-40B4-BE49-F238E27FC236}">
              <a16:creationId xmlns:a16="http://schemas.microsoft.com/office/drawing/2014/main" id="{D1FCEA41-C8C3-42A5-A8F8-9EC6CD0715A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8" name="Line 18">
          <a:extLst>
            <a:ext uri="{FF2B5EF4-FFF2-40B4-BE49-F238E27FC236}">
              <a16:creationId xmlns:a16="http://schemas.microsoft.com/office/drawing/2014/main" id="{F702DF02-9117-4D07-BD79-54A835269A1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19" name="Line 19">
          <a:extLst>
            <a:ext uri="{FF2B5EF4-FFF2-40B4-BE49-F238E27FC236}">
              <a16:creationId xmlns:a16="http://schemas.microsoft.com/office/drawing/2014/main" id="{E056E76B-BFAE-4EFC-A58A-6749BDA1EB8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0" name="Line 20">
          <a:extLst>
            <a:ext uri="{FF2B5EF4-FFF2-40B4-BE49-F238E27FC236}">
              <a16:creationId xmlns:a16="http://schemas.microsoft.com/office/drawing/2014/main" id="{1C94875A-095F-40D6-A435-A92FAB6C25E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1" name="Line 21">
          <a:extLst>
            <a:ext uri="{FF2B5EF4-FFF2-40B4-BE49-F238E27FC236}">
              <a16:creationId xmlns:a16="http://schemas.microsoft.com/office/drawing/2014/main" id="{03D95D84-AA3D-419A-BD22-27EB4731081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2" name="Line 22">
          <a:extLst>
            <a:ext uri="{FF2B5EF4-FFF2-40B4-BE49-F238E27FC236}">
              <a16:creationId xmlns:a16="http://schemas.microsoft.com/office/drawing/2014/main" id="{0CD96CC0-CE36-4AA2-B6CC-381BAFA1EF3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3" name="Line 23">
          <a:extLst>
            <a:ext uri="{FF2B5EF4-FFF2-40B4-BE49-F238E27FC236}">
              <a16:creationId xmlns:a16="http://schemas.microsoft.com/office/drawing/2014/main" id="{789AC6F0-15AB-427C-A089-2F8F95BC1DD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4" name="Line 24">
          <a:extLst>
            <a:ext uri="{FF2B5EF4-FFF2-40B4-BE49-F238E27FC236}">
              <a16:creationId xmlns:a16="http://schemas.microsoft.com/office/drawing/2014/main" id="{32710555-C8DB-436A-B8C2-4586DD5AB18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5" name="Line 25">
          <a:extLst>
            <a:ext uri="{FF2B5EF4-FFF2-40B4-BE49-F238E27FC236}">
              <a16:creationId xmlns:a16="http://schemas.microsoft.com/office/drawing/2014/main" id="{3DE78527-B9D4-49CD-82EC-36F343F7970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6" name="Line 26">
          <a:extLst>
            <a:ext uri="{FF2B5EF4-FFF2-40B4-BE49-F238E27FC236}">
              <a16:creationId xmlns:a16="http://schemas.microsoft.com/office/drawing/2014/main" id="{5D6682D2-ABB5-4D4B-B0D6-4C02E40E585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7" name="Line 27">
          <a:extLst>
            <a:ext uri="{FF2B5EF4-FFF2-40B4-BE49-F238E27FC236}">
              <a16:creationId xmlns:a16="http://schemas.microsoft.com/office/drawing/2014/main" id="{0E2CA6EE-0A5E-4FC1-8FE4-404FC402E12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8" name="Line 28">
          <a:extLst>
            <a:ext uri="{FF2B5EF4-FFF2-40B4-BE49-F238E27FC236}">
              <a16:creationId xmlns:a16="http://schemas.microsoft.com/office/drawing/2014/main" id="{810BBA89-3771-4CB9-B0BC-F8BA986A8B3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29" name="Line 29">
          <a:extLst>
            <a:ext uri="{FF2B5EF4-FFF2-40B4-BE49-F238E27FC236}">
              <a16:creationId xmlns:a16="http://schemas.microsoft.com/office/drawing/2014/main" id="{D42ED887-DE08-4222-8D47-007CE31CF92B}"/>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0" name="Line 30">
          <a:extLst>
            <a:ext uri="{FF2B5EF4-FFF2-40B4-BE49-F238E27FC236}">
              <a16:creationId xmlns:a16="http://schemas.microsoft.com/office/drawing/2014/main" id="{5368E0AC-BAE9-4064-ADDB-26EEAC73AF3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1" name="Line 31">
          <a:extLst>
            <a:ext uri="{FF2B5EF4-FFF2-40B4-BE49-F238E27FC236}">
              <a16:creationId xmlns:a16="http://schemas.microsoft.com/office/drawing/2014/main" id="{BFB1C1AF-3C72-4D49-A817-E8165BF08B1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2" name="Line 32">
          <a:extLst>
            <a:ext uri="{FF2B5EF4-FFF2-40B4-BE49-F238E27FC236}">
              <a16:creationId xmlns:a16="http://schemas.microsoft.com/office/drawing/2014/main" id="{FE41DA17-B868-4045-A64B-F72B48384476}"/>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3" name="Line 33">
          <a:extLst>
            <a:ext uri="{FF2B5EF4-FFF2-40B4-BE49-F238E27FC236}">
              <a16:creationId xmlns:a16="http://schemas.microsoft.com/office/drawing/2014/main" id="{D68298E0-B7DF-4ADB-98E7-C3A6D9FC01FD}"/>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4" name="Line 34">
          <a:extLst>
            <a:ext uri="{FF2B5EF4-FFF2-40B4-BE49-F238E27FC236}">
              <a16:creationId xmlns:a16="http://schemas.microsoft.com/office/drawing/2014/main" id="{CD51CE0D-B706-4D9B-BCDF-73B2F1BED505}"/>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5" name="Line 35">
          <a:extLst>
            <a:ext uri="{FF2B5EF4-FFF2-40B4-BE49-F238E27FC236}">
              <a16:creationId xmlns:a16="http://schemas.microsoft.com/office/drawing/2014/main" id="{1C7BFDD7-231A-4FC5-8B14-1F103CA0440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6" name="Line 36">
          <a:extLst>
            <a:ext uri="{FF2B5EF4-FFF2-40B4-BE49-F238E27FC236}">
              <a16:creationId xmlns:a16="http://schemas.microsoft.com/office/drawing/2014/main" id="{0A02939A-3237-4659-AD56-1B8EC2751214}"/>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7" name="Line 37">
          <a:extLst>
            <a:ext uri="{FF2B5EF4-FFF2-40B4-BE49-F238E27FC236}">
              <a16:creationId xmlns:a16="http://schemas.microsoft.com/office/drawing/2014/main" id="{86B5E1AC-611E-421A-85B0-7FDE9492EA1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8" name="Line 38">
          <a:extLst>
            <a:ext uri="{FF2B5EF4-FFF2-40B4-BE49-F238E27FC236}">
              <a16:creationId xmlns:a16="http://schemas.microsoft.com/office/drawing/2014/main" id="{8F5A0F82-9229-4831-A6A5-7C2A5196B742}"/>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39" name="Line 39">
          <a:extLst>
            <a:ext uri="{FF2B5EF4-FFF2-40B4-BE49-F238E27FC236}">
              <a16:creationId xmlns:a16="http://schemas.microsoft.com/office/drawing/2014/main" id="{0B95E316-3BA7-4D99-BBEF-EDFE3BD4C4A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0" name="Line 40">
          <a:extLst>
            <a:ext uri="{FF2B5EF4-FFF2-40B4-BE49-F238E27FC236}">
              <a16:creationId xmlns:a16="http://schemas.microsoft.com/office/drawing/2014/main" id="{55753327-0DF4-4A69-8CF0-44FDF2D8C57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1" name="Line 41">
          <a:extLst>
            <a:ext uri="{FF2B5EF4-FFF2-40B4-BE49-F238E27FC236}">
              <a16:creationId xmlns:a16="http://schemas.microsoft.com/office/drawing/2014/main" id="{1BE6CE33-D7C6-4A12-A0A2-D281DFE2196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2" name="Line 42">
          <a:extLst>
            <a:ext uri="{FF2B5EF4-FFF2-40B4-BE49-F238E27FC236}">
              <a16:creationId xmlns:a16="http://schemas.microsoft.com/office/drawing/2014/main" id="{B7D8D010-E357-4240-AFC4-348C2534B26A}"/>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3" name="Line 43">
          <a:extLst>
            <a:ext uri="{FF2B5EF4-FFF2-40B4-BE49-F238E27FC236}">
              <a16:creationId xmlns:a16="http://schemas.microsoft.com/office/drawing/2014/main" id="{FC8995B6-D034-49ED-A4D3-075FE0C4368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4" name="Line 44">
          <a:extLst>
            <a:ext uri="{FF2B5EF4-FFF2-40B4-BE49-F238E27FC236}">
              <a16:creationId xmlns:a16="http://schemas.microsoft.com/office/drawing/2014/main" id="{417D6E8E-23AF-4E93-82C8-7D5D62122197}"/>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5" name="Line 45">
          <a:extLst>
            <a:ext uri="{FF2B5EF4-FFF2-40B4-BE49-F238E27FC236}">
              <a16:creationId xmlns:a16="http://schemas.microsoft.com/office/drawing/2014/main" id="{72F10A81-3D83-4038-8F71-BB2FD26484FE}"/>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6" name="Line 46">
          <a:extLst>
            <a:ext uri="{FF2B5EF4-FFF2-40B4-BE49-F238E27FC236}">
              <a16:creationId xmlns:a16="http://schemas.microsoft.com/office/drawing/2014/main" id="{759D1A9D-71D9-4C0A-9C90-E1A1ECF2E0AF}"/>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7" name="Line 47">
          <a:extLst>
            <a:ext uri="{FF2B5EF4-FFF2-40B4-BE49-F238E27FC236}">
              <a16:creationId xmlns:a16="http://schemas.microsoft.com/office/drawing/2014/main" id="{1B5E6791-1B34-409E-8D4E-0101931B0910}"/>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8" name="Line 48">
          <a:extLst>
            <a:ext uri="{FF2B5EF4-FFF2-40B4-BE49-F238E27FC236}">
              <a16:creationId xmlns:a16="http://schemas.microsoft.com/office/drawing/2014/main" id="{820803A4-B301-4ED3-B84A-EE8E0808B14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49" name="Line 49">
          <a:extLst>
            <a:ext uri="{FF2B5EF4-FFF2-40B4-BE49-F238E27FC236}">
              <a16:creationId xmlns:a16="http://schemas.microsoft.com/office/drawing/2014/main" id="{FF15F7BF-DD6D-4548-BD29-0D6A0DEF2E83}"/>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5</xdr:row>
      <xdr:rowOff>0</xdr:rowOff>
    </xdr:from>
    <xdr:to>
      <xdr:col>19</xdr:col>
      <xdr:colOff>0</xdr:colOff>
      <xdr:row>5</xdr:row>
      <xdr:rowOff>0</xdr:rowOff>
    </xdr:to>
    <xdr:sp macro="" textlink="">
      <xdr:nvSpPr>
        <xdr:cNvPr id="50" name="Line 50">
          <a:extLst>
            <a:ext uri="{FF2B5EF4-FFF2-40B4-BE49-F238E27FC236}">
              <a16:creationId xmlns:a16="http://schemas.microsoft.com/office/drawing/2014/main" id="{76879F60-4429-4201-B247-E7607EC35291}"/>
            </a:ext>
          </a:extLst>
        </xdr:cNvPr>
        <xdr:cNvSpPr>
          <a:spLocks noChangeShapeType="1"/>
        </xdr:cNvSpPr>
      </xdr:nvSpPr>
      <xdr:spPr bwMode="auto">
        <a:xfrm flipV="1">
          <a:off x="88106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1" name="Line 1">
          <a:extLst>
            <a:ext uri="{FF2B5EF4-FFF2-40B4-BE49-F238E27FC236}">
              <a16:creationId xmlns:a16="http://schemas.microsoft.com/office/drawing/2014/main" id="{E0209686-6C85-4624-A6BE-31A76528F6A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2" name="Line 2">
          <a:extLst>
            <a:ext uri="{FF2B5EF4-FFF2-40B4-BE49-F238E27FC236}">
              <a16:creationId xmlns:a16="http://schemas.microsoft.com/office/drawing/2014/main" id="{2C71614E-9A41-4893-8AEC-58507DB7954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3" name="Line 5">
          <a:extLst>
            <a:ext uri="{FF2B5EF4-FFF2-40B4-BE49-F238E27FC236}">
              <a16:creationId xmlns:a16="http://schemas.microsoft.com/office/drawing/2014/main" id="{2EE39E7A-1FFF-419C-9BBF-AB60A500DB8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4" name="Line 6">
          <a:extLst>
            <a:ext uri="{FF2B5EF4-FFF2-40B4-BE49-F238E27FC236}">
              <a16:creationId xmlns:a16="http://schemas.microsoft.com/office/drawing/2014/main" id="{DF54D931-D0A3-4E8D-BDD1-A768919BD95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5" name="Line 7">
          <a:extLst>
            <a:ext uri="{FF2B5EF4-FFF2-40B4-BE49-F238E27FC236}">
              <a16:creationId xmlns:a16="http://schemas.microsoft.com/office/drawing/2014/main" id="{7AEFB8F4-955A-4D44-BF20-D6DE8CCD470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6" name="Line 8">
          <a:extLst>
            <a:ext uri="{FF2B5EF4-FFF2-40B4-BE49-F238E27FC236}">
              <a16:creationId xmlns:a16="http://schemas.microsoft.com/office/drawing/2014/main" id="{8D6A25D0-70BC-42CE-94EB-32032ACD332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7" name="Line 9">
          <a:extLst>
            <a:ext uri="{FF2B5EF4-FFF2-40B4-BE49-F238E27FC236}">
              <a16:creationId xmlns:a16="http://schemas.microsoft.com/office/drawing/2014/main" id="{0ED2E674-42F4-4DBF-9F9B-808CFCC7C19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8" name="Line 10">
          <a:extLst>
            <a:ext uri="{FF2B5EF4-FFF2-40B4-BE49-F238E27FC236}">
              <a16:creationId xmlns:a16="http://schemas.microsoft.com/office/drawing/2014/main" id="{2BAC9DB5-E8B5-4EA7-94E2-F6DBBDB1105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59" name="Line 11">
          <a:extLst>
            <a:ext uri="{FF2B5EF4-FFF2-40B4-BE49-F238E27FC236}">
              <a16:creationId xmlns:a16="http://schemas.microsoft.com/office/drawing/2014/main" id="{EDCAB608-CD6B-4AA5-B36D-A24A4759844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0" name="Line 12">
          <a:extLst>
            <a:ext uri="{FF2B5EF4-FFF2-40B4-BE49-F238E27FC236}">
              <a16:creationId xmlns:a16="http://schemas.microsoft.com/office/drawing/2014/main" id="{70390B69-13F6-4C6C-807E-28590295C49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1" name="Line 13">
          <a:extLst>
            <a:ext uri="{FF2B5EF4-FFF2-40B4-BE49-F238E27FC236}">
              <a16:creationId xmlns:a16="http://schemas.microsoft.com/office/drawing/2014/main" id="{D28B7BC9-5E39-4B73-B602-32048130D1E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2" name="Line 14">
          <a:extLst>
            <a:ext uri="{FF2B5EF4-FFF2-40B4-BE49-F238E27FC236}">
              <a16:creationId xmlns:a16="http://schemas.microsoft.com/office/drawing/2014/main" id="{A3031195-21D5-47D6-B792-9434E619E09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3" name="Line 15">
          <a:extLst>
            <a:ext uri="{FF2B5EF4-FFF2-40B4-BE49-F238E27FC236}">
              <a16:creationId xmlns:a16="http://schemas.microsoft.com/office/drawing/2014/main" id="{6097E6B9-02F9-4044-9D70-258DDC169194}"/>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4" name="Line 16">
          <a:extLst>
            <a:ext uri="{FF2B5EF4-FFF2-40B4-BE49-F238E27FC236}">
              <a16:creationId xmlns:a16="http://schemas.microsoft.com/office/drawing/2014/main" id="{48BA43E3-A105-41F1-91D2-A103A28CC9F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5" name="Line 17">
          <a:extLst>
            <a:ext uri="{FF2B5EF4-FFF2-40B4-BE49-F238E27FC236}">
              <a16:creationId xmlns:a16="http://schemas.microsoft.com/office/drawing/2014/main" id="{F64F309B-C35C-4100-B246-AB90221796D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6" name="Line 18">
          <a:extLst>
            <a:ext uri="{FF2B5EF4-FFF2-40B4-BE49-F238E27FC236}">
              <a16:creationId xmlns:a16="http://schemas.microsoft.com/office/drawing/2014/main" id="{9DE7C4C0-6815-4206-9EE8-9C6ECE1363B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7" name="Line 19">
          <a:extLst>
            <a:ext uri="{FF2B5EF4-FFF2-40B4-BE49-F238E27FC236}">
              <a16:creationId xmlns:a16="http://schemas.microsoft.com/office/drawing/2014/main" id="{692D2358-BA0D-4F2C-B711-3F1A2395E36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8" name="Line 20">
          <a:extLst>
            <a:ext uri="{FF2B5EF4-FFF2-40B4-BE49-F238E27FC236}">
              <a16:creationId xmlns:a16="http://schemas.microsoft.com/office/drawing/2014/main" id="{C8D48CC3-D6A2-454C-8F6D-D8C680F7FDA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69" name="Line 21">
          <a:extLst>
            <a:ext uri="{FF2B5EF4-FFF2-40B4-BE49-F238E27FC236}">
              <a16:creationId xmlns:a16="http://schemas.microsoft.com/office/drawing/2014/main" id="{58CFDF87-C50F-459E-B10D-BB10BC95DB5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0" name="Line 22">
          <a:extLst>
            <a:ext uri="{FF2B5EF4-FFF2-40B4-BE49-F238E27FC236}">
              <a16:creationId xmlns:a16="http://schemas.microsoft.com/office/drawing/2014/main" id="{0CBBD637-53C4-424F-A999-3B6FF854096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1" name="Line 23">
          <a:extLst>
            <a:ext uri="{FF2B5EF4-FFF2-40B4-BE49-F238E27FC236}">
              <a16:creationId xmlns:a16="http://schemas.microsoft.com/office/drawing/2014/main" id="{D24B96AA-AEB1-4559-9F5B-2DA0DD8905F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2" name="Line 24">
          <a:extLst>
            <a:ext uri="{FF2B5EF4-FFF2-40B4-BE49-F238E27FC236}">
              <a16:creationId xmlns:a16="http://schemas.microsoft.com/office/drawing/2014/main" id="{9E4F5FEE-B930-4FC9-BD2E-34D0A710B2C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3" name="Line 25">
          <a:extLst>
            <a:ext uri="{FF2B5EF4-FFF2-40B4-BE49-F238E27FC236}">
              <a16:creationId xmlns:a16="http://schemas.microsoft.com/office/drawing/2014/main" id="{0FC15E30-D76B-484D-B065-CF3A553F020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4" name="Line 26">
          <a:extLst>
            <a:ext uri="{FF2B5EF4-FFF2-40B4-BE49-F238E27FC236}">
              <a16:creationId xmlns:a16="http://schemas.microsoft.com/office/drawing/2014/main" id="{50940688-07A9-459D-B169-FAE486A1DFF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5" name="Line 27">
          <a:extLst>
            <a:ext uri="{FF2B5EF4-FFF2-40B4-BE49-F238E27FC236}">
              <a16:creationId xmlns:a16="http://schemas.microsoft.com/office/drawing/2014/main" id="{B2E60E33-B2AC-4852-A916-8295F7C98BA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6" name="Line 28">
          <a:extLst>
            <a:ext uri="{FF2B5EF4-FFF2-40B4-BE49-F238E27FC236}">
              <a16:creationId xmlns:a16="http://schemas.microsoft.com/office/drawing/2014/main" id="{0294E259-87D7-4C49-B405-03F03E982F3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7" name="Line 29">
          <a:extLst>
            <a:ext uri="{FF2B5EF4-FFF2-40B4-BE49-F238E27FC236}">
              <a16:creationId xmlns:a16="http://schemas.microsoft.com/office/drawing/2014/main" id="{A1897EB5-E5DA-4FE8-9821-B151D51152ED}"/>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8" name="Line 30">
          <a:extLst>
            <a:ext uri="{FF2B5EF4-FFF2-40B4-BE49-F238E27FC236}">
              <a16:creationId xmlns:a16="http://schemas.microsoft.com/office/drawing/2014/main" id="{357B1F68-6AAF-4BF1-B6AD-C9B062DC028F}"/>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79" name="Line 31">
          <a:extLst>
            <a:ext uri="{FF2B5EF4-FFF2-40B4-BE49-F238E27FC236}">
              <a16:creationId xmlns:a16="http://schemas.microsoft.com/office/drawing/2014/main" id="{63FDC556-9370-49F2-99EF-4236DE3C46F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0" name="Line 32">
          <a:extLst>
            <a:ext uri="{FF2B5EF4-FFF2-40B4-BE49-F238E27FC236}">
              <a16:creationId xmlns:a16="http://schemas.microsoft.com/office/drawing/2014/main" id="{827757FF-529D-4A1E-A5E0-56D8B4665AF2}"/>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1" name="Line 33">
          <a:extLst>
            <a:ext uri="{FF2B5EF4-FFF2-40B4-BE49-F238E27FC236}">
              <a16:creationId xmlns:a16="http://schemas.microsoft.com/office/drawing/2014/main" id="{1FFD70DD-2143-4222-9EDF-75170C1D38FC}"/>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2" name="Line 34">
          <a:extLst>
            <a:ext uri="{FF2B5EF4-FFF2-40B4-BE49-F238E27FC236}">
              <a16:creationId xmlns:a16="http://schemas.microsoft.com/office/drawing/2014/main" id="{E4E77581-40B4-48C5-B3ED-CCFFBC34127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3" name="Line 35">
          <a:extLst>
            <a:ext uri="{FF2B5EF4-FFF2-40B4-BE49-F238E27FC236}">
              <a16:creationId xmlns:a16="http://schemas.microsoft.com/office/drawing/2014/main" id="{F3D7A724-796F-4496-A78F-EF9B7C66DCA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4" name="Line 36">
          <a:extLst>
            <a:ext uri="{FF2B5EF4-FFF2-40B4-BE49-F238E27FC236}">
              <a16:creationId xmlns:a16="http://schemas.microsoft.com/office/drawing/2014/main" id="{119336C2-7F1E-4A1B-92A6-92A93712FBB6}"/>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5" name="Line 37">
          <a:extLst>
            <a:ext uri="{FF2B5EF4-FFF2-40B4-BE49-F238E27FC236}">
              <a16:creationId xmlns:a16="http://schemas.microsoft.com/office/drawing/2014/main" id="{6165826D-8540-4CEC-955B-1FCE24E26F5E}"/>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6" name="Line 38">
          <a:extLst>
            <a:ext uri="{FF2B5EF4-FFF2-40B4-BE49-F238E27FC236}">
              <a16:creationId xmlns:a16="http://schemas.microsoft.com/office/drawing/2014/main" id="{B76A1F25-DBD1-4AE1-99AA-B6BBADD5E31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7" name="Line 39">
          <a:extLst>
            <a:ext uri="{FF2B5EF4-FFF2-40B4-BE49-F238E27FC236}">
              <a16:creationId xmlns:a16="http://schemas.microsoft.com/office/drawing/2014/main" id="{4EEC0C75-8B4E-4925-9372-DEEB7EDC78E5}"/>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8" name="Line 40">
          <a:extLst>
            <a:ext uri="{FF2B5EF4-FFF2-40B4-BE49-F238E27FC236}">
              <a16:creationId xmlns:a16="http://schemas.microsoft.com/office/drawing/2014/main" id="{58ACDE6D-C94B-4FEC-9D8D-BB2D0CDBE7E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89" name="Line 41">
          <a:extLst>
            <a:ext uri="{FF2B5EF4-FFF2-40B4-BE49-F238E27FC236}">
              <a16:creationId xmlns:a16="http://schemas.microsoft.com/office/drawing/2014/main" id="{A6BE11D9-CF64-4100-A97E-A5F9EC057F9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0" name="Line 42">
          <a:extLst>
            <a:ext uri="{FF2B5EF4-FFF2-40B4-BE49-F238E27FC236}">
              <a16:creationId xmlns:a16="http://schemas.microsoft.com/office/drawing/2014/main" id="{E0CBC76F-27AE-4816-A71A-55382070E7E3}"/>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1" name="Line 43">
          <a:extLst>
            <a:ext uri="{FF2B5EF4-FFF2-40B4-BE49-F238E27FC236}">
              <a16:creationId xmlns:a16="http://schemas.microsoft.com/office/drawing/2014/main" id="{1573AAD6-5EFE-45BD-BE98-62F82AB6C7E0}"/>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2" name="Line 44">
          <a:extLst>
            <a:ext uri="{FF2B5EF4-FFF2-40B4-BE49-F238E27FC236}">
              <a16:creationId xmlns:a16="http://schemas.microsoft.com/office/drawing/2014/main" id="{36D80BC7-229F-4FF4-9F2C-2630C9F76E17}"/>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3" name="Line 45">
          <a:extLst>
            <a:ext uri="{FF2B5EF4-FFF2-40B4-BE49-F238E27FC236}">
              <a16:creationId xmlns:a16="http://schemas.microsoft.com/office/drawing/2014/main" id="{26406271-D379-49BB-A2AD-073F29BCFC7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4" name="Line 46">
          <a:extLst>
            <a:ext uri="{FF2B5EF4-FFF2-40B4-BE49-F238E27FC236}">
              <a16:creationId xmlns:a16="http://schemas.microsoft.com/office/drawing/2014/main" id="{59C9E467-3E57-4D0E-A0AE-19AA5C0C1A99}"/>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5" name="Line 47">
          <a:extLst>
            <a:ext uri="{FF2B5EF4-FFF2-40B4-BE49-F238E27FC236}">
              <a16:creationId xmlns:a16="http://schemas.microsoft.com/office/drawing/2014/main" id="{00D9EE1F-28C5-4B83-9B00-CB7C2DE9E9EB}"/>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6" name="Line 48">
          <a:extLst>
            <a:ext uri="{FF2B5EF4-FFF2-40B4-BE49-F238E27FC236}">
              <a16:creationId xmlns:a16="http://schemas.microsoft.com/office/drawing/2014/main" id="{53FB4B4E-C72C-49E1-92F5-FE2EC95987E8}"/>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7" name="Line 49">
          <a:extLst>
            <a:ext uri="{FF2B5EF4-FFF2-40B4-BE49-F238E27FC236}">
              <a16:creationId xmlns:a16="http://schemas.microsoft.com/office/drawing/2014/main" id="{B6AA19D3-AD7B-44BC-A4D1-BCC0C8967CAA}"/>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74</xdr:col>
      <xdr:colOff>0</xdr:colOff>
      <xdr:row>5</xdr:row>
      <xdr:rowOff>0</xdr:rowOff>
    </xdr:from>
    <xdr:to>
      <xdr:col>74</xdr:col>
      <xdr:colOff>0</xdr:colOff>
      <xdr:row>5</xdr:row>
      <xdr:rowOff>0</xdr:rowOff>
    </xdr:to>
    <xdr:sp macro="" textlink="">
      <xdr:nvSpPr>
        <xdr:cNvPr id="98" name="Line 50">
          <a:extLst>
            <a:ext uri="{FF2B5EF4-FFF2-40B4-BE49-F238E27FC236}">
              <a16:creationId xmlns:a16="http://schemas.microsoft.com/office/drawing/2014/main" id="{D206753A-DBEE-4A07-B793-D87A7F884481}"/>
            </a:ext>
          </a:extLst>
        </xdr:cNvPr>
        <xdr:cNvSpPr>
          <a:spLocks noChangeShapeType="1"/>
        </xdr:cNvSpPr>
      </xdr:nvSpPr>
      <xdr:spPr bwMode="auto">
        <a:xfrm flipV="1">
          <a:off x="32508825"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99" name="Line 1">
          <a:extLst>
            <a:ext uri="{FF2B5EF4-FFF2-40B4-BE49-F238E27FC236}">
              <a16:creationId xmlns:a16="http://schemas.microsoft.com/office/drawing/2014/main" id="{888535F4-B052-489E-94C5-F6BC34A7449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0" name="Line 2">
          <a:extLst>
            <a:ext uri="{FF2B5EF4-FFF2-40B4-BE49-F238E27FC236}">
              <a16:creationId xmlns:a16="http://schemas.microsoft.com/office/drawing/2014/main" id="{18B7A213-7E91-42D9-A9DA-0A4B378C04D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1" name="Line 5">
          <a:extLst>
            <a:ext uri="{FF2B5EF4-FFF2-40B4-BE49-F238E27FC236}">
              <a16:creationId xmlns:a16="http://schemas.microsoft.com/office/drawing/2014/main" id="{EE89182D-1CD0-47F8-82EA-B492938AD2E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2" name="Line 6">
          <a:extLst>
            <a:ext uri="{FF2B5EF4-FFF2-40B4-BE49-F238E27FC236}">
              <a16:creationId xmlns:a16="http://schemas.microsoft.com/office/drawing/2014/main" id="{6EB264FA-3011-4164-B61B-8F65EB11006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3" name="Line 7">
          <a:extLst>
            <a:ext uri="{FF2B5EF4-FFF2-40B4-BE49-F238E27FC236}">
              <a16:creationId xmlns:a16="http://schemas.microsoft.com/office/drawing/2014/main" id="{3442F3B5-0DF1-4A13-9632-58E06CD6CA5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4" name="Line 8">
          <a:extLst>
            <a:ext uri="{FF2B5EF4-FFF2-40B4-BE49-F238E27FC236}">
              <a16:creationId xmlns:a16="http://schemas.microsoft.com/office/drawing/2014/main" id="{543ACA33-3745-4D3C-A433-9171538A4C6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5" name="Line 9">
          <a:extLst>
            <a:ext uri="{FF2B5EF4-FFF2-40B4-BE49-F238E27FC236}">
              <a16:creationId xmlns:a16="http://schemas.microsoft.com/office/drawing/2014/main" id="{CE22D9EF-933F-47D3-A01C-E701F280DFF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6" name="Line 10">
          <a:extLst>
            <a:ext uri="{FF2B5EF4-FFF2-40B4-BE49-F238E27FC236}">
              <a16:creationId xmlns:a16="http://schemas.microsoft.com/office/drawing/2014/main" id="{81000131-CF78-445A-A9D3-024207F57FF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7" name="Line 11">
          <a:extLst>
            <a:ext uri="{FF2B5EF4-FFF2-40B4-BE49-F238E27FC236}">
              <a16:creationId xmlns:a16="http://schemas.microsoft.com/office/drawing/2014/main" id="{14DCD400-422D-449D-8297-4CBC45B1087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8" name="Line 12">
          <a:extLst>
            <a:ext uri="{FF2B5EF4-FFF2-40B4-BE49-F238E27FC236}">
              <a16:creationId xmlns:a16="http://schemas.microsoft.com/office/drawing/2014/main" id="{7A1B2615-98C3-4EC6-A202-C487B6CDB60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09" name="Line 13">
          <a:extLst>
            <a:ext uri="{FF2B5EF4-FFF2-40B4-BE49-F238E27FC236}">
              <a16:creationId xmlns:a16="http://schemas.microsoft.com/office/drawing/2014/main" id="{49DE9DFD-101E-4C72-9F23-366F47DF0FF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0" name="Line 14">
          <a:extLst>
            <a:ext uri="{FF2B5EF4-FFF2-40B4-BE49-F238E27FC236}">
              <a16:creationId xmlns:a16="http://schemas.microsoft.com/office/drawing/2014/main" id="{941519EA-DF66-4236-9002-DC5D47D7329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1" name="Line 15">
          <a:extLst>
            <a:ext uri="{FF2B5EF4-FFF2-40B4-BE49-F238E27FC236}">
              <a16:creationId xmlns:a16="http://schemas.microsoft.com/office/drawing/2014/main" id="{19BC9843-2A79-4490-8B79-D397D83EFFE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2" name="Line 16">
          <a:extLst>
            <a:ext uri="{FF2B5EF4-FFF2-40B4-BE49-F238E27FC236}">
              <a16:creationId xmlns:a16="http://schemas.microsoft.com/office/drawing/2014/main" id="{BF7CC641-CE2E-4196-879F-773CA9B44E9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3" name="Line 17">
          <a:extLst>
            <a:ext uri="{FF2B5EF4-FFF2-40B4-BE49-F238E27FC236}">
              <a16:creationId xmlns:a16="http://schemas.microsoft.com/office/drawing/2014/main" id="{8086502E-DF2A-4AC6-9F04-203AD849346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4" name="Line 18">
          <a:extLst>
            <a:ext uri="{FF2B5EF4-FFF2-40B4-BE49-F238E27FC236}">
              <a16:creationId xmlns:a16="http://schemas.microsoft.com/office/drawing/2014/main" id="{ACF12AB6-72BE-4A0A-8C6B-A7CF063E2FF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5" name="Line 19">
          <a:extLst>
            <a:ext uri="{FF2B5EF4-FFF2-40B4-BE49-F238E27FC236}">
              <a16:creationId xmlns:a16="http://schemas.microsoft.com/office/drawing/2014/main" id="{BF81C7C0-2E9F-4F0B-A35E-7FACCB4FD50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6" name="Line 20">
          <a:extLst>
            <a:ext uri="{FF2B5EF4-FFF2-40B4-BE49-F238E27FC236}">
              <a16:creationId xmlns:a16="http://schemas.microsoft.com/office/drawing/2014/main" id="{B12CB3EC-8169-4440-94F8-3D57DE9828A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7" name="Line 21">
          <a:extLst>
            <a:ext uri="{FF2B5EF4-FFF2-40B4-BE49-F238E27FC236}">
              <a16:creationId xmlns:a16="http://schemas.microsoft.com/office/drawing/2014/main" id="{E610BDFB-79F0-440E-B212-2ABC5053EF0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8" name="Line 22">
          <a:extLst>
            <a:ext uri="{FF2B5EF4-FFF2-40B4-BE49-F238E27FC236}">
              <a16:creationId xmlns:a16="http://schemas.microsoft.com/office/drawing/2014/main" id="{A3D6D657-D01F-41EE-B124-44122E83F81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19" name="Line 23">
          <a:extLst>
            <a:ext uri="{FF2B5EF4-FFF2-40B4-BE49-F238E27FC236}">
              <a16:creationId xmlns:a16="http://schemas.microsoft.com/office/drawing/2014/main" id="{E5CAEF0D-808F-489E-B7DB-1814DAA95AD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0" name="Line 24">
          <a:extLst>
            <a:ext uri="{FF2B5EF4-FFF2-40B4-BE49-F238E27FC236}">
              <a16:creationId xmlns:a16="http://schemas.microsoft.com/office/drawing/2014/main" id="{632143C4-6142-4E5A-8853-FF0A4016317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1" name="Line 25">
          <a:extLst>
            <a:ext uri="{FF2B5EF4-FFF2-40B4-BE49-F238E27FC236}">
              <a16:creationId xmlns:a16="http://schemas.microsoft.com/office/drawing/2014/main" id="{28B2787A-9C7B-4A17-84F8-81CBCFD8163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2" name="Line 26">
          <a:extLst>
            <a:ext uri="{FF2B5EF4-FFF2-40B4-BE49-F238E27FC236}">
              <a16:creationId xmlns:a16="http://schemas.microsoft.com/office/drawing/2014/main" id="{41DE23DD-477C-4A02-B795-B5B8DA25744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3" name="Line 27">
          <a:extLst>
            <a:ext uri="{FF2B5EF4-FFF2-40B4-BE49-F238E27FC236}">
              <a16:creationId xmlns:a16="http://schemas.microsoft.com/office/drawing/2014/main" id="{39CC117D-5F8D-41B7-AC82-65547172D60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4" name="Line 28">
          <a:extLst>
            <a:ext uri="{FF2B5EF4-FFF2-40B4-BE49-F238E27FC236}">
              <a16:creationId xmlns:a16="http://schemas.microsoft.com/office/drawing/2014/main" id="{55FD0EF6-1672-47DB-BFFC-636874DDCEA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5" name="Line 29">
          <a:extLst>
            <a:ext uri="{FF2B5EF4-FFF2-40B4-BE49-F238E27FC236}">
              <a16:creationId xmlns:a16="http://schemas.microsoft.com/office/drawing/2014/main" id="{0F6BDD35-84AE-4CC9-89A8-22AC99C729F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6" name="Line 30">
          <a:extLst>
            <a:ext uri="{FF2B5EF4-FFF2-40B4-BE49-F238E27FC236}">
              <a16:creationId xmlns:a16="http://schemas.microsoft.com/office/drawing/2014/main" id="{337000C5-47DD-43F0-ADC2-293E4AD46A8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7" name="Line 31">
          <a:extLst>
            <a:ext uri="{FF2B5EF4-FFF2-40B4-BE49-F238E27FC236}">
              <a16:creationId xmlns:a16="http://schemas.microsoft.com/office/drawing/2014/main" id="{5D91050E-0360-4DE4-8C72-113989CF1CD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8" name="Line 32">
          <a:extLst>
            <a:ext uri="{FF2B5EF4-FFF2-40B4-BE49-F238E27FC236}">
              <a16:creationId xmlns:a16="http://schemas.microsoft.com/office/drawing/2014/main" id="{DE32765A-4C76-41FB-80F3-D65ACC755DF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29" name="Line 33">
          <a:extLst>
            <a:ext uri="{FF2B5EF4-FFF2-40B4-BE49-F238E27FC236}">
              <a16:creationId xmlns:a16="http://schemas.microsoft.com/office/drawing/2014/main" id="{E27A2D9A-0ECE-4478-877C-229B8D7537F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0" name="Line 34">
          <a:extLst>
            <a:ext uri="{FF2B5EF4-FFF2-40B4-BE49-F238E27FC236}">
              <a16:creationId xmlns:a16="http://schemas.microsoft.com/office/drawing/2014/main" id="{7A3360F6-3887-4AB6-8471-F8CD4CD66C4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1" name="Line 35">
          <a:extLst>
            <a:ext uri="{FF2B5EF4-FFF2-40B4-BE49-F238E27FC236}">
              <a16:creationId xmlns:a16="http://schemas.microsoft.com/office/drawing/2014/main" id="{5B33ADAF-B8B1-46C6-B9F0-26BD5440132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2" name="Line 36">
          <a:extLst>
            <a:ext uri="{FF2B5EF4-FFF2-40B4-BE49-F238E27FC236}">
              <a16:creationId xmlns:a16="http://schemas.microsoft.com/office/drawing/2014/main" id="{190B4DF6-7D6F-4155-AAD8-374401F9A48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3" name="Line 37">
          <a:extLst>
            <a:ext uri="{FF2B5EF4-FFF2-40B4-BE49-F238E27FC236}">
              <a16:creationId xmlns:a16="http://schemas.microsoft.com/office/drawing/2014/main" id="{F4D85AAD-5916-432D-9612-AC5EB4FAE88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4" name="Line 38">
          <a:extLst>
            <a:ext uri="{FF2B5EF4-FFF2-40B4-BE49-F238E27FC236}">
              <a16:creationId xmlns:a16="http://schemas.microsoft.com/office/drawing/2014/main" id="{A4AC64DE-F911-4296-AB64-5B0EE191F47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5" name="Line 39">
          <a:extLst>
            <a:ext uri="{FF2B5EF4-FFF2-40B4-BE49-F238E27FC236}">
              <a16:creationId xmlns:a16="http://schemas.microsoft.com/office/drawing/2014/main" id="{EF26A32D-A0C0-43B3-B6D1-B703F5CECF5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6" name="Line 40">
          <a:extLst>
            <a:ext uri="{FF2B5EF4-FFF2-40B4-BE49-F238E27FC236}">
              <a16:creationId xmlns:a16="http://schemas.microsoft.com/office/drawing/2014/main" id="{6989DCA6-B4B3-4C19-AD60-ACF43A64E84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7" name="Line 41">
          <a:extLst>
            <a:ext uri="{FF2B5EF4-FFF2-40B4-BE49-F238E27FC236}">
              <a16:creationId xmlns:a16="http://schemas.microsoft.com/office/drawing/2014/main" id="{E7B8495A-9F63-441F-918F-0A3749F5765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8" name="Line 42">
          <a:extLst>
            <a:ext uri="{FF2B5EF4-FFF2-40B4-BE49-F238E27FC236}">
              <a16:creationId xmlns:a16="http://schemas.microsoft.com/office/drawing/2014/main" id="{3D618628-A447-4A06-9C76-D56644C19D4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39" name="Line 43">
          <a:extLst>
            <a:ext uri="{FF2B5EF4-FFF2-40B4-BE49-F238E27FC236}">
              <a16:creationId xmlns:a16="http://schemas.microsoft.com/office/drawing/2014/main" id="{800E979B-7DD0-40EF-B955-8783A3E69A86}"/>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0" name="Line 44">
          <a:extLst>
            <a:ext uri="{FF2B5EF4-FFF2-40B4-BE49-F238E27FC236}">
              <a16:creationId xmlns:a16="http://schemas.microsoft.com/office/drawing/2014/main" id="{08317C93-2325-42B7-AB5F-413638A7955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1" name="Line 45">
          <a:extLst>
            <a:ext uri="{FF2B5EF4-FFF2-40B4-BE49-F238E27FC236}">
              <a16:creationId xmlns:a16="http://schemas.microsoft.com/office/drawing/2014/main" id="{CE9CAFE8-E4BD-44BF-83F4-A958F6259F4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2" name="Line 46">
          <a:extLst>
            <a:ext uri="{FF2B5EF4-FFF2-40B4-BE49-F238E27FC236}">
              <a16:creationId xmlns:a16="http://schemas.microsoft.com/office/drawing/2014/main" id="{4E3B30F8-8B13-4684-8156-B544F42A723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3" name="Line 47">
          <a:extLst>
            <a:ext uri="{FF2B5EF4-FFF2-40B4-BE49-F238E27FC236}">
              <a16:creationId xmlns:a16="http://schemas.microsoft.com/office/drawing/2014/main" id="{063CA3EA-3963-4896-BFBB-3DD780F351B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4" name="Line 48">
          <a:extLst>
            <a:ext uri="{FF2B5EF4-FFF2-40B4-BE49-F238E27FC236}">
              <a16:creationId xmlns:a16="http://schemas.microsoft.com/office/drawing/2014/main" id="{976C6C7B-6EEF-44D9-A74C-1212F1DD77D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5" name="Line 49">
          <a:extLst>
            <a:ext uri="{FF2B5EF4-FFF2-40B4-BE49-F238E27FC236}">
              <a16:creationId xmlns:a16="http://schemas.microsoft.com/office/drawing/2014/main" id="{99A3DEC9-0059-4069-AED8-2A7F2EA5392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46" name="Line 50">
          <a:extLst>
            <a:ext uri="{FF2B5EF4-FFF2-40B4-BE49-F238E27FC236}">
              <a16:creationId xmlns:a16="http://schemas.microsoft.com/office/drawing/2014/main" id="{5E527C69-4567-4752-B5F2-A67FC3AE7E0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7" name="Line 1">
          <a:extLst>
            <a:ext uri="{FF2B5EF4-FFF2-40B4-BE49-F238E27FC236}">
              <a16:creationId xmlns:a16="http://schemas.microsoft.com/office/drawing/2014/main" id="{B4FB4B69-B62A-43D8-8F4E-6A1328126F2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8" name="Line 2">
          <a:extLst>
            <a:ext uri="{FF2B5EF4-FFF2-40B4-BE49-F238E27FC236}">
              <a16:creationId xmlns:a16="http://schemas.microsoft.com/office/drawing/2014/main" id="{8F510D58-B346-4E0A-AF68-18527ADF445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49" name="Line 5">
          <a:extLst>
            <a:ext uri="{FF2B5EF4-FFF2-40B4-BE49-F238E27FC236}">
              <a16:creationId xmlns:a16="http://schemas.microsoft.com/office/drawing/2014/main" id="{CF64052C-2852-4844-B52E-BF8576F2A35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0" name="Line 6">
          <a:extLst>
            <a:ext uri="{FF2B5EF4-FFF2-40B4-BE49-F238E27FC236}">
              <a16:creationId xmlns:a16="http://schemas.microsoft.com/office/drawing/2014/main" id="{42EB1012-E5D5-4BDC-A592-D80D6815742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1" name="Line 7">
          <a:extLst>
            <a:ext uri="{FF2B5EF4-FFF2-40B4-BE49-F238E27FC236}">
              <a16:creationId xmlns:a16="http://schemas.microsoft.com/office/drawing/2014/main" id="{39A8260A-74F9-419A-A649-BE5D2B6141B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2" name="Line 8">
          <a:extLst>
            <a:ext uri="{FF2B5EF4-FFF2-40B4-BE49-F238E27FC236}">
              <a16:creationId xmlns:a16="http://schemas.microsoft.com/office/drawing/2014/main" id="{26D9A502-2E60-4FB9-98C4-3A35B5A5452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3" name="Line 9">
          <a:extLst>
            <a:ext uri="{FF2B5EF4-FFF2-40B4-BE49-F238E27FC236}">
              <a16:creationId xmlns:a16="http://schemas.microsoft.com/office/drawing/2014/main" id="{C6D87957-16B2-4012-B908-3022CF256A4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4" name="Line 10">
          <a:extLst>
            <a:ext uri="{FF2B5EF4-FFF2-40B4-BE49-F238E27FC236}">
              <a16:creationId xmlns:a16="http://schemas.microsoft.com/office/drawing/2014/main" id="{078FD2F4-3DB0-4D9D-9ABA-3D1853284D1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5" name="Line 11">
          <a:extLst>
            <a:ext uri="{FF2B5EF4-FFF2-40B4-BE49-F238E27FC236}">
              <a16:creationId xmlns:a16="http://schemas.microsoft.com/office/drawing/2014/main" id="{A6FBDB36-4772-4AF4-88DC-A7B4A7EC4DD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6" name="Line 12">
          <a:extLst>
            <a:ext uri="{FF2B5EF4-FFF2-40B4-BE49-F238E27FC236}">
              <a16:creationId xmlns:a16="http://schemas.microsoft.com/office/drawing/2014/main" id="{BCDA4FC8-3443-4EA1-9294-F853D33A4FC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7" name="Line 13">
          <a:extLst>
            <a:ext uri="{FF2B5EF4-FFF2-40B4-BE49-F238E27FC236}">
              <a16:creationId xmlns:a16="http://schemas.microsoft.com/office/drawing/2014/main" id="{AB172C2F-8580-4EC9-B2DA-8E27723DA57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8" name="Line 14">
          <a:extLst>
            <a:ext uri="{FF2B5EF4-FFF2-40B4-BE49-F238E27FC236}">
              <a16:creationId xmlns:a16="http://schemas.microsoft.com/office/drawing/2014/main" id="{1B064315-5B2C-49C2-AF7B-4963095A1AE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59" name="Line 15">
          <a:extLst>
            <a:ext uri="{FF2B5EF4-FFF2-40B4-BE49-F238E27FC236}">
              <a16:creationId xmlns:a16="http://schemas.microsoft.com/office/drawing/2014/main" id="{6F6FF689-9B17-4EDB-9B70-9D0A34D6A9D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0" name="Line 16">
          <a:extLst>
            <a:ext uri="{FF2B5EF4-FFF2-40B4-BE49-F238E27FC236}">
              <a16:creationId xmlns:a16="http://schemas.microsoft.com/office/drawing/2014/main" id="{C01A8E01-5EC2-4B41-9DF9-B6725B4937B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1" name="Line 17">
          <a:extLst>
            <a:ext uri="{FF2B5EF4-FFF2-40B4-BE49-F238E27FC236}">
              <a16:creationId xmlns:a16="http://schemas.microsoft.com/office/drawing/2014/main" id="{3FEDEBAB-BC6D-4AB9-87AB-D3D052D4F5B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2" name="Line 18">
          <a:extLst>
            <a:ext uri="{FF2B5EF4-FFF2-40B4-BE49-F238E27FC236}">
              <a16:creationId xmlns:a16="http://schemas.microsoft.com/office/drawing/2014/main" id="{6FF56363-218E-4BC2-AE42-0B67249E6E1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3" name="Line 19">
          <a:extLst>
            <a:ext uri="{FF2B5EF4-FFF2-40B4-BE49-F238E27FC236}">
              <a16:creationId xmlns:a16="http://schemas.microsoft.com/office/drawing/2014/main" id="{7737DB15-9870-4EA1-BC17-E9D68BC1086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4" name="Line 20">
          <a:extLst>
            <a:ext uri="{FF2B5EF4-FFF2-40B4-BE49-F238E27FC236}">
              <a16:creationId xmlns:a16="http://schemas.microsoft.com/office/drawing/2014/main" id="{92497200-EB74-4A1F-8AB4-300376544F1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5" name="Line 21">
          <a:extLst>
            <a:ext uri="{FF2B5EF4-FFF2-40B4-BE49-F238E27FC236}">
              <a16:creationId xmlns:a16="http://schemas.microsoft.com/office/drawing/2014/main" id="{ABE7C43E-FA87-406B-BFB5-7BD0CBD7818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6" name="Line 22">
          <a:extLst>
            <a:ext uri="{FF2B5EF4-FFF2-40B4-BE49-F238E27FC236}">
              <a16:creationId xmlns:a16="http://schemas.microsoft.com/office/drawing/2014/main" id="{CEC0FD7A-273E-47B6-8619-A08598274F3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7" name="Line 23">
          <a:extLst>
            <a:ext uri="{FF2B5EF4-FFF2-40B4-BE49-F238E27FC236}">
              <a16:creationId xmlns:a16="http://schemas.microsoft.com/office/drawing/2014/main" id="{8EACAB53-5CD7-4DD6-9E71-CB06B6AE9C3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8" name="Line 24">
          <a:extLst>
            <a:ext uri="{FF2B5EF4-FFF2-40B4-BE49-F238E27FC236}">
              <a16:creationId xmlns:a16="http://schemas.microsoft.com/office/drawing/2014/main" id="{71A6CB3F-EA83-42DF-B328-E2F3E14BF9E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69" name="Line 25">
          <a:extLst>
            <a:ext uri="{FF2B5EF4-FFF2-40B4-BE49-F238E27FC236}">
              <a16:creationId xmlns:a16="http://schemas.microsoft.com/office/drawing/2014/main" id="{F038ABAC-EC54-4D91-ADE4-793FE538447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0" name="Line 26">
          <a:extLst>
            <a:ext uri="{FF2B5EF4-FFF2-40B4-BE49-F238E27FC236}">
              <a16:creationId xmlns:a16="http://schemas.microsoft.com/office/drawing/2014/main" id="{6EB5F056-8785-4B89-95E2-575B2B5043A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1" name="Line 27">
          <a:extLst>
            <a:ext uri="{FF2B5EF4-FFF2-40B4-BE49-F238E27FC236}">
              <a16:creationId xmlns:a16="http://schemas.microsoft.com/office/drawing/2014/main" id="{88D76D00-1208-4683-A7DF-AD3C0637189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2" name="Line 28">
          <a:extLst>
            <a:ext uri="{FF2B5EF4-FFF2-40B4-BE49-F238E27FC236}">
              <a16:creationId xmlns:a16="http://schemas.microsoft.com/office/drawing/2014/main" id="{A8289D09-5D04-47B4-9317-F2405227A13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3" name="Line 29">
          <a:extLst>
            <a:ext uri="{FF2B5EF4-FFF2-40B4-BE49-F238E27FC236}">
              <a16:creationId xmlns:a16="http://schemas.microsoft.com/office/drawing/2014/main" id="{32E3369B-3EB3-4C35-A34A-520D2272FB5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4" name="Line 30">
          <a:extLst>
            <a:ext uri="{FF2B5EF4-FFF2-40B4-BE49-F238E27FC236}">
              <a16:creationId xmlns:a16="http://schemas.microsoft.com/office/drawing/2014/main" id="{D84B919E-BA89-4E58-8F28-F0321C4C8CE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5" name="Line 31">
          <a:extLst>
            <a:ext uri="{FF2B5EF4-FFF2-40B4-BE49-F238E27FC236}">
              <a16:creationId xmlns:a16="http://schemas.microsoft.com/office/drawing/2014/main" id="{9DE4BDD6-0FF5-4443-9B2B-AAF888FFA3C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6" name="Line 32">
          <a:extLst>
            <a:ext uri="{FF2B5EF4-FFF2-40B4-BE49-F238E27FC236}">
              <a16:creationId xmlns:a16="http://schemas.microsoft.com/office/drawing/2014/main" id="{09887C32-0471-4C09-A5B2-1677BC6E00A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7" name="Line 33">
          <a:extLst>
            <a:ext uri="{FF2B5EF4-FFF2-40B4-BE49-F238E27FC236}">
              <a16:creationId xmlns:a16="http://schemas.microsoft.com/office/drawing/2014/main" id="{8F443435-FC02-4732-95EE-2DE216FE96CA}"/>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8" name="Line 34">
          <a:extLst>
            <a:ext uri="{FF2B5EF4-FFF2-40B4-BE49-F238E27FC236}">
              <a16:creationId xmlns:a16="http://schemas.microsoft.com/office/drawing/2014/main" id="{7D661219-C927-4AE0-8DBC-77D3DAB2BD1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79" name="Line 35">
          <a:extLst>
            <a:ext uri="{FF2B5EF4-FFF2-40B4-BE49-F238E27FC236}">
              <a16:creationId xmlns:a16="http://schemas.microsoft.com/office/drawing/2014/main" id="{EEAF037E-ADCB-4158-8CCC-AD7E4971282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0" name="Line 36">
          <a:extLst>
            <a:ext uri="{FF2B5EF4-FFF2-40B4-BE49-F238E27FC236}">
              <a16:creationId xmlns:a16="http://schemas.microsoft.com/office/drawing/2014/main" id="{6498BF29-4BC9-47C2-BEDC-42CA1800755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1" name="Line 37">
          <a:extLst>
            <a:ext uri="{FF2B5EF4-FFF2-40B4-BE49-F238E27FC236}">
              <a16:creationId xmlns:a16="http://schemas.microsoft.com/office/drawing/2014/main" id="{12FDB34A-0C8A-4780-A19A-90EAADDFAB4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2" name="Line 38">
          <a:extLst>
            <a:ext uri="{FF2B5EF4-FFF2-40B4-BE49-F238E27FC236}">
              <a16:creationId xmlns:a16="http://schemas.microsoft.com/office/drawing/2014/main" id="{7A8FEAF9-5C45-4CDB-81E0-B14DC36068B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3" name="Line 39">
          <a:extLst>
            <a:ext uri="{FF2B5EF4-FFF2-40B4-BE49-F238E27FC236}">
              <a16:creationId xmlns:a16="http://schemas.microsoft.com/office/drawing/2014/main" id="{FABD6BD5-7F39-4D15-9B05-05CE8D1753C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4" name="Line 40">
          <a:extLst>
            <a:ext uri="{FF2B5EF4-FFF2-40B4-BE49-F238E27FC236}">
              <a16:creationId xmlns:a16="http://schemas.microsoft.com/office/drawing/2014/main" id="{6A57F3C9-7D27-4458-88A6-894BB3B4279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5" name="Line 41">
          <a:extLst>
            <a:ext uri="{FF2B5EF4-FFF2-40B4-BE49-F238E27FC236}">
              <a16:creationId xmlns:a16="http://schemas.microsoft.com/office/drawing/2014/main" id="{7487623C-A8F6-4B07-8AB7-CB2C2308222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6" name="Line 42">
          <a:extLst>
            <a:ext uri="{FF2B5EF4-FFF2-40B4-BE49-F238E27FC236}">
              <a16:creationId xmlns:a16="http://schemas.microsoft.com/office/drawing/2014/main" id="{D3F43DC8-3DFB-4732-9EDD-1CE8ECD2EF4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7" name="Line 43">
          <a:extLst>
            <a:ext uri="{FF2B5EF4-FFF2-40B4-BE49-F238E27FC236}">
              <a16:creationId xmlns:a16="http://schemas.microsoft.com/office/drawing/2014/main" id="{DB9733C0-E74C-4BE3-88F9-87E94AC6A6D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8" name="Line 44">
          <a:extLst>
            <a:ext uri="{FF2B5EF4-FFF2-40B4-BE49-F238E27FC236}">
              <a16:creationId xmlns:a16="http://schemas.microsoft.com/office/drawing/2014/main" id="{365DA788-C9AC-46F3-811C-444D0D0894B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89" name="Line 45">
          <a:extLst>
            <a:ext uri="{FF2B5EF4-FFF2-40B4-BE49-F238E27FC236}">
              <a16:creationId xmlns:a16="http://schemas.microsoft.com/office/drawing/2014/main" id="{871A9003-A074-4B9D-A766-CCD8D92F33A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0" name="Line 46">
          <a:extLst>
            <a:ext uri="{FF2B5EF4-FFF2-40B4-BE49-F238E27FC236}">
              <a16:creationId xmlns:a16="http://schemas.microsoft.com/office/drawing/2014/main" id="{3D76011A-7DC3-4337-9BE4-7901A67C4F5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1" name="Line 47">
          <a:extLst>
            <a:ext uri="{FF2B5EF4-FFF2-40B4-BE49-F238E27FC236}">
              <a16:creationId xmlns:a16="http://schemas.microsoft.com/office/drawing/2014/main" id="{D2DC8E71-1DE3-4762-BD36-119774EC4A2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2" name="Line 48">
          <a:extLst>
            <a:ext uri="{FF2B5EF4-FFF2-40B4-BE49-F238E27FC236}">
              <a16:creationId xmlns:a16="http://schemas.microsoft.com/office/drawing/2014/main" id="{A7C0B519-88C2-42A0-9D59-5E4C6B8BB14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3" name="Line 49">
          <a:extLst>
            <a:ext uri="{FF2B5EF4-FFF2-40B4-BE49-F238E27FC236}">
              <a16:creationId xmlns:a16="http://schemas.microsoft.com/office/drawing/2014/main" id="{62871C45-E6F4-41A8-A696-D995D90DFBB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194" name="Line 50">
          <a:extLst>
            <a:ext uri="{FF2B5EF4-FFF2-40B4-BE49-F238E27FC236}">
              <a16:creationId xmlns:a16="http://schemas.microsoft.com/office/drawing/2014/main" id="{4556D52E-65A0-41EE-9C50-BA374EC55F9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5" name="Line 1">
          <a:extLst>
            <a:ext uri="{FF2B5EF4-FFF2-40B4-BE49-F238E27FC236}">
              <a16:creationId xmlns:a16="http://schemas.microsoft.com/office/drawing/2014/main" id="{F6555D14-EC38-4863-AB4E-ACB6F886566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6" name="Line 2">
          <a:extLst>
            <a:ext uri="{FF2B5EF4-FFF2-40B4-BE49-F238E27FC236}">
              <a16:creationId xmlns:a16="http://schemas.microsoft.com/office/drawing/2014/main" id="{8D49C33B-740E-4E30-B9AD-85FECD2BC73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7" name="Line 5">
          <a:extLst>
            <a:ext uri="{FF2B5EF4-FFF2-40B4-BE49-F238E27FC236}">
              <a16:creationId xmlns:a16="http://schemas.microsoft.com/office/drawing/2014/main" id="{BD6D2153-518E-42DE-B068-21A8411D4EC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8" name="Line 6">
          <a:extLst>
            <a:ext uri="{FF2B5EF4-FFF2-40B4-BE49-F238E27FC236}">
              <a16:creationId xmlns:a16="http://schemas.microsoft.com/office/drawing/2014/main" id="{92C6B811-DF51-4DA7-AF49-04FE39E24749}"/>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199" name="Line 7">
          <a:extLst>
            <a:ext uri="{FF2B5EF4-FFF2-40B4-BE49-F238E27FC236}">
              <a16:creationId xmlns:a16="http://schemas.microsoft.com/office/drawing/2014/main" id="{3654D50B-0338-4D94-A937-C38E0FCE9D8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0" name="Line 8">
          <a:extLst>
            <a:ext uri="{FF2B5EF4-FFF2-40B4-BE49-F238E27FC236}">
              <a16:creationId xmlns:a16="http://schemas.microsoft.com/office/drawing/2014/main" id="{79384BAD-AC32-4CAA-9063-43B3A2B9D46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1" name="Line 9">
          <a:extLst>
            <a:ext uri="{FF2B5EF4-FFF2-40B4-BE49-F238E27FC236}">
              <a16:creationId xmlns:a16="http://schemas.microsoft.com/office/drawing/2014/main" id="{15BB7396-DA68-4B8A-A8DB-2CEC125A935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2" name="Line 10">
          <a:extLst>
            <a:ext uri="{FF2B5EF4-FFF2-40B4-BE49-F238E27FC236}">
              <a16:creationId xmlns:a16="http://schemas.microsoft.com/office/drawing/2014/main" id="{9D6227AF-21F4-4CC7-A4D0-5E06168380F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3" name="Line 11">
          <a:extLst>
            <a:ext uri="{FF2B5EF4-FFF2-40B4-BE49-F238E27FC236}">
              <a16:creationId xmlns:a16="http://schemas.microsoft.com/office/drawing/2014/main" id="{D0F80249-AE4D-46E0-84F5-56066FC2028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4" name="Line 12">
          <a:extLst>
            <a:ext uri="{FF2B5EF4-FFF2-40B4-BE49-F238E27FC236}">
              <a16:creationId xmlns:a16="http://schemas.microsoft.com/office/drawing/2014/main" id="{95D02FDB-56FF-43F2-8C1E-AC4BC81A804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5" name="Line 13">
          <a:extLst>
            <a:ext uri="{FF2B5EF4-FFF2-40B4-BE49-F238E27FC236}">
              <a16:creationId xmlns:a16="http://schemas.microsoft.com/office/drawing/2014/main" id="{88874398-0441-42B2-9DEF-51DB539708C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6" name="Line 14">
          <a:extLst>
            <a:ext uri="{FF2B5EF4-FFF2-40B4-BE49-F238E27FC236}">
              <a16:creationId xmlns:a16="http://schemas.microsoft.com/office/drawing/2014/main" id="{FD315B6C-5152-4DFD-95A4-5F57A1EB856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7" name="Line 15">
          <a:extLst>
            <a:ext uri="{FF2B5EF4-FFF2-40B4-BE49-F238E27FC236}">
              <a16:creationId xmlns:a16="http://schemas.microsoft.com/office/drawing/2014/main" id="{268359A5-19AD-457F-83E0-13BEDCB4207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8" name="Line 16">
          <a:extLst>
            <a:ext uri="{FF2B5EF4-FFF2-40B4-BE49-F238E27FC236}">
              <a16:creationId xmlns:a16="http://schemas.microsoft.com/office/drawing/2014/main" id="{2E8EE487-27B1-47A7-9F19-4CAB46FB55E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09" name="Line 17">
          <a:extLst>
            <a:ext uri="{FF2B5EF4-FFF2-40B4-BE49-F238E27FC236}">
              <a16:creationId xmlns:a16="http://schemas.microsoft.com/office/drawing/2014/main" id="{C2580EDE-2689-4B74-BB1A-B85EB7F306E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0" name="Line 18">
          <a:extLst>
            <a:ext uri="{FF2B5EF4-FFF2-40B4-BE49-F238E27FC236}">
              <a16:creationId xmlns:a16="http://schemas.microsoft.com/office/drawing/2014/main" id="{F3CCC815-8CFC-4C65-BF3F-65057CA7B36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1" name="Line 19">
          <a:extLst>
            <a:ext uri="{FF2B5EF4-FFF2-40B4-BE49-F238E27FC236}">
              <a16:creationId xmlns:a16="http://schemas.microsoft.com/office/drawing/2014/main" id="{1F7A2FE2-8A14-4ACD-9BBE-2C2AC3EA647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2" name="Line 20">
          <a:extLst>
            <a:ext uri="{FF2B5EF4-FFF2-40B4-BE49-F238E27FC236}">
              <a16:creationId xmlns:a16="http://schemas.microsoft.com/office/drawing/2014/main" id="{2A1AD621-CA87-4CF3-AC29-1E9CE34C82D2}"/>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3" name="Line 21">
          <a:extLst>
            <a:ext uri="{FF2B5EF4-FFF2-40B4-BE49-F238E27FC236}">
              <a16:creationId xmlns:a16="http://schemas.microsoft.com/office/drawing/2014/main" id="{A7FC7628-9284-48DB-9CCB-9F8B19D8948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4" name="Line 22">
          <a:extLst>
            <a:ext uri="{FF2B5EF4-FFF2-40B4-BE49-F238E27FC236}">
              <a16:creationId xmlns:a16="http://schemas.microsoft.com/office/drawing/2014/main" id="{A3F165BB-FEF1-4E77-81D3-C9D7CC48F36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5" name="Line 23">
          <a:extLst>
            <a:ext uri="{FF2B5EF4-FFF2-40B4-BE49-F238E27FC236}">
              <a16:creationId xmlns:a16="http://schemas.microsoft.com/office/drawing/2014/main" id="{AD56884C-D3B4-4A3F-98C4-BEA89297C6C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6" name="Line 24">
          <a:extLst>
            <a:ext uri="{FF2B5EF4-FFF2-40B4-BE49-F238E27FC236}">
              <a16:creationId xmlns:a16="http://schemas.microsoft.com/office/drawing/2014/main" id="{3423B165-AB77-4A16-A412-BBCE7349050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7" name="Line 25">
          <a:extLst>
            <a:ext uri="{FF2B5EF4-FFF2-40B4-BE49-F238E27FC236}">
              <a16:creationId xmlns:a16="http://schemas.microsoft.com/office/drawing/2014/main" id="{D7F65AF2-1CCA-4A6C-BD11-4D05631AC2F7}"/>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8" name="Line 26">
          <a:extLst>
            <a:ext uri="{FF2B5EF4-FFF2-40B4-BE49-F238E27FC236}">
              <a16:creationId xmlns:a16="http://schemas.microsoft.com/office/drawing/2014/main" id="{1261F16B-A510-4CD4-B2C1-E5FE1A3760C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19" name="Line 27">
          <a:extLst>
            <a:ext uri="{FF2B5EF4-FFF2-40B4-BE49-F238E27FC236}">
              <a16:creationId xmlns:a16="http://schemas.microsoft.com/office/drawing/2014/main" id="{D60D8915-4CC2-45E5-B6C4-82E317ED461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0" name="Line 28">
          <a:extLst>
            <a:ext uri="{FF2B5EF4-FFF2-40B4-BE49-F238E27FC236}">
              <a16:creationId xmlns:a16="http://schemas.microsoft.com/office/drawing/2014/main" id="{C9EDD398-A5D9-4026-BE81-062C0663425F}"/>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1" name="Line 29">
          <a:extLst>
            <a:ext uri="{FF2B5EF4-FFF2-40B4-BE49-F238E27FC236}">
              <a16:creationId xmlns:a16="http://schemas.microsoft.com/office/drawing/2014/main" id="{AAF0FB7D-C159-4CCC-A04E-1DAB0B011C0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2" name="Line 30">
          <a:extLst>
            <a:ext uri="{FF2B5EF4-FFF2-40B4-BE49-F238E27FC236}">
              <a16:creationId xmlns:a16="http://schemas.microsoft.com/office/drawing/2014/main" id="{1CC4AEBB-21A9-45E8-8ED3-2F0EFFE36AC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3" name="Line 31">
          <a:extLst>
            <a:ext uri="{FF2B5EF4-FFF2-40B4-BE49-F238E27FC236}">
              <a16:creationId xmlns:a16="http://schemas.microsoft.com/office/drawing/2014/main" id="{7F3ACA7E-3D6C-43A0-84DB-B584B9DB5CA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4" name="Line 32">
          <a:extLst>
            <a:ext uri="{FF2B5EF4-FFF2-40B4-BE49-F238E27FC236}">
              <a16:creationId xmlns:a16="http://schemas.microsoft.com/office/drawing/2014/main" id="{2B532591-99E8-411F-AA6A-D30B9E71FB21}"/>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5" name="Line 33">
          <a:extLst>
            <a:ext uri="{FF2B5EF4-FFF2-40B4-BE49-F238E27FC236}">
              <a16:creationId xmlns:a16="http://schemas.microsoft.com/office/drawing/2014/main" id="{C94C462C-28B7-4CDA-A0FC-24A0FEC6889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6" name="Line 34">
          <a:extLst>
            <a:ext uri="{FF2B5EF4-FFF2-40B4-BE49-F238E27FC236}">
              <a16:creationId xmlns:a16="http://schemas.microsoft.com/office/drawing/2014/main" id="{76BD41D4-F8AD-4090-8597-D21DFA80AC2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7" name="Line 35">
          <a:extLst>
            <a:ext uri="{FF2B5EF4-FFF2-40B4-BE49-F238E27FC236}">
              <a16:creationId xmlns:a16="http://schemas.microsoft.com/office/drawing/2014/main" id="{2ECA1EA8-F6B0-4F8F-87AA-81B2E53D729B}"/>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8" name="Line 36">
          <a:extLst>
            <a:ext uri="{FF2B5EF4-FFF2-40B4-BE49-F238E27FC236}">
              <a16:creationId xmlns:a16="http://schemas.microsoft.com/office/drawing/2014/main" id="{277D3A82-2ECE-44CA-8903-8F9FD7555FE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29" name="Line 37">
          <a:extLst>
            <a:ext uri="{FF2B5EF4-FFF2-40B4-BE49-F238E27FC236}">
              <a16:creationId xmlns:a16="http://schemas.microsoft.com/office/drawing/2014/main" id="{B41124BC-7CA2-45F4-A255-6A8EF01F8F3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0" name="Line 38">
          <a:extLst>
            <a:ext uri="{FF2B5EF4-FFF2-40B4-BE49-F238E27FC236}">
              <a16:creationId xmlns:a16="http://schemas.microsoft.com/office/drawing/2014/main" id="{356FF2D6-7A66-48E8-BE27-39EC76507E2A}"/>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1" name="Line 39">
          <a:extLst>
            <a:ext uri="{FF2B5EF4-FFF2-40B4-BE49-F238E27FC236}">
              <a16:creationId xmlns:a16="http://schemas.microsoft.com/office/drawing/2014/main" id="{5EEDD27A-6218-4CC5-AB44-0FEBAE806C8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2" name="Line 40">
          <a:extLst>
            <a:ext uri="{FF2B5EF4-FFF2-40B4-BE49-F238E27FC236}">
              <a16:creationId xmlns:a16="http://schemas.microsoft.com/office/drawing/2014/main" id="{65E101B6-9104-48E9-8476-316D38EEF4F4}"/>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3" name="Line 41">
          <a:extLst>
            <a:ext uri="{FF2B5EF4-FFF2-40B4-BE49-F238E27FC236}">
              <a16:creationId xmlns:a16="http://schemas.microsoft.com/office/drawing/2014/main" id="{AEDA5D16-5261-4542-9BB8-B145DE9F8048}"/>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4" name="Line 42">
          <a:extLst>
            <a:ext uri="{FF2B5EF4-FFF2-40B4-BE49-F238E27FC236}">
              <a16:creationId xmlns:a16="http://schemas.microsoft.com/office/drawing/2014/main" id="{E95C3C7B-96A1-4FD0-9400-04073FD2345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5" name="Line 43">
          <a:extLst>
            <a:ext uri="{FF2B5EF4-FFF2-40B4-BE49-F238E27FC236}">
              <a16:creationId xmlns:a16="http://schemas.microsoft.com/office/drawing/2014/main" id="{E0909D02-81C4-4A0F-8A46-FC673E86EC4E}"/>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6" name="Line 44">
          <a:extLst>
            <a:ext uri="{FF2B5EF4-FFF2-40B4-BE49-F238E27FC236}">
              <a16:creationId xmlns:a16="http://schemas.microsoft.com/office/drawing/2014/main" id="{603AF348-4CC0-4B7B-B773-757B1555A7D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7" name="Line 45">
          <a:extLst>
            <a:ext uri="{FF2B5EF4-FFF2-40B4-BE49-F238E27FC236}">
              <a16:creationId xmlns:a16="http://schemas.microsoft.com/office/drawing/2014/main" id="{E18ED819-A81E-4E5B-8329-757059F7102C}"/>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8" name="Line 46">
          <a:extLst>
            <a:ext uri="{FF2B5EF4-FFF2-40B4-BE49-F238E27FC236}">
              <a16:creationId xmlns:a16="http://schemas.microsoft.com/office/drawing/2014/main" id="{1C124EED-8397-4006-8DD5-E55497D9E52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39" name="Line 47">
          <a:extLst>
            <a:ext uri="{FF2B5EF4-FFF2-40B4-BE49-F238E27FC236}">
              <a16:creationId xmlns:a16="http://schemas.microsoft.com/office/drawing/2014/main" id="{089990DC-263A-4AB9-B0B5-A8BD66D2A3A3}"/>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0" name="Line 48">
          <a:extLst>
            <a:ext uri="{FF2B5EF4-FFF2-40B4-BE49-F238E27FC236}">
              <a16:creationId xmlns:a16="http://schemas.microsoft.com/office/drawing/2014/main" id="{780587E2-EC9F-4E2D-94D0-347C45211895}"/>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1" name="Line 49">
          <a:extLst>
            <a:ext uri="{FF2B5EF4-FFF2-40B4-BE49-F238E27FC236}">
              <a16:creationId xmlns:a16="http://schemas.microsoft.com/office/drawing/2014/main" id="{CE4CDCAD-C3F5-4D47-91F4-38E7525BB38D}"/>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129</xdr:col>
      <xdr:colOff>0</xdr:colOff>
      <xdr:row>5</xdr:row>
      <xdr:rowOff>0</xdr:rowOff>
    </xdr:from>
    <xdr:to>
      <xdr:col>129</xdr:col>
      <xdr:colOff>0</xdr:colOff>
      <xdr:row>5</xdr:row>
      <xdr:rowOff>0</xdr:rowOff>
    </xdr:to>
    <xdr:sp macro="" textlink="">
      <xdr:nvSpPr>
        <xdr:cNvPr id="242" name="Line 50">
          <a:extLst>
            <a:ext uri="{FF2B5EF4-FFF2-40B4-BE49-F238E27FC236}">
              <a16:creationId xmlns:a16="http://schemas.microsoft.com/office/drawing/2014/main" id="{E817FCA3-D9DC-4D2D-BF4B-20A9ACB0B2C0}"/>
            </a:ext>
          </a:extLst>
        </xdr:cNvPr>
        <xdr:cNvSpPr>
          <a:spLocks noChangeShapeType="1"/>
        </xdr:cNvSpPr>
      </xdr:nvSpPr>
      <xdr:spPr bwMode="auto">
        <a:xfrm flipV="1">
          <a:off x="5623560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3" name="Line 1">
          <a:extLst>
            <a:ext uri="{FF2B5EF4-FFF2-40B4-BE49-F238E27FC236}">
              <a16:creationId xmlns:a16="http://schemas.microsoft.com/office/drawing/2014/main" id="{83182776-CEE3-4517-B9A3-02DA53E7415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4" name="Line 2">
          <a:extLst>
            <a:ext uri="{FF2B5EF4-FFF2-40B4-BE49-F238E27FC236}">
              <a16:creationId xmlns:a16="http://schemas.microsoft.com/office/drawing/2014/main" id="{420B170E-3925-42C2-B280-0B345AEB74A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5" name="Line 5">
          <a:extLst>
            <a:ext uri="{FF2B5EF4-FFF2-40B4-BE49-F238E27FC236}">
              <a16:creationId xmlns:a16="http://schemas.microsoft.com/office/drawing/2014/main" id="{6550EB9E-7647-44B2-ABC6-406C2685A80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6" name="Line 6">
          <a:extLst>
            <a:ext uri="{FF2B5EF4-FFF2-40B4-BE49-F238E27FC236}">
              <a16:creationId xmlns:a16="http://schemas.microsoft.com/office/drawing/2014/main" id="{DDADA3C9-5C08-45DA-8883-209AA54020B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7" name="Line 7">
          <a:extLst>
            <a:ext uri="{FF2B5EF4-FFF2-40B4-BE49-F238E27FC236}">
              <a16:creationId xmlns:a16="http://schemas.microsoft.com/office/drawing/2014/main" id="{46D40DAC-D90C-4CF6-B274-EC0E8791907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8" name="Line 8">
          <a:extLst>
            <a:ext uri="{FF2B5EF4-FFF2-40B4-BE49-F238E27FC236}">
              <a16:creationId xmlns:a16="http://schemas.microsoft.com/office/drawing/2014/main" id="{45DAE00D-8E8F-4909-B0AB-631CD653ECF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49" name="Line 9">
          <a:extLst>
            <a:ext uri="{FF2B5EF4-FFF2-40B4-BE49-F238E27FC236}">
              <a16:creationId xmlns:a16="http://schemas.microsoft.com/office/drawing/2014/main" id="{60621B80-9A45-43B7-BE49-301519E5EC8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0" name="Line 10">
          <a:extLst>
            <a:ext uri="{FF2B5EF4-FFF2-40B4-BE49-F238E27FC236}">
              <a16:creationId xmlns:a16="http://schemas.microsoft.com/office/drawing/2014/main" id="{C770AD7C-AE3B-405E-956A-F69D40AEF2D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1" name="Line 11">
          <a:extLst>
            <a:ext uri="{FF2B5EF4-FFF2-40B4-BE49-F238E27FC236}">
              <a16:creationId xmlns:a16="http://schemas.microsoft.com/office/drawing/2014/main" id="{63970DE9-E09C-4978-A33B-E6C1DCC983F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2" name="Line 12">
          <a:extLst>
            <a:ext uri="{FF2B5EF4-FFF2-40B4-BE49-F238E27FC236}">
              <a16:creationId xmlns:a16="http://schemas.microsoft.com/office/drawing/2014/main" id="{D230A9F1-0067-46B1-9F07-A980CF322DC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3" name="Line 13">
          <a:extLst>
            <a:ext uri="{FF2B5EF4-FFF2-40B4-BE49-F238E27FC236}">
              <a16:creationId xmlns:a16="http://schemas.microsoft.com/office/drawing/2014/main" id="{DB248A79-9FAC-4737-BF98-430ABEAB78F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4" name="Line 14">
          <a:extLst>
            <a:ext uri="{FF2B5EF4-FFF2-40B4-BE49-F238E27FC236}">
              <a16:creationId xmlns:a16="http://schemas.microsoft.com/office/drawing/2014/main" id="{A407C1B2-F90C-4328-8755-8F8948AD961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5" name="Line 15">
          <a:extLst>
            <a:ext uri="{FF2B5EF4-FFF2-40B4-BE49-F238E27FC236}">
              <a16:creationId xmlns:a16="http://schemas.microsoft.com/office/drawing/2014/main" id="{3D7667BA-67D6-43A2-B975-9DA21DB4ACE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6" name="Line 16">
          <a:extLst>
            <a:ext uri="{FF2B5EF4-FFF2-40B4-BE49-F238E27FC236}">
              <a16:creationId xmlns:a16="http://schemas.microsoft.com/office/drawing/2014/main" id="{4CA4EEE1-333D-45EB-BA5C-85461FD4507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7" name="Line 17">
          <a:extLst>
            <a:ext uri="{FF2B5EF4-FFF2-40B4-BE49-F238E27FC236}">
              <a16:creationId xmlns:a16="http://schemas.microsoft.com/office/drawing/2014/main" id="{636036B3-B77F-48EA-B92D-38E96EF00DB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8" name="Line 18">
          <a:extLst>
            <a:ext uri="{FF2B5EF4-FFF2-40B4-BE49-F238E27FC236}">
              <a16:creationId xmlns:a16="http://schemas.microsoft.com/office/drawing/2014/main" id="{4BFDB0A9-DF5B-49A1-90B3-0950050B439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59" name="Line 19">
          <a:extLst>
            <a:ext uri="{FF2B5EF4-FFF2-40B4-BE49-F238E27FC236}">
              <a16:creationId xmlns:a16="http://schemas.microsoft.com/office/drawing/2014/main" id="{829D612C-F819-4AE1-9A93-C02F898C8B1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0" name="Line 20">
          <a:extLst>
            <a:ext uri="{FF2B5EF4-FFF2-40B4-BE49-F238E27FC236}">
              <a16:creationId xmlns:a16="http://schemas.microsoft.com/office/drawing/2014/main" id="{580F0D16-18C8-4911-946C-21F1C7B1752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1" name="Line 21">
          <a:extLst>
            <a:ext uri="{FF2B5EF4-FFF2-40B4-BE49-F238E27FC236}">
              <a16:creationId xmlns:a16="http://schemas.microsoft.com/office/drawing/2014/main" id="{1197854D-4537-4986-9F15-F25B726300F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2" name="Line 22">
          <a:extLst>
            <a:ext uri="{FF2B5EF4-FFF2-40B4-BE49-F238E27FC236}">
              <a16:creationId xmlns:a16="http://schemas.microsoft.com/office/drawing/2014/main" id="{94328A59-D342-4C4D-8D55-EF84300DF2D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3" name="Line 23">
          <a:extLst>
            <a:ext uri="{FF2B5EF4-FFF2-40B4-BE49-F238E27FC236}">
              <a16:creationId xmlns:a16="http://schemas.microsoft.com/office/drawing/2014/main" id="{807E3152-C216-44D3-AD17-DFCEC03763D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4" name="Line 24">
          <a:extLst>
            <a:ext uri="{FF2B5EF4-FFF2-40B4-BE49-F238E27FC236}">
              <a16:creationId xmlns:a16="http://schemas.microsoft.com/office/drawing/2014/main" id="{0236C4F3-E246-4C95-AB95-CFABCD53A38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5" name="Line 25">
          <a:extLst>
            <a:ext uri="{FF2B5EF4-FFF2-40B4-BE49-F238E27FC236}">
              <a16:creationId xmlns:a16="http://schemas.microsoft.com/office/drawing/2014/main" id="{89E57A0B-40CF-47BE-9E17-647766B0CC3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6" name="Line 26">
          <a:extLst>
            <a:ext uri="{FF2B5EF4-FFF2-40B4-BE49-F238E27FC236}">
              <a16:creationId xmlns:a16="http://schemas.microsoft.com/office/drawing/2014/main" id="{43259E31-3F13-48A0-ADF5-3280AB3F73A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7" name="Line 27">
          <a:extLst>
            <a:ext uri="{FF2B5EF4-FFF2-40B4-BE49-F238E27FC236}">
              <a16:creationId xmlns:a16="http://schemas.microsoft.com/office/drawing/2014/main" id="{76C22F40-4065-4D45-951A-915E0E33E0A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8" name="Line 28">
          <a:extLst>
            <a:ext uri="{FF2B5EF4-FFF2-40B4-BE49-F238E27FC236}">
              <a16:creationId xmlns:a16="http://schemas.microsoft.com/office/drawing/2014/main" id="{72E69D73-A338-48B4-8B4B-ACC716A97C4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69" name="Line 29">
          <a:extLst>
            <a:ext uri="{FF2B5EF4-FFF2-40B4-BE49-F238E27FC236}">
              <a16:creationId xmlns:a16="http://schemas.microsoft.com/office/drawing/2014/main" id="{4BB01F63-A016-4D9F-8362-2CF2869E2090}"/>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0" name="Line 30">
          <a:extLst>
            <a:ext uri="{FF2B5EF4-FFF2-40B4-BE49-F238E27FC236}">
              <a16:creationId xmlns:a16="http://schemas.microsoft.com/office/drawing/2014/main" id="{C55DB20F-87D2-44D3-823E-EB31907D869F}"/>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1" name="Line 31">
          <a:extLst>
            <a:ext uri="{FF2B5EF4-FFF2-40B4-BE49-F238E27FC236}">
              <a16:creationId xmlns:a16="http://schemas.microsoft.com/office/drawing/2014/main" id="{D6205BF6-1CDC-4DC0-8689-668FDA38C21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2" name="Line 32">
          <a:extLst>
            <a:ext uri="{FF2B5EF4-FFF2-40B4-BE49-F238E27FC236}">
              <a16:creationId xmlns:a16="http://schemas.microsoft.com/office/drawing/2014/main" id="{DFA5F53F-F612-40FE-807C-99963CD9D069}"/>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3" name="Line 33">
          <a:extLst>
            <a:ext uri="{FF2B5EF4-FFF2-40B4-BE49-F238E27FC236}">
              <a16:creationId xmlns:a16="http://schemas.microsoft.com/office/drawing/2014/main" id="{9AEA824D-B518-4E43-A5F6-FBF5D305717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4" name="Line 34">
          <a:extLst>
            <a:ext uri="{FF2B5EF4-FFF2-40B4-BE49-F238E27FC236}">
              <a16:creationId xmlns:a16="http://schemas.microsoft.com/office/drawing/2014/main" id="{0EDBC0D5-B84B-4AD5-9586-765F54CC1EF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5" name="Line 35">
          <a:extLst>
            <a:ext uri="{FF2B5EF4-FFF2-40B4-BE49-F238E27FC236}">
              <a16:creationId xmlns:a16="http://schemas.microsoft.com/office/drawing/2014/main" id="{E8EC8C78-050B-49B4-BCA9-0259CFA6162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6" name="Line 36">
          <a:extLst>
            <a:ext uri="{FF2B5EF4-FFF2-40B4-BE49-F238E27FC236}">
              <a16:creationId xmlns:a16="http://schemas.microsoft.com/office/drawing/2014/main" id="{C89A3CD6-8994-48B2-8B17-D7B82730C1B7}"/>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7" name="Line 37">
          <a:extLst>
            <a:ext uri="{FF2B5EF4-FFF2-40B4-BE49-F238E27FC236}">
              <a16:creationId xmlns:a16="http://schemas.microsoft.com/office/drawing/2014/main" id="{7C816DFE-CD12-4FC0-A019-6DAE2A3ABB0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8" name="Line 38">
          <a:extLst>
            <a:ext uri="{FF2B5EF4-FFF2-40B4-BE49-F238E27FC236}">
              <a16:creationId xmlns:a16="http://schemas.microsoft.com/office/drawing/2014/main" id="{EE0179CF-9A14-4C70-9C10-6CBA45993D61}"/>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79" name="Line 39">
          <a:extLst>
            <a:ext uri="{FF2B5EF4-FFF2-40B4-BE49-F238E27FC236}">
              <a16:creationId xmlns:a16="http://schemas.microsoft.com/office/drawing/2014/main" id="{712F75DA-F001-4F3E-B1F8-EB993EC537E8}"/>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0" name="Line 40">
          <a:extLst>
            <a:ext uri="{FF2B5EF4-FFF2-40B4-BE49-F238E27FC236}">
              <a16:creationId xmlns:a16="http://schemas.microsoft.com/office/drawing/2014/main" id="{DBBC9C12-C62D-4F18-90DB-D532C3715CD5}"/>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1" name="Line 41">
          <a:extLst>
            <a:ext uri="{FF2B5EF4-FFF2-40B4-BE49-F238E27FC236}">
              <a16:creationId xmlns:a16="http://schemas.microsoft.com/office/drawing/2014/main" id="{4C7B6062-18C5-4E88-93AF-E82B9D711BB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2" name="Line 42">
          <a:extLst>
            <a:ext uri="{FF2B5EF4-FFF2-40B4-BE49-F238E27FC236}">
              <a16:creationId xmlns:a16="http://schemas.microsoft.com/office/drawing/2014/main" id="{E4298101-7D1A-414F-A522-B5002B0CBC5C}"/>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3" name="Line 43">
          <a:extLst>
            <a:ext uri="{FF2B5EF4-FFF2-40B4-BE49-F238E27FC236}">
              <a16:creationId xmlns:a16="http://schemas.microsoft.com/office/drawing/2014/main" id="{F089EC7C-AFC4-4308-B8E4-D6BA50499C44}"/>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4" name="Line 44">
          <a:extLst>
            <a:ext uri="{FF2B5EF4-FFF2-40B4-BE49-F238E27FC236}">
              <a16:creationId xmlns:a16="http://schemas.microsoft.com/office/drawing/2014/main" id="{D2B442E2-40E9-4418-A31A-D7F64BB416D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5" name="Line 45">
          <a:extLst>
            <a:ext uri="{FF2B5EF4-FFF2-40B4-BE49-F238E27FC236}">
              <a16:creationId xmlns:a16="http://schemas.microsoft.com/office/drawing/2014/main" id="{D5E2C014-7F31-47E4-AE09-DCF5EF467F7E}"/>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6" name="Line 46">
          <a:extLst>
            <a:ext uri="{FF2B5EF4-FFF2-40B4-BE49-F238E27FC236}">
              <a16:creationId xmlns:a16="http://schemas.microsoft.com/office/drawing/2014/main" id="{ACD45FE0-DD6F-439F-9FD2-9DFB478DB33D}"/>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7" name="Line 47">
          <a:extLst>
            <a:ext uri="{FF2B5EF4-FFF2-40B4-BE49-F238E27FC236}">
              <a16:creationId xmlns:a16="http://schemas.microsoft.com/office/drawing/2014/main" id="{9E185677-B0B4-444A-9B5A-DCEE1A809CFB}"/>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8" name="Line 48">
          <a:extLst>
            <a:ext uri="{FF2B5EF4-FFF2-40B4-BE49-F238E27FC236}">
              <a16:creationId xmlns:a16="http://schemas.microsoft.com/office/drawing/2014/main" id="{D8FC4400-082A-4D5A-8B2A-8C1A9C712CB2}"/>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89" name="Line 49">
          <a:extLst>
            <a:ext uri="{FF2B5EF4-FFF2-40B4-BE49-F238E27FC236}">
              <a16:creationId xmlns:a16="http://schemas.microsoft.com/office/drawing/2014/main" id="{74C25371-3507-41F5-9C59-537C3DCF5636}"/>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184</xdr:col>
      <xdr:colOff>0</xdr:colOff>
      <xdr:row>5</xdr:row>
      <xdr:rowOff>0</xdr:rowOff>
    </xdr:from>
    <xdr:to>
      <xdr:col>184</xdr:col>
      <xdr:colOff>0</xdr:colOff>
      <xdr:row>5</xdr:row>
      <xdr:rowOff>0</xdr:rowOff>
    </xdr:to>
    <xdr:sp macro="" textlink="">
      <xdr:nvSpPr>
        <xdr:cNvPr id="290" name="Line 50">
          <a:extLst>
            <a:ext uri="{FF2B5EF4-FFF2-40B4-BE49-F238E27FC236}">
              <a16:creationId xmlns:a16="http://schemas.microsoft.com/office/drawing/2014/main" id="{50795063-7B81-4AE2-ADBB-60DC2D21B1D3}"/>
            </a:ext>
          </a:extLst>
        </xdr:cNvPr>
        <xdr:cNvSpPr>
          <a:spLocks noChangeShapeType="1"/>
        </xdr:cNvSpPr>
      </xdr:nvSpPr>
      <xdr:spPr bwMode="auto">
        <a:xfrm flipV="1">
          <a:off x="79762350" y="1590675"/>
          <a:ext cx="0" cy="0"/>
        </a:xfrm>
        <a:prstGeom prst="line">
          <a:avLst/>
        </a:prstGeom>
        <a:noFill/>
        <a:ln w="1">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0</xdr:rowOff>
    </xdr:from>
    <xdr:to>
      <xdr:col>12</xdr:col>
      <xdr:colOff>0</xdr:colOff>
      <xdr:row>28</xdr:row>
      <xdr:rowOff>0</xdr:rowOff>
    </xdr:to>
    <xdr:grpSp>
      <xdr:nvGrpSpPr>
        <xdr:cNvPr id="2" name="グループ化 1">
          <a:extLst>
            <a:ext uri="{FF2B5EF4-FFF2-40B4-BE49-F238E27FC236}">
              <a16:creationId xmlns:a16="http://schemas.microsoft.com/office/drawing/2014/main" id="{6E27A648-1EC0-4B7E-B1F4-A36503367773}"/>
            </a:ext>
          </a:extLst>
        </xdr:cNvPr>
        <xdr:cNvGrpSpPr/>
      </xdr:nvGrpSpPr>
      <xdr:grpSpPr>
        <a:xfrm>
          <a:off x="0" y="352425"/>
          <a:ext cx="7315200" cy="5943600"/>
          <a:chOff x="0" y="352425"/>
          <a:chExt cx="7315200" cy="5943600"/>
        </a:xfrm>
      </xdr:grpSpPr>
      <xdr:graphicFrame macro="">
        <xdr:nvGraphicFramePr>
          <xdr:cNvPr id="3" name="HXC_V1_LA7">
            <a:extLst>
              <a:ext uri="{FF2B5EF4-FFF2-40B4-BE49-F238E27FC236}">
                <a16:creationId xmlns:a16="http://schemas.microsoft.com/office/drawing/2014/main" id="{E586198C-DA42-455B-A09C-085A949698F5}"/>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HXC_V1_LA6">
            <a:extLst>
              <a:ext uri="{FF2B5EF4-FFF2-40B4-BE49-F238E27FC236}">
                <a16:creationId xmlns:a16="http://schemas.microsoft.com/office/drawing/2014/main" id="{1D380E2C-3674-4051-9B54-3E6E02DCDEFE}"/>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5" name="HXC_V1_LA5">
            <a:extLst>
              <a:ext uri="{FF2B5EF4-FFF2-40B4-BE49-F238E27FC236}">
                <a16:creationId xmlns:a16="http://schemas.microsoft.com/office/drawing/2014/main" id="{26209713-B7E5-4861-A951-3F1E14BEB500}"/>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 name="HXC_V1_LA4">
            <a:extLst>
              <a:ext uri="{FF2B5EF4-FFF2-40B4-BE49-F238E27FC236}">
                <a16:creationId xmlns:a16="http://schemas.microsoft.com/office/drawing/2014/main" id="{59CE20DE-640F-4EAC-B111-1DB0900537D7}"/>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4"/>
          </a:graphicData>
        </a:graphic>
      </xdr:graphicFrame>
      <xdr:graphicFrame macro="">
        <xdr:nvGraphicFramePr>
          <xdr:cNvPr id="7" name="HXC_V1_LA3">
            <a:extLst>
              <a:ext uri="{FF2B5EF4-FFF2-40B4-BE49-F238E27FC236}">
                <a16:creationId xmlns:a16="http://schemas.microsoft.com/office/drawing/2014/main" id="{C814E2AB-4C94-428D-9551-160278A7DA27}"/>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8" name="HXC_V1_LA2">
            <a:extLst>
              <a:ext uri="{FF2B5EF4-FFF2-40B4-BE49-F238E27FC236}">
                <a16:creationId xmlns:a16="http://schemas.microsoft.com/office/drawing/2014/main" id="{10975B60-644F-4F65-B5C8-F4E406C505BF}"/>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9" name="HXC_V1_LA1">
            <a:extLst>
              <a:ext uri="{FF2B5EF4-FFF2-40B4-BE49-F238E27FC236}">
                <a16:creationId xmlns:a16="http://schemas.microsoft.com/office/drawing/2014/main" id="{6D59F528-312D-4248-91CF-8BEA38F2049C}"/>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7"/>
          </a:graphicData>
        </a:graphic>
      </xdr:graphicFrame>
      <xdr:graphicFrame macro="">
        <xdr:nvGraphicFramePr>
          <xdr:cNvPr id="10" name="HXC_V1_LA0">
            <a:extLst>
              <a:ext uri="{FF2B5EF4-FFF2-40B4-BE49-F238E27FC236}">
                <a16:creationId xmlns:a16="http://schemas.microsoft.com/office/drawing/2014/main" id="{16679BC8-1D84-4E6E-9654-A0B4FAFC09A0}"/>
              </a:ext>
            </a:extLst>
          </xdr:cNvPr>
          <xdr:cNvGraphicFramePr>
            <a:graphicFrameLocks/>
          </xdr:cNvGraphicFramePr>
        </xdr:nvGraphicFramePr>
        <xdr:xfrm>
          <a:off x="0" y="352425"/>
          <a:ext cx="7315200" cy="5943600"/>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19.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0.xml"/><Relationship Id="rId1" Type="http://schemas.openxmlformats.org/officeDocument/2006/relationships/printerSettings" Target="../printerSettings/printerSettings22.bin"/><Relationship Id="rId4" Type="http://schemas.openxmlformats.org/officeDocument/2006/relationships/comments" Target="../comments2.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tabSelected="1" workbookViewId="0">
      <selection sqref="A1:E1"/>
    </sheetView>
  </sheetViews>
  <sheetFormatPr defaultColWidth="8" defaultRowHeight="30" customHeight="1"/>
  <cols>
    <col min="1" max="1" width="35" style="1758" customWidth="1"/>
    <col min="2" max="4" width="9.28515625" style="1757" customWidth="1"/>
    <col min="5" max="5" width="35" style="1757" customWidth="1"/>
    <col min="6" max="16384" width="8" style="1757"/>
  </cols>
  <sheetData>
    <row r="1" spans="1:11" ht="33" customHeight="1">
      <c r="A1" s="1763" t="s">
        <v>984</v>
      </c>
      <c r="B1" s="1763"/>
      <c r="C1" s="1763"/>
      <c r="D1" s="1763"/>
      <c r="E1" s="1763"/>
      <c r="J1" s="1765"/>
      <c r="K1" s="1764" t="s">
        <v>983</v>
      </c>
    </row>
    <row r="2" spans="1:11" ht="33" customHeight="1">
      <c r="A2" s="1763" t="s">
        <v>985</v>
      </c>
      <c r="B2" s="1763"/>
      <c r="C2" s="1763"/>
      <c r="D2" s="1763"/>
      <c r="E2" s="1763"/>
    </row>
    <row r="3" spans="1:11" ht="33" customHeight="1">
      <c r="A3" s="1763" t="s">
        <v>986</v>
      </c>
      <c r="B3" s="1763"/>
      <c r="C3" s="1763"/>
      <c r="D3" s="1763"/>
      <c r="E3" s="1763"/>
    </row>
    <row r="4" spans="1:11" ht="33" customHeight="1">
      <c r="A4" s="1763" t="s">
        <v>987</v>
      </c>
      <c r="B4" s="1763"/>
      <c r="C4" s="1763"/>
      <c r="D4" s="1763"/>
      <c r="E4" s="1763"/>
    </row>
    <row r="5" spans="1:11" ht="33" customHeight="1"/>
    <row r="6" spans="1:11" ht="33" customHeight="1"/>
    <row r="7" spans="1:11" ht="33" customHeight="1"/>
    <row r="8" spans="1:11" ht="33" customHeight="1">
      <c r="A8" s="1766">
        <v>42979</v>
      </c>
      <c r="B8" s="1762"/>
      <c r="C8" s="1762"/>
      <c r="D8" s="1762"/>
      <c r="E8" s="1762"/>
    </row>
    <row r="9" spans="1:11" ht="33" customHeight="1"/>
    <row r="10" spans="1:11" ht="33" customHeight="1">
      <c r="A10" s="1761" t="s">
        <v>988</v>
      </c>
      <c r="B10" s="1761"/>
      <c r="C10" s="1761"/>
      <c r="D10" s="1761"/>
      <c r="E10" s="1761"/>
    </row>
    <row r="11" spans="1:11" ht="33" customHeight="1">
      <c r="A11" s="1761"/>
      <c r="B11" s="1761"/>
      <c r="C11" s="1761"/>
      <c r="D11" s="1761"/>
      <c r="E11" s="1761"/>
    </row>
    <row r="12" spans="1:11" ht="33" customHeight="1">
      <c r="A12" s="1761"/>
      <c r="B12" s="1761"/>
      <c r="C12" s="1761"/>
      <c r="D12" s="1761"/>
      <c r="E12" s="1761"/>
    </row>
    <row r="13" spans="1:11" ht="30" customHeight="1">
      <c r="A13" s="1760"/>
      <c r="B13" s="1759"/>
      <c r="C13" s="1759"/>
      <c r="D13" s="1759"/>
      <c r="E13" s="1759"/>
    </row>
    <row r="14" spans="1:11" ht="30" customHeight="1">
      <c r="A14" s="1760"/>
      <c r="B14" s="1759"/>
      <c r="C14" s="1759"/>
      <c r="D14" s="1759"/>
      <c r="E14" s="1759"/>
    </row>
  </sheetData>
  <sheetProtection algorithmName="SHA-512" hashValue="916W3f3l2bz7OEiJ84pCNrIAbJbSzANIW2MEqZJ8/IoN4z99HSF+ZJdYS2B2HcFoZak+gqzfNJ4+su7kkqjSdg==" saltValue="VklLX/iuoMm1hrKPA+XlpQ==" spinCount="100000" sheet="1" scenarios="1" insertRows="0" deleteRows="0" sort="0" autoFilter="0"/>
  <mergeCells count="8">
    <mergeCell ref="A8:E8"/>
    <mergeCell ref="A10:E10"/>
    <mergeCell ref="A12:E12"/>
    <mergeCell ref="A1:E1"/>
    <mergeCell ref="A2:E2"/>
    <mergeCell ref="A3:E3"/>
    <mergeCell ref="A4:E4"/>
    <mergeCell ref="A11:E11"/>
  </mergeCells>
  <phoneticPr fontId="4"/>
  <printOptions horizontalCentered="1" verticalCentered="1"/>
  <pageMargins left="0.78740157480314965" right="0.78740157480314965" top="1.29" bottom="0.44" header="0.51181102362204722" footer="0.32"/>
  <pageSetup paperSize="9" orientation="landscape" horizontalDpi="400" verticalDpi="4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186</v>
      </c>
    </row>
    <row r="6" spans="1:5" ht="30" customHeight="1">
      <c r="A6" s="6"/>
    </row>
    <row r="7" spans="1:5" ht="30" customHeight="1">
      <c r="A7" s="6" t="s">
        <v>187</v>
      </c>
    </row>
    <row r="8" spans="1:5" ht="30" customHeight="1">
      <c r="A8" s="6"/>
    </row>
    <row r="9" spans="1:5" ht="30" customHeight="1">
      <c r="A9" s="6"/>
    </row>
    <row r="10" spans="1:5" ht="30" customHeight="1">
      <c r="A10" s="6"/>
    </row>
    <row r="11" spans="1:5" ht="30" customHeight="1">
      <c r="A11" s="6"/>
    </row>
    <row r="12" spans="1:5" ht="30" customHeight="1">
      <c r="A12" s="6"/>
    </row>
    <row r="13" spans="1:5" ht="30" customHeight="1">
      <c r="A13" s="6"/>
    </row>
  </sheetData>
  <sheetProtection insertRows="0" deleteRows="0" sort="0" autoFilter="0"/>
  <phoneticPr fontId="4"/>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alignWithMargins="0">
    <oddFooter>&amp;C&amp;"ＭＳ Ｐゴシック,標準"&amp;9( &amp;P / &amp;N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338"/>
  <sheetViews>
    <sheetView showGridLines="0" workbookViewId="0">
      <selection activeCell="A6" sqref="A6"/>
    </sheetView>
  </sheetViews>
  <sheetFormatPr defaultColWidth="8.5703125" defaultRowHeight="13.5" customHeight="1"/>
  <cols>
    <col min="1" max="1" width="20.140625" style="303" customWidth="1"/>
    <col min="2" max="2" width="3" style="362" customWidth="1"/>
    <col min="3" max="3" width="23.5703125" style="303" customWidth="1"/>
    <col min="4" max="4" width="7.140625" style="363" customWidth="1"/>
    <col min="5" max="6" width="10.5703125" style="364" customWidth="1"/>
    <col min="7" max="7" width="20.140625" style="303" customWidth="1"/>
    <col min="8" max="8" width="3" style="362" customWidth="1"/>
    <col min="9" max="9" width="23.5703125" style="303" customWidth="1"/>
    <col min="10" max="10" width="7.140625" style="363" customWidth="1"/>
    <col min="11" max="12" width="10.5703125" style="364" customWidth="1"/>
    <col min="13" max="16384" width="8.5703125" style="303"/>
  </cols>
  <sheetData>
    <row r="1" spans="1:13" s="298" customFormat="1" ht="18" customHeight="1">
      <c r="A1" s="294" t="s">
        <v>188</v>
      </c>
      <c r="B1" s="295"/>
      <c r="C1" s="295"/>
      <c r="D1" s="295"/>
      <c r="E1" s="295"/>
      <c r="F1" s="295"/>
      <c r="G1" s="295"/>
      <c r="H1" s="296"/>
      <c r="I1" s="296"/>
      <c r="J1" s="295"/>
      <c r="K1" s="295"/>
      <c r="L1" s="297"/>
    </row>
    <row r="2" spans="1:13" ht="6.95" customHeight="1">
      <c r="A2" s="299"/>
      <c r="B2" s="300"/>
      <c r="C2" s="299"/>
      <c r="D2" s="301"/>
      <c r="E2" s="302"/>
      <c r="F2" s="302"/>
      <c r="G2" s="299"/>
      <c r="H2" s="300"/>
      <c r="I2" s="299"/>
      <c r="J2" s="301"/>
      <c r="K2" s="302"/>
      <c r="L2" s="302"/>
    </row>
    <row r="3" spans="1:13" ht="13.5" customHeight="1">
      <c r="A3" s="304" t="s">
        <v>189</v>
      </c>
      <c r="B3" s="305" t="s">
        <v>190</v>
      </c>
      <c r="C3" s="306" t="s">
        <v>191</v>
      </c>
      <c r="D3" s="307" t="s">
        <v>192</v>
      </c>
      <c r="E3" s="308" t="s">
        <v>193</v>
      </c>
      <c r="F3" s="309" t="s">
        <v>194</v>
      </c>
      <c r="G3" s="304" t="s">
        <v>189</v>
      </c>
      <c r="H3" s="305" t="s">
        <v>190</v>
      </c>
      <c r="I3" s="306" t="s">
        <v>191</v>
      </c>
      <c r="J3" s="307" t="s">
        <v>195</v>
      </c>
      <c r="K3" s="308" t="s">
        <v>196</v>
      </c>
      <c r="L3" s="310" t="s">
        <v>197</v>
      </c>
    </row>
    <row r="4" spans="1:13" ht="13.5" customHeight="1">
      <c r="A4" s="311"/>
      <c r="B4" s="312"/>
      <c r="C4" s="313"/>
      <c r="D4" s="314"/>
      <c r="E4" s="315"/>
      <c r="F4" s="316"/>
      <c r="G4" s="311"/>
      <c r="H4" s="317"/>
      <c r="I4" s="313"/>
      <c r="J4" s="314"/>
      <c r="K4" s="315"/>
      <c r="L4" s="318"/>
    </row>
    <row r="5" spans="1:13" ht="13.5" customHeight="1">
      <c r="A5" s="311"/>
      <c r="B5" s="312"/>
      <c r="C5" s="313"/>
      <c r="D5" s="314"/>
      <c r="E5" s="315"/>
      <c r="F5" s="316"/>
      <c r="G5" s="311"/>
      <c r="H5" s="317"/>
      <c r="I5" s="313"/>
      <c r="J5" s="314"/>
      <c r="K5" s="315"/>
      <c r="L5" s="318"/>
    </row>
    <row r="6" spans="1:13" ht="13.5" customHeight="1">
      <c r="A6" s="319" t="s">
        <v>199</v>
      </c>
      <c r="B6" s="320"/>
      <c r="C6" s="321" t="s">
        <v>203</v>
      </c>
      <c r="D6" s="366" t="s">
        <v>204</v>
      </c>
      <c r="E6" s="323" t="s">
        <v>205</v>
      </c>
      <c r="F6" s="324">
        <v>4.2999999999999997E-2</v>
      </c>
      <c r="G6" s="319" t="s">
        <v>219</v>
      </c>
      <c r="H6" s="320">
        <v>1</v>
      </c>
      <c r="I6" s="370" t="s">
        <v>221</v>
      </c>
      <c r="J6" s="322"/>
      <c r="K6" s="323"/>
      <c r="L6" s="324"/>
      <c r="M6" s="365" t="s">
        <v>198</v>
      </c>
    </row>
    <row r="7" spans="1:13" ht="13.5" customHeight="1">
      <c r="A7" s="325" t="s">
        <v>200</v>
      </c>
      <c r="B7" s="326">
        <v>1</v>
      </c>
      <c r="C7" s="327" t="s">
        <v>206</v>
      </c>
      <c r="D7" s="328">
        <v>0.10000000149011612</v>
      </c>
      <c r="E7" s="329">
        <v>0.19</v>
      </c>
      <c r="F7" s="330">
        <v>0.52600000000000002</v>
      </c>
      <c r="G7" s="325" t="s">
        <v>220</v>
      </c>
      <c r="H7" s="326"/>
      <c r="I7" s="371"/>
      <c r="J7" s="328"/>
      <c r="K7" s="329"/>
      <c r="L7" s="330"/>
    </row>
    <row r="8" spans="1:13" ht="13.5" customHeight="1">
      <c r="A8" s="325" t="s">
        <v>201</v>
      </c>
      <c r="B8" s="326">
        <v>2</v>
      </c>
      <c r="C8" s="327" t="s">
        <v>207</v>
      </c>
      <c r="D8" s="328">
        <v>6.0000000521540642E-3</v>
      </c>
      <c r="E8" s="329">
        <v>0.04</v>
      </c>
      <c r="F8" s="330">
        <v>0.15</v>
      </c>
      <c r="G8" s="325"/>
      <c r="H8" s="326"/>
      <c r="I8" s="327" t="s">
        <v>222</v>
      </c>
      <c r="J8" s="328"/>
      <c r="K8" s="329"/>
      <c r="L8" s="330"/>
    </row>
    <row r="9" spans="1:13" ht="13.5" customHeight="1">
      <c r="A9" s="325" t="s">
        <v>202</v>
      </c>
      <c r="B9" s="326">
        <v>3</v>
      </c>
      <c r="C9" s="327" t="s">
        <v>208</v>
      </c>
      <c r="D9" s="367" t="s">
        <v>204</v>
      </c>
      <c r="E9" s="368" t="s">
        <v>204</v>
      </c>
      <c r="F9" s="330">
        <v>0.09</v>
      </c>
      <c r="G9" s="325"/>
      <c r="H9" s="326"/>
      <c r="I9" s="327" t="s">
        <v>223</v>
      </c>
      <c r="J9" s="328"/>
      <c r="K9" s="329"/>
      <c r="L9" s="330"/>
    </row>
    <row r="10" spans="1:13" ht="13.5" customHeight="1">
      <c r="A10" s="325"/>
      <c r="B10" s="326">
        <v>4</v>
      </c>
      <c r="C10" s="327" t="s">
        <v>209</v>
      </c>
      <c r="D10" s="328">
        <v>1.0000000474974513E-3</v>
      </c>
      <c r="E10" s="329">
        <v>55</v>
      </c>
      <c r="F10" s="330">
        <v>0</v>
      </c>
      <c r="G10" s="325"/>
      <c r="H10" s="326"/>
      <c r="I10" s="327"/>
      <c r="J10" s="328"/>
      <c r="K10" s="329"/>
      <c r="L10" s="330"/>
    </row>
    <row r="11" spans="1:13" ht="13.5" customHeight="1">
      <c r="A11" s="325"/>
      <c r="B11" s="326">
        <v>5</v>
      </c>
      <c r="C11" s="327" t="s">
        <v>210</v>
      </c>
      <c r="D11" s="328">
        <v>3.9999999105930328E-2</v>
      </c>
      <c r="E11" s="329">
        <v>2.3E-2</v>
      </c>
      <c r="F11" s="330">
        <v>1.7390000000000001</v>
      </c>
      <c r="G11" s="325"/>
      <c r="H11" s="326"/>
      <c r="I11" s="327"/>
      <c r="J11" s="328"/>
      <c r="K11" s="329"/>
      <c r="L11" s="330"/>
    </row>
    <row r="12" spans="1:13" ht="13.5" customHeight="1">
      <c r="A12" s="325"/>
      <c r="B12" s="326">
        <v>6</v>
      </c>
      <c r="C12" s="327" t="s">
        <v>209</v>
      </c>
      <c r="D12" s="328">
        <v>1.0000000474974513E-3</v>
      </c>
      <c r="E12" s="329">
        <v>55</v>
      </c>
      <c r="F12" s="330">
        <v>0</v>
      </c>
      <c r="G12" s="325"/>
      <c r="H12" s="326"/>
      <c r="I12" s="327"/>
      <c r="J12" s="328"/>
      <c r="K12" s="329"/>
      <c r="L12" s="330"/>
    </row>
    <row r="13" spans="1:13" ht="13.5" customHeight="1">
      <c r="A13" s="325"/>
      <c r="B13" s="326"/>
      <c r="C13" s="327" t="s">
        <v>211</v>
      </c>
      <c r="D13" s="367" t="s">
        <v>204</v>
      </c>
      <c r="E13" s="329" t="s">
        <v>212</v>
      </c>
      <c r="F13" s="330">
        <v>0.111</v>
      </c>
      <c r="G13" s="325"/>
      <c r="H13" s="326"/>
      <c r="I13" s="327"/>
      <c r="J13" s="328"/>
      <c r="K13" s="329"/>
      <c r="L13" s="330"/>
    </row>
    <row r="14" spans="1:13" ht="13.5" customHeight="1">
      <c r="A14" s="325"/>
      <c r="B14" s="326"/>
      <c r="C14" s="327"/>
      <c r="D14" s="328"/>
      <c r="E14" s="329"/>
      <c r="F14" s="330"/>
      <c r="G14" s="325"/>
      <c r="H14" s="326"/>
      <c r="I14" s="327"/>
      <c r="J14" s="328"/>
      <c r="K14" s="329"/>
      <c r="L14" s="330"/>
    </row>
    <row r="15" spans="1:13" ht="13.5" customHeight="1">
      <c r="A15" s="325"/>
      <c r="B15" s="326"/>
      <c r="C15" s="327"/>
      <c r="D15" s="328"/>
      <c r="E15" s="329"/>
      <c r="F15" s="330"/>
      <c r="G15" s="325"/>
      <c r="H15" s="326"/>
      <c r="I15" s="327"/>
      <c r="J15" s="328"/>
      <c r="K15" s="329"/>
      <c r="L15" s="330"/>
    </row>
    <row r="16" spans="1:13" ht="13.5" customHeight="1">
      <c r="A16" s="325"/>
      <c r="B16" s="326"/>
      <c r="C16" s="327"/>
      <c r="D16" s="328"/>
      <c r="E16" s="329"/>
      <c r="F16" s="330"/>
      <c r="G16" s="325"/>
      <c r="H16" s="326"/>
      <c r="I16" s="327"/>
      <c r="J16" s="328"/>
      <c r="K16" s="329"/>
      <c r="L16" s="330"/>
    </row>
    <row r="17" spans="1:12" ht="13.5" customHeight="1">
      <c r="A17" s="325"/>
      <c r="B17" s="326"/>
      <c r="C17" s="327"/>
      <c r="D17" s="328"/>
      <c r="E17" s="329"/>
      <c r="F17" s="330"/>
      <c r="G17" s="325"/>
      <c r="H17" s="326"/>
      <c r="I17" s="327"/>
      <c r="J17" s="328"/>
      <c r="K17" s="329"/>
      <c r="L17" s="330"/>
    </row>
    <row r="18" spans="1:12" ht="13.5" customHeight="1">
      <c r="A18" s="325"/>
      <c r="B18" s="326"/>
      <c r="C18" s="327"/>
      <c r="D18" s="328"/>
      <c r="E18" s="329"/>
      <c r="F18" s="330"/>
      <c r="G18" s="325"/>
      <c r="H18" s="326"/>
      <c r="I18" s="327"/>
      <c r="J18" s="328"/>
      <c r="K18" s="329"/>
      <c r="L18" s="330"/>
    </row>
    <row r="19" spans="1:12" ht="13.5" customHeight="1">
      <c r="A19" s="325"/>
      <c r="B19" s="326"/>
      <c r="C19" s="327"/>
      <c r="D19" s="328"/>
      <c r="E19" s="329"/>
      <c r="F19" s="330"/>
      <c r="G19" s="325"/>
      <c r="H19" s="326"/>
      <c r="I19" s="327"/>
      <c r="J19" s="328"/>
      <c r="K19" s="329"/>
      <c r="L19" s="330"/>
    </row>
    <row r="20" spans="1:12" ht="13.5" customHeight="1">
      <c r="A20" s="331"/>
      <c r="B20" s="332"/>
      <c r="C20" s="333"/>
      <c r="D20" s="334"/>
      <c r="E20" s="335"/>
      <c r="F20" s="336"/>
      <c r="G20" s="331"/>
      <c r="H20" s="332"/>
      <c r="I20" s="333"/>
      <c r="J20" s="334"/>
      <c r="K20" s="335"/>
      <c r="L20" s="336"/>
    </row>
    <row r="21" spans="1:12" ht="13.5" customHeight="1">
      <c r="A21" s="337"/>
      <c r="B21" s="338"/>
      <c r="C21" s="337" t="s">
        <v>213</v>
      </c>
      <c r="D21" s="339"/>
      <c r="E21" s="339"/>
      <c r="F21" s="340">
        <v>2.6589999999999998</v>
      </c>
      <c r="G21" s="337"/>
      <c r="H21" s="338"/>
      <c r="I21" s="337"/>
      <c r="J21" s="339"/>
      <c r="K21" s="339"/>
      <c r="L21" s="340"/>
    </row>
    <row r="22" spans="1:12" ht="13.5" customHeight="1">
      <c r="A22" s="341"/>
      <c r="B22" s="342"/>
      <c r="C22" s="343" t="s">
        <v>214</v>
      </c>
      <c r="D22" s="344"/>
      <c r="E22" s="345"/>
      <c r="F22" s="346"/>
      <c r="G22" s="341"/>
      <c r="H22" s="342"/>
      <c r="I22" s="343" t="s">
        <v>225</v>
      </c>
      <c r="J22" s="344"/>
      <c r="K22" s="345" t="s">
        <v>224</v>
      </c>
      <c r="L22" s="346"/>
    </row>
    <row r="23" spans="1:12" ht="13.5" customHeight="1">
      <c r="A23" s="325" t="s">
        <v>199</v>
      </c>
      <c r="B23" s="326"/>
      <c r="C23" s="347" t="s">
        <v>203</v>
      </c>
      <c r="D23" s="367" t="s">
        <v>204</v>
      </c>
      <c r="E23" s="348" t="s">
        <v>205</v>
      </c>
      <c r="F23" s="349">
        <v>4.2999999999999997E-2</v>
      </c>
      <c r="G23" s="325" t="s">
        <v>226</v>
      </c>
      <c r="H23" s="326"/>
      <c r="I23" s="347" t="s">
        <v>203</v>
      </c>
      <c r="J23" s="367" t="s">
        <v>204</v>
      </c>
      <c r="K23" s="348" t="s">
        <v>205</v>
      </c>
      <c r="L23" s="349">
        <v>4.2999999999999997E-2</v>
      </c>
    </row>
    <row r="24" spans="1:12" ht="13.5" customHeight="1">
      <c r="A24" s="325" t="s">
        <v>215</v>
      </c>
      <c r="B24" s="326">
        <v>1</v>
      </c>
      <c r="C24" s="347" t="s">
        <v>206</v>
      </c>
      <c r="D24" s="328">
        <v>0.10000000149011612</v>
      </c>
      <c r="E24" s="348">
        <v>0.19</v>
      </c>
      <c r="F24" s="349">
        <v>0.52600000000000002</v>
      </c>
      <c r="G24" s="325" t="s">
        <v>227</v>
      </c>
      <c r="H24" s="326">
        <v>1</v>
      </c>
      <c r="I24" s="347" t="s">
        <v>229</v>
      </c>
      <c r="J24" s="328">
        <v>0.10000000149011612</v>
      </c>
      <c r="K24" s="348">
        <v>0.5</v>
      </c>
      <c r="L24" s="349">
        <v>0.2</v>
      </c>
    </row>
    <row r="25" spans="1:12" ht="13.5" customHeight="1">
      <c r="A25" s="325" t="s">
        <v>216</v>
      </c>
      <c r="B25" s="326">
        <v>2</v>
      </c>
      <c r="C25" s="347" t="s">
        <v>207</v>
      </c>
      <c r="D25" s="328">
        <v>6.0000000521540642E-3</v>
      </c>
      <c r="E25" s="348">
        <v>0.04</v>
      </c>
      <c r="F25" s="349">
        <v>0.15</v>
      </c>
      <c r="G25" s="325" t="s">
        <v>228</v>
      </c>
      <c r="H25" s="326">
        <v>2</v>
      </c>
      <c r="I25" s="347" t="s">
        <v>230</v>
      </c>
      <c r="J25" s="328">
        <v>9.9999997764825821E-3</v>
      </c>
      <c r="K25" s="348">
        <v>0.11</v>
      </c>
      <c r="L25" s="349">
        <v>9.0999999999999998E-2</v>
      </c>
    </row>
    <row r="26" spans="1:12" ht="13.5" customHeight="1">
      <c r="A26" s="325" t="s">
        <v>202</v>
      </c>
      <c r="B26" s="326">
        <v>3</v>
      </c>
      <c r="C26" s="347" t="s">
        <v>208</v>
      </c>
      <c r="D26" s="367" t="s">
        <v>204</v>
      </c>
      <c r="E26" s="369" t="s">
        <v>204</v>
      </c>
      <c r="F26" s="349">
        <v>0.09</v>
      </c>
      <c r="G26" s="325" t="s">
        <v>202</v>
      </c>
      <c r="H26" s="326">
        <v>3</v>
      </c>
      <c r="I26" s="347" t="s">
        <v>231</v>
      </c>
      <c r="J26" s="328">
        <v>5.000000074505806E-2</v>
      </c>
      <c r="K26" s="348">
        <v>3.4000000000000002E-2</v>
      </c>
      <c r="L26" s="349">
        <v>1.4710000000000001</v>
      </c>
    </row>
    <row r="27" spans="1:12" ht="13.5" customHeight="1">
      <c r="A27" s="325"/>
      <c r="B27" s="326">
        <v>4</v>
      </c>
      <c r="C27" s="347" t="s">
        <v>217</v>
      </c>
      <c r="D27" s="328">
        <v>1.2500000186264515E-2</v>
      </c>
      <c r="E27" s="348">
        <v>0.22</v>
      </c>
      <c r="F27" s="349">
        <v>5.7000000000000002E-2</v>
      </c>
      <c r="G27" s="325"/>
      <c r="H27" s="326">
        <v>4</v>
      </c>
      <c r="I27" s="347" t="s">
        <v>232</v>
      </c>
      <c r="J27" s="328">
        <v>0.15000000596046448</v>
      </c>
      <c r="K27" s="348">
        <v>1.6</v>
      </c>
      <c r="L27" s="349">
        <v>9.4E-2</v>
      </c>
    </row>
    <row r="28" spans="1:12" ht="13.5" customHeight="1">
      <c r="A28" s="325"/>
      <c r="B28" s="326"/>
      <c r="C28" s="347" t="s">
        <v>211</v>
      </c>
      <c r="D28" s="367" t="s">
        <v>204</v>
      </c>
      <c r="E28" s="348" t="s">
        <v>212</v>
      </c>
      <c r="F28" s="349">
        <v>0.111</v>
      </c>
      <c r="G28" s="325"/>
      <c r="H28" s="326">
        <v>5</v>
      </c>
      <c r="I28" s="347" t="s">
        <v>208</v>
      </c>
      <c r="J28" s="367" t="s">
        <v>204</v>
      </c>
      <c r="K28" s="369" t="s">
        <v>204</v>
      </c>
      <c r="L28" s="349">
        <v>0.09</v>
      </c>
    </row>
    <row r="29" spans="1:12" ht="13.5" customHeight="1">
      <c r="A29" s="325"/>
      <c r="B29" s="326"/>
      <c r="C29" s="347"/>
      <c r="D29" s="328"/>
      <c r="E29" s="348"/>
      <c r="F29" s="349"/>
      <c r="G29" s="325"/>
      <c r="H29" s="326">
        <v>6</v>
      </c>
      <c r="I29" s="347" t="s">
        <v>217</v>
      </c>
      <c r="J29" s="328">
        <v>9.4999996945261955E-3</v>
      </c>
      <c r="K29" s="348">
        <v>0.22</v>
      </c>
      <c r="L29" s="349">
        <v>4.2999999999999997E-2</v>
      </c>
    </row>
    <row r="30" spans="1:12" ht="13.5" customHeight="1">
      <c r="A30" s="325"/>
      <c r="B30" s="326"/>
      <c r="C30" s="347"/>
      <c r="D30" s="328"/>
      <c r="E30" s="348"/>
      <c r="F30" s="349"/>
      <c r="G30" s="325"/>
      <c r="H30" s="326"/>
      <c r="I30" s="347" t="s">
        <v>211</v>
      </c>
      <c r="J30" s="367" t="s">
        <v>204</v>
      </c>
      <c r="K30" s="348" t="s">
        <v>212</v>
      </c>
      <c r="L30" s="349">
        <v>0.111</v>
      </c>
    </row>
    <row r="31" spans="1:12" ht="13.5" customHeight="1">
      <c r="A31" s="325"/>
      <c r="B31" s="326"/>
      <c r="C31" s="347"/>
      <c r="D31" s="328"/>
      <c r="E31" s="348"/>
      <c r="F31" s="349"/>
      <c r="G31" s="325"/>
      <c r="H31" s="326"/>
      <c r="I31" s="347"/>
      <c r="J31" s="328"/>
      <c r="K31" s="348"/>
      <c r="L31" s="349"/>
    </row>
    <row r="32" spans="1:12" ht="13.5" customHeight="1">
      <c r="A32" s="325"/>
      <c r="B32" s="326"/>
      <c r="C32" s="347"/>
      <c r="D32" s="328"/>
      <c r="E32" s="348"/>
      <c r="F32" s="349"/>
      <c r="G32" s="325"/>
      <c r="H32" s="326"/>
      <c r="I32" s="347"/>
      <c r="J32" s="328"/>
      <c r="K32" s="348"/>
      <c r="L32" s="349"/>
    </row>
    <row r="33" spans="1:12" ht="13.5" customHeight="1">
      <c r="A33" s="325"/>
      <c r="B33" s="326"/>
      <c r="C33" s="347"/>
      <c r="D33" s="328"/>
      <c r="E33" s="348"/>
      <c r="F33" s="349"/>
      <c r="G33" s="325"/>
      <c r="H33" s="326"/>
      <c r="I33" s="347"/>
      <c r="J33" s="328"/>
      <c r="K33" s="348"/>
      <c r="L33" s="349"/>
    </row>
    <row r="34" spans="1:12" ht="13.5" customHeight="1">
      <c r="A34" s="325"/>
      <c r="B34" s="326"/>
      <c r="C34" s="347"/>
      <c r="D34" s="328"/>
      <c r="E34" s="348"/>
      <c r="F34" s="349"/>
      <c r="G34" s="325"/>
      <c r="H34" s="326"/>
      <c r="I34" s="347"/>
      <c r="J34" s="328"/>
      <c r="K34" s="348"/>
      <c r="L34" s="349"/>
    </row>
    <row r="35" spans="1:12" ht="13.5" customHeight="1">
      <c r="A35" s="325"/>
      <c r="B35" s="326"/>
      <c r="C35" s="347"/>
      <c r="D35" s="328"/>
      <c r="E35" s="348"/>
      <c r="F35" s="349"/>
      <c r="G35" s="325"/>
      <c r="H35" s="326"/>
      <c r="I35" s="347"/>
      <c r="J35" s="328"/>
      <c r="K35" s="348"/>
      <c r="L35" s="349"/>
    </row>
    <row r="36" spans="1:12" ht="13.5" customHeight="1">
      <c r="A36" s="325"/>
      <c r="B36" s="326"/>
      <c r="C36" s="347"/>
      <c r="D36" s="328"/>
      <c r="E36" s="348"/>
      <c r="F36" s="349"/>
      <c r="G36" s="325"/>
      <c r="H36" s="326"/>
      <c r="I36" s="347"/>
      <c r="J36" s="328"/>
      <c r="K36" s="348"/>
      <c r="L36" s="349"/>
    </row>
    <row r="37" spans="1:12" ht="13.5" customHeight="1">
      <c r="A37" s="331"/>
      <c r="B37" s="332"/>
      <c r="C37" s="350"/>
      <c r="D37" s="334"/>
      <c r="E37" s="351"/>
      <c r="F37" s="352"/>
      <c r="G37" s="331"/>
      <c r="H37" s="332"/>
      <c r="I37" s="350"/>
      <c r="J37" s="334"/>
      <c r="K37" s="351"/>
      <c r="L37" s="352"/>
    </row>
    <row r="38" spans="1:12" ht="13.5" customHeight="1">
      <c r="A38" s="337"/>
      <c r="B38" s="338"/>
      <c r="C38" s="353" t="s">
        <v>213</v>
      </c>
      <c r="D38" s="354"/>
      <c r="E38" s="354"/>
      <c r="F38" s="355">
        <v>0.97699999999999998</v>
      </c>
      <c r="G38" s="337"/>
      <c r="H38" s="338"/>
      <c r="I38" s="353" t="s">
        <v>213</v>
      </c>
      <c r="J38" s="354"/>
      <c r="K38" s="354"/>
      <c r="L38" s="355">
        <v>2.1429999999999998</v>
      </c>
    </row>
    <row r="39" spans="1:12" ht="13.5" customHeight="1">
      <c r="A39" s="356"/>
      <c r="B39" s="357"/>
      <c r="C39" s="358" t="s">
        <v>218</v>
      </c>
      <c r="D39" s="359"/>
      <c r="E39" s="360"/>
      <c r="F39" s="361"/>
      <c r="G39" s="356"/>
      <c r="H39" s="357"/>
      <c r="I39" s="358" t="s">
        <v>233</v>
      </c>
      <c r="J39" s="359"/>
      <c r="K39" s="360"/>
      <c r="L39" s="361"/>
    </row>
    <row r="40" spans="1:12" ht="13.5" customHeight="1">
      <c r="A40" s="319" t="s">
        <v>234</v>
      </c>
      <c r="B40" s="320"/>
      <c r="C40" s="321" t="s">
        <v>211</v>
      </c>
      <c r="D40" s="366" t="s">
        <v>204</v>
      </c>
      <c r="E40" s="323" t="s">
        <v>212</v>
      </c>
      <c r="F40" s="324">
        <v>0.111</v>
      </c>
      <c r="G40" s="319" t="s">
        <v>239</v>
      </c>
      <c r="H40" s="320"/>
      <c r="I40" s="321" t="s">
        <v>211</v>
      </c>
      <c r="J40" s="366" t="s">
        <v>204</v>
      </c>
      <c r="K40" s="323" t="s">
        <v>212</v>
      </c>
      <c r="L40" s="324">
        <v>0.111</v>
      </c>
    </row>
    <row r="41" spans="1:12" ht="13.5" customHeight="1">
      <c r="A41" s="325" t="s">
        <v>235</v>
      </c>
      <c r="B41" s="326">
        <v>1</v>
      </c>
      <c r="C41" s="327" t="s">
        <v>209</v>
      </c>
      <c r="D41" s="328">
        <v>1.0000000474974513E-3</v>
      </c>
      <c r="E41" s="329">
        <v>55</v>
      </c>
      <c r="F41" s="330">
        <v>0</v>
      </c>
      <c r="G41" s="325" t="s">
        <v>240</v>
      </c>
      <c r="H41" s="326">
        <v>1</v>
      </c>
      <c r="I41" s="327" t="s">
        <v>241</v>
      </c>
      <c r="J41" s="328">
        <v>3.0000000260770321E-3</v>
      </c>
      <c r="K41" s="329">
        <v>0.19</v>
      </c>
      <c r="L41" s="330">
        <v>1.6E-2</v>
      </c>
    </row>
    <row r="42" spans="1:12" ht="13.5" customHeight="1">
      <c r="A42" s="325"/>
      <c r="B42" s="326">
        <v>2</v>
      </c>
      <c r="C42" s="327" t="s">
        <v>210</v>
      </c>
      <c r="D42" s="328">
        <v>3.9999999105930328E-2</v>
      </c>
      <c r="E42" s="329">
        <v>2.3E-2</v>
      </c>
      <c r="F42" s="330">
        <v>1.7390000000000001</v>
      </c>
      <c r="G42" s="325"/>
      <c r="H42" s="326">
        <v>2</v>
      </c>
      <c r="I42" s="327" t="s">
        <v>242</v>
      </c>
      <c r="J42" s="328">
        <v>2.9999999329447746E-2</v>
      </c>
      <c r="K42" s="329">
        <v>1.5</v>
      </c>
      <c r="L42" s="330">
        <v>0.02</v>
      </c>
    </row>
    <row r="43" spans="1:12" ht="13.5" customHeight="1">
      <c r="A43" s="325"/>
      <c r="B43" s="326">
        <v>3</v>
      </c>
      <c r="C43" s="327" t="s">
        <v>209</v>
      </c>
      <c r="D43" s="328">
        <v>1.0000000474974513E-3</v>
      </c>
      <c r="E43" s="329">
        <v>55</v>
      </c>
      <c r="F43" s="330">
        <v>0</v>
      </c>
      <c r="G43" s="325"/>
      <c r="H43" s="326">
        <v>3</v>
      </c>
      <c r="I43" s="327" t="s">
        <v>232</v>
      </c>
      <c r="J43" s="328">
        <v>0.11999999731779099</v>
      </c>
      <c r="K43" s="329">
        <v>1.6</v>
      </c>
      <c r="L43" s="330">
        <v>7.4999999999999997E-2</v>
      </c>
    </row>
    <row r="44" spans="1:12" ht="13.5" customHeight="1">
      <c r="A44" s="325"/>
      <c r="B44" s="326"/>
      <c r="C44" s="327" t="s">
        <v>211</v>
      </c>
      <c r="D44" s="367" t="s">
        <v>204</v>
      </c>
      <c r="E44" s="329" t="s">
        <v>212</v>
      </c>
      <c r="F44" s="330">
        <v>0.111</v>
      </c>
      <c r="G44" s="325"/>
      <c r="H44" s="326">
        <v>4</v>
      </c>
      <c r="I44" s="327" t="s">
        <v>208</v>
      </c>
      <c r="J44" s="367" t="s">
        <v>204</v>
      </c>
      <c r="K44" s="368" t="s">
        <v>204</v>
      </c>
      <c r="L44" s="330">
        <v>0.09</v>
      </c>
    </row>
    <row r="45" spans="1:12" ht="13.5" customHeight="1">
      <c r="A45" s="325"/>
      <c r="B45" s="326"/>
      <c r="C45" s="327"/>
      <c r="D45" s="328"/>
      <c r="E45" s="329"/>
      <c r="F45" s="330"/>
      <c r="G45" s="325"/>
      <c r="H45" s="326">
        <v>5</v>
      </c>
      <c r="I45" s="327" t="s">
        <v>209</v>
      </c>
      <c r="J45" s="328">
        <v>1.0000000474974513E-3</v>
      </c>
      <c r="K45" s="329">
        <v>55</v>
      </c>
      <c r="L45" s="330">
        <v>0</v>
      </c>
    </row>
    <row r="46" spans="1:12" ht="13.5" customHeight="1">
      <c r="A46" s="325"/>
      <c r="B46" s="326"/>
      <c r="C46" s="327"/>
      <c r="D46" s="328"/>
      <c r="E46" s="329"/>
      <c r="F46" s="330"/>
      <c r="G46" s="325"/>
      <c r="H46" s="326">
        <v>6</v>
      </c>
      <c r="I46" s="327" t="s">
        <v>210</v>
      </c>
      <c r="J46" s="328">
        <v>3.9999999105930328E-2</v>
      </c>
      <c r="K46" s="329">
        <v>2.3E-2</v>
      </c>
      <c r="L46" s="330">
        <v>1.7390000000000001</v>
      </c>
    </row>
    <row r="47" spans="1:12" ht="13.5" customHeight="1">
      <c r="A47" s="325"/>
      <c r="B47" s="326"/>
      <c r="C47" s="327"/>
      <c r="D47" s="328"/>
      <c r="E47" s="329"/>
      <c r="F47" s="330"/>
      <c r="G47" s="325"/>
      <c r="H47" s="326">
        <v>7</v>
      </c>
      <c r="I47" s="327" t="s">
        <v>209</v>
      </c>
      <c r="J47" s="328">
        <v>1.0000000474974513E-3</v>
      </c>
      <c r="K47" s="329">
        <v>55</v>
      </c>
      <c r="L47" s="330">
        <v>0</v>
      </c>
    </row>
    <row r="48" spans="1:12" ht="13.5" customHeight="1">
      <c r="A48" s="325"/>
      <c r="B48" s="326"/>
      <c r="C48" s="327"/>
      <c r="D48" s="328"/>
      <c r="E48" s="329"/>
      <c r="F48" s="330"/>
      <c r="G48" s="325"/>
      <c r="H48" s="326"/>
      <c r="I48" s="327" t="s">
        <v>211</v>
      </c>
      <c r="J48" s="367" t="s">
        <v>204</v>
      </c>
      <c r="K48" s="329" t="s">
        <v>212</v>
      </c>
      <c r="L48" s="330">
        <v>0.111</v>
      </c>
    </row>
    <row r="49" spans="1:12" ht="13.5" customHeight="1">
      <c r="A49" s="325"/>
      <c r="B49" s="326"/>
      <c r="C49" s="327"/>
      <c r="D49" s="328"/>
      <c r="E49" s="329"/>
      <c r="F49" s="330"/>
      <c r="G49" s="325"/>
      <c r="H49" s="326"/>
      <c r="I49" s="327"/>
      <c r="J49" s="328"/>
      <c r="K49" s="329"/>
      <c r="L49" s="330"/>
    </row>
    <row r="50" spans="1:12" ht="13.5" customHeight="1">
      <c r="A50" s="325"/>
      <c r="B50" s="326"/>
      <c r="C50" s="327"/>
      <c r="D50" s="328"/>
      <c r="E50" s="329"/>
      <c r="F50" s="330"/>
      <c r="G50" s="325"/>
      <c r="H50" s="326"/>
      <c r="I50" s="327"/>
      <c r="J50" s="328"/>
      <c r="K50" s="329"/>
      <c r="L50" s="330"/>
    </row>
    <row r="51" spans="1:12" ht="13.5" customHeight="1">
      <c r="A51" s="325"/>
      <c r="B51" s="326"/>
      <c r="C51" s="327"/>
      <c r="D51" s="328"/>
      <c r="E51" s="329"/>
      <c r="F51" s="330"/>
      <c r="G51" s="325"/>
      <c r="H51" s="326"/>
      <c r="I51" s="327"/>
      <c r="J51" s="328"/>
      <c r="K51" s="329"/>
      <c r="L51" s="330"/>
    </row>
    <row r="52" spans="1:12" ht="13.5" customHeight="1">
      <c r="A52" s="325"/>
      <c r="B52" s="326"/>
      <c r="C52" s="327"/>
      <c r="D52" s="328"/>
      <c r="E52" s="329"/>
      <c r="F52" s="330"/>
      <c r="G52" s="325"/>
      <c r="H52" s="326"/>
      <c r="I52" s="327"/>
      <c r="J52" s="328"/>
      <c r="K52" s="329"/>
      <c r="L52" s="330"/>
    </row>
    <row r="53" spans="1:12" ht="13.5" customHeight="1">
      <c r="A53" s="325"/>
      <c r="B53" s="326"/>
      <c r="C53" s="327"/>
      <c r="D53" s="328"/>
      <c r="E53" s="329"/>
      <c r="F53" s="330"/>
      <c r="G53" s="325"/>
      <c r="H53" s="326"/>
      <c r="I53" s="327"/>
      <c r="J53" s="328"/>
      <c r="K53" s="329"/>
      <c r="L53" s="330"/>
    </row>
    <row r="54" spans="1:12" ht="13.5" customHeight="1">
      <c r="A54" s="331"/>
      <c r="B54" s="332"/>
      <c r="C54" s="333"/>
      <c r="D54" s="334"/>
      <c r="E54" s="335"/>
      <c r="F54" s="336"/>
      <c r="G54" s="331"/>
      <c r="H54" s="332"/>
      <c r="I54" s="333"/>
      <c r="J54" s="334"/>
      <c r="K54" s="335"/>
      <c r="L54" s="336"/>
    </row>
    <row r="55" spans="1:12" ht="13.5" customHeight="1">
      <c r="A55" s="337"/>
      <c r="B55" s="338"/>
      <c r="C55" s="337" t="s">
        <v>213</v>
      </c>
      <c r="D55" s="339"/>
      <c r="E55" s="339"/>
      <c r="F55" s="340">
        <v>1.9610000000000001</v>
      </c>
      <c r="G55" s="337"/>
      <c r="H55" s="338"/>
      <c r="I55" s="337" t="s">
        <v>213</v>
      </c>
      <c r="J55" s="339"/>
      <c r="K55" s="339"/>
      <c r="L55" s="340">
        <v>2.1619999999999999</v>
      </c>
    </row>
    <row r="56" spans="1:12" ht="13.5" customHeight="1">
      <c r="A56" s="341"/>
      <c r="B56" s="342"/>
      <c r="C56" s="343" t="s">
        <v>236</v>
      </c>
      <c r="D56" s="344"/>
      <c r="E56" s="345"/>
      <c r="F56" s="346"/>
      <c r="G56" s="341"/>
      <c r="H56" s="342"/>
      <c r="I56" s="343" t="s">
        <v>243</v>
      </c>
      <c r="J56" s="344"/>
      <c r="K56" s="345"/>
      <c r="L56" s="346"/>
    </row>
    <row r="57" spans="1:12" ht="13.5" customHeight="1">
      <c r="A57" s="325" t="s">
        <v>234</v>
      </c>
      <c r="B57" s="326"/>
      <c r="C57" s="347" t="s">
        <v>211</v>
      </c>
      <c r="D57" s="367" t="s">
        <v>204</v>
      </c>
      <c r="E57" s="348" t="s">
        <v>212</v>
      </c>
      <c r="F57" s="349">
        <v>0.111</v>
      </c>
      <c r="G57" s="325" t="s">
        <v>239</v>
      </c>
      <c r="H57" s="326"/>
      <c r="I57" s="347" t="s">
        <v>211</v>
      </c>
      <c r="J57" s="367" t="s">
        <v>204</v>
      </c>
      <c r="K57" s="348" t="s">
        <v>212</v>
      </c>
      <c r="L57" s="349">
        <v>0.111</v>
      </c>
    </row>
    <row r="58" spans="1:12" ht="13.5" customHeight="1">
      <c r="A58" s="325" t="s">
        <v>237</v>
      </c>
      <c r="B58" s="326">
        <v>1</v>
      </c>
      <c r="C58" s="347" t="s">
        <v>217</v>
      </c>
      <c r="D58" s="328">
        <v>1.2500000186264515E-2</v>
      </c>
      <c r="E58" s="348">
        <v>0.22</v>
      </c>
      <c r="F58" s="349">
        <v>5.7000000000000002E-2</v>
      </c>
      <c r="G58" s="325" t="s">
        <v>244</v>
      </c>
      <c r="H58" s="326">
        <v>1</v>
      </c>
      <c r="I58" s="347" t="s">
        <v>241</v>
      </c>
      <c r="J58" s="328">
        <v>3.0000000260770321E-3</v>
      </c>
      <c r="K58" s="348">
        <v>0.19</v>
      </c>
      <c r="L58" s="349">
        <v>1.6E-2</v>
      </c>
    </row>
    <row r="59" spans="1:12" ht="13.5" customHeight="1">
      <c r="A59" s="325"/>
      <c r="B59" s="326">
        <v>2</v>
      </c>
      <c r="C59" s="347" t="s">
        <v>208</v>
      </c>
      <c r="D59" s="367" t="s">
        <v>204</v>
      </c>
      <c r="E59" s="369" t="s">
        <v>204</v>
      </c>
      <c r="F59" s="349">
        <v>0.09</v>
      </c>
      <c r="G59" s="325"/>
      <c r="H59" s="326">
        <v>2</v>
      </c>
      <c r="I59" s="347" t="s">
        <v>242</v>
      </c>
      <c r="J59" s="328">
        <v>2.9999999329447746E-2</v>
      </c>
      <c r="K59" s="348">
        <v>1.5</v>
      </c>
      <c r="L59" s="349">
        <v>0.02</v>
      </c>
    </row>
    <row r="60" spans="1:12" ht="13.5" customHeight="1">
      <c r="A60" s="325"/>
      <c r="B60" s="326">
        <v>3</v>
      </c>
      <c r="C60" s="347" t="s">
        <v>217</v>
      </c>
      <c r="D60" s="328">
        <v>1.2500000186264515E-2</v>
      </c>
      <c r="E60" s="348">
        <v>0.22</v>
      </c>
      <c r="F60" s="349">
        <v>5.7000000000000002E-2</v>
      </c>
      <c r="G60" s="325"/>
      <c r="H60" s="326">
        <v>3</v>
      </c>
      <c r="I60" s="347" t="s">
        <v>232</v>
      </c>
      <c r="J60" s="328">
        <v>0.11999999731779099</v>
      </c>
      <c r="K60" s="348">
        <v>1.6</v>
      </c>
      <c r="L60" s="349">
        <v>7.4999999999999997E-2</v>
      </c>
    </row>
    <row r="61" spans="1:12" ht="13.5" customHeight="1">
      <c r="A61" s="325"/>
      <c r="B61" s="326"/>
      <c r="C61" s="347" t="s">
        <v>211</v>
      </c>
      <c r="D61" s="367" t="s">
        <v>204</v>
      </c>
      <c r="E61" s="348" t="s">
        <v>212</v>
      </c>
      <c r="F61" s="349">
        <v>0.111</v>
      </c>
      <c r="G61" s="325"/>
      <c r="H61" s="326">
        <v>4</v>
      </c>
      <c r="I61" s="347" t="s">
        <v>208</v>
      </c>
      <c r="J61" s="367" t="s">
        <v>204</v>
      </c>
      <c r="K61" s="369" t="s">
        <v>204</v>
      </c>
      <c r="L61" s="349">
        <v>0.09</v>
      </c>
    </row>
    <row r="62" spans="1:12" ht="13.5" customHeight="1">
      <c r="A62" s="325"/>
      <c r="B62" s="326"/>
      <c r="C62" s="347"/>
      <c r="D62" s="328"/>
      <c r="E62" s="348"/>
      <c r="F62" s="349"/>
      <c r="G62" s="325"/>
      <c r="H62" s="326">
        <v>5</v>
      </c>
      <c r="I62" s="347" t="s">
        <v>217</v>
      </c>
      <c r="J62" s="328">
        <v>9.4999996945261955E-3</v>
      </c>
      <c r="K62" s="348">
        <v>0.22</v>
      </c>
      <c r="L62" s="349">
        <v>4.2999999999999997E-2</v>
      </c>
    </row>
    <row r="63" spans="1:12" ht="13.5" customHeight="1">
      <c r="A63" s="325"/>
      <c r="B63" s="326"/>
      <c r="C63" s="347"/>
      <c r="D63" s="328"/>
      <c r="E63" s="348"/>
      <c r="F63" s="349"/>
      <c r="G63" s="325"/>
      <c r="H63" s="326">
        <v>6</v>
      </c>
      <c r="I63" s="347" t="s">
        <v>245</v>
      </c>
      <c r="J63" s="328">
        <v>6.0000000521540642E-3</v>
      </c>
      <c r="K63" s="348">
        <v>0.18</v>
      </c>
      <c r="L63" s="349">
        <v>3.3000000000000002E-2</v>
      </c>
    </row>
    <row r="64" spans="1:12" ht="13.5" customHeight="1">
      <c r="A64" s="325"/>
      <c r="B64" s="326"/>
      <c r="C64" s="347"/>
      <c r="D64" s="328"/>
      <c r="E64" s="348"/>
      <c r="F64" s="349"/>
      <c r="G64" s="325"/>
      <c r="H64" s="326"/>
      <c r="I64" s="347" t="s">
        <v>211</v>
      </c>
      <c r="J64" s="367" t="s">
        <v>204</v>
      </c>
      <c r="K64" s="348" t="s">
        <v>212</v>
      </c>
      <c r="L64" s="349">
        <v>0.111</v>
      </c>
    </row>
    <row r="65" spans="1:12" ht="13.5" customHeight="1">
      <c r="A65" s="325"/>
      <c r="B65" s="326"/>
      <c r="C65" s="347"/>
      <c r="D65" s="328"/>
      <c r="E65" s="348"/>
      <c r="F65" s="349"/>
      <c r="G65" s="325"/>
      <c r="H65" s="326"/>
      <c r="I65" s="347"/>
      <c r="J65" s="328"/>
      <c r="K65" s="348"/>
      <c r="L65" s="349"/>
    </row>
    <row r="66" spans="1:12" ht="13.5" customHeight="1">
      <c r="A66" s="325"/>
      <c r="B66" s="326"/>
      <c r="C66" s="347"/>
      <c r="D66" s="328"/>
      <c r="E66" s="348"/>
      <c r="F66" s="349"/>
      <c r="G66" s="325"/>
      <c r="H66" s="326"/>
      <c r="I66" s="347"/>
      <c r="J66" s="328"/>
      <c r="K66" s="348"/>
      <c r="L66" s="349"/>
    </row>
    <row r="67" spans="1:12" ht="13.5" customHeight="1">
      <c r="A67" s="325"/>
      <c r="B67" s="326"/>
      <c r="C67" s="347"/>
      <c r="D67" s="328"/>
      <c r="E67" s="348"/>
      <c r="F67" s="349"/>
      <c r="G67" s="325"/>
      <c r="H67" s="326"/>
      <c r="I67" s="347"/>
      <c r="J67" s="328"/>
      <c r="K67" s="348"/>
      <c r="L67" s="349"/>
    </row>
    <row r="68" spans="1:12" ht="13.5" customHeight="1">
      <c r="A68" s="325"/>
      <c r="B68" s="326"/>
      <c r="C68" s="347"/>
      <c r="D68" s="328"/>
      <c r="E68" s="348"/>
      <c r="F68" s="349"/>
      <c r="G68" s="325"/>
      <c r="H68" s="326"/>
      <c r="I68" s="347"/>
      <c r="J68" s="328"/>
      <c r="K68" s="348"/>
      <c r="L68" s="349"/>
    </row>
    <row r="69" spans="1:12" ht="13.5" customHeight="1">
      <c r="A69" s="325"/>
      <c r="B69" s="326"/>
      <c r="C69" s="347"/>
      <c r="D69" s="328"/>
      <c r="E69" s="348"/>
      <c r="F69" s="349"/>
      <c r="G69" s="325"/>
      <c r="H69" s="326"/>
      <c r="I69" s="347"/>
      <c r="J69" s="328"/>
      <c r="K69" s="348"/>
      <c r="L69" s="349"/>
    </row>
    <row r="70" spans="1:12" ht="13.5" customHeight="1">
      <c r="A70" s="325"/>
      <c r="B70" s="326"/>
      <c r="C70" s="347"/>
      <c r="D70" s="328"/>
      <c r="E70" s="348"/>
      <c r="F70" s="349"/>
      <c r="G70" s="325"/>
      <c r="H70" s="326"/>
      <c r="I70" s="347"/>
      <c r="J70" s="328"/>
      <c r="K70" s="348"/>
      <c r="L70" s="349"/>
    </row>
    <row r="71" spans="1:12" ht="13.5" customHeight="1">
      <c r="A71" s="331"/>
      <c r="B71" s="332"/>
      <c r="C71" s="350"/>
      <c r="D71" s="334"/>
      <c r="E71" s="351"/>
      <c r="F71" s="352"/>
      <c r="G71" s="331"/>
      <c r="H71" s="332"/>
      <c r="I71" s="350"/>
      <c r="J71" s="334"/>
      <c r="K71" s="351"/>
      <c r="L71" s="352"/>
    </row>
    <row r="72" spans="1:12" ht="13.5" customHeight="1">
      <c r="A72" s="337"/>
      <c r="B72" s="338"/>
      <c r="C72" s="353" t="s">
        <v>213</v>
      </c>
      <c r="D72" s="354"/>
      <c r="E72" s="354"/>
      <c r="F72" s="355">
        <v>0.42599999999999999</v>
      </c>
      <c r="G72" s="337"/>
      <c r="H72" s="338"/>
      <c r="I72" s="353" t="s">
        <v>213</v>
      </c>
      <c r="J72" s="354"/>
      <c r="K72" s="354"/>
      <c r="L72" s="355">
        <v>0.499</v>
      </c>
    </row>
    <row r="73" spans="1:12" ht="13.5" customHeight="1">
      <c r="A73" s="356"/>
      <c r="B73" s="357"/>
      <c r="C73" s="358" t="s">
        <v>238</v>
      </c>
      <c r="D73" s="359"/>
      <c r="E73" s="360"/>
      <c r="F73" s="361"/>
      <c r="G73" s="356"/>
      <c r="H73" s="357"/>
      <c r="I73" s="358" t="s">
        <v>246</v>
      </c>
      <c r="J73" s="359"/>
      <c r="K73" s="360"/>
      <c r="L73" s="361"/>
    </row>
    <row r="74" spans="1:12" ht="13.5" customHeight="1">
      <c r="G74" s="364"/>
      <c r="I74" s="364"/>
    </row>
    <row r="75" spans="1:12" ht="13.5" customHeight="1">
      <c r="G75" s="364"/>
      <c r="I75" s="364"/>
    </row>
    <row r="76" spans="1:12" ht="13.5" customHeight="1">
      <c r="G76" s="364"/>
      <c r="I76" s="364"/>
    </row>
    <row r="77" spans="1:12" ht="13.5" customHeight="1">
      <c r="G77" s="364"/>
      <c r="I77" s="364"/>
    </row>
    <row r="78" spans="1:12" ht="13.5" customHeight="1">
      <c r="G78" s="364"/>
      <c r="I78" s="364"/>
    </row>
    <row r="79" spans="1:12" ht="13.5" customHeight="1">
      <c r="G79" s="364"/>
      <c r="I79" s="364"/>
    </row>
    <row r="80" spans="1:12" ht="13.5" customHeight="1">
      <c r="G80" s="364"/>
      <c r="I80" s="364"/>
    </row>
    <row r="81" spans="1:12" ht="13.5" customHeight="1">
      <c r="G81" s="364"/>
      <c r="I81" s="364"/>
    </row>
    <row r="82" spans="1:12" ht="13.5" customHeight="1">
      <c r="G82" s="364"/>
      <c r="I82" s="364"/>
    </row>
    <row r="83" spans="1:12" s="363" customFormat="1" ht="13.5" customHeight="1">
      <c r="A83" s="303"/>
      <c r="B83" s="362"/>
      <c r="C83" s="303"/>
      <c r="E83" s="364"/>
      <c r="F83" s="364"/>
      <c r="G83" s="364"/>
      <c r="H83" s="362"/>
      <c r="I83" s="364"/>
      <c r="K83" s="364"/>
      <c r="L83" s="364"/>
    </row>
    <row r="84" spans="1:12" s="363" customFormat="1" ht="13.5" customHeight="1">
      <c r="A84" s="303"/>
      <c r="B84" s="362"/>
      <c r="C84" s="303"/>
      <c r="E84" s="364"/>
      <c r="F84" s="364"/>
      <c r="G84" s="364"/>
      <c r="H84" s="362"/>
      <c r="I84" s="364"/>
      <c r="K84" s="364"/>
      <c r="L84" s="364"/>
    </row>
    <row r="85" spans="1:12" s="363" customFormat="1" ht="13.5" customHeight="1">
      <c r="A85" s="303"/>
      <c r="B85" s="362"/>
      <c r="C85" s="303"/>
      <c r="E85" s="364"/>
      <c r="F85" s="364"/>
      <c r="G85" s="364"/>
      <c r="H85" s="362"/>
      <c r="I85" s="364"/>
      <c r="K85" s="364"/>
      <c r="L85" s="364"/>
    </row>
    <row r="86" spans="1:12" s="363" customFormat="1" ht="13.5" customHeight="1">
      <c r="A86" s="303"/>
      <c r="B86" s="362"/>
      <c r="C86" s="303"/>
      <c r="E86" s="364"/>
      <c r="F86" s="364"/>
      <c r="G86" s="364"/>
      <c r="H86" s="362"/>
      <c r="I86" s="364"/>
      <c r="K86" s="364"/>
      <c r="L86" s="364"/>
    </row>
    <row r="87" spans="1:12" s="363" customFormat="1" ht="13.5" customHeight="1">
      <c r="A87" s="303"/>
      <c r="B87" s="362"/>
      <c r="C87" s="303"/>
      <c r="E87" s="364"/>
      <c r="F87" s="364"/>
      <c r="G87" s="364"/>
      <c r="H87" s="362"/>
      <c r="I87" s="364"/>
      <c r="K87" s="364"/>
      <c r="L87" s="364"/>
    </row>
    <row r="88" spans="1:12" s="363" customFormat="1" ht="13.5" customHeight="1">
      <c r="A88" s="303"/>
      <c r="B88" s="362"/>
      <c r="C88" s="303"/>
      <c r="E88" s="364"/>
      <c r="F88" s="364"/>
      <c r="G88" s="364"/>
      <c r="H88" s="362"/>
      <c r="I88" s="364"/>
      <c r="K88" s="364"/>
      <c r="L88" s="364"/>
    </row>
    <row r="89" spans="1:12" s="363" customFormat="1" ht="13.5" customHeight="1">
      <c r="A89" s="303"/>
      <c r="B89" s="362"/>
      <c r="C89" s="303"/>
      <c r="E89" s="364"/>
      <c r="F89" s="364"/>
      <c r="G89" s="364"/>
      <c r="H89" s="362"/>
      <c r="I89" s="364"/>
      <c r="K89" s="364"/>
      <c r="L89" s="364"/>
    </row>
    <row r="90" spans="1:12" s="363" customFormat="1" ht="13.5" customHeight="1">
      <c r="A90" s="303"/>
      <c r="B90" s="362"/>
      <c r="C90" s="303"/>
      <c r="E90" s="364"/>
      <c r="F90" s="364"/>
      <c r="G90" s="364"/>
      <c r="H90" s="362"/>
      <c r="I90" s="364"/>
      <c r="K90" s="364"/>
      <c r="L90" s="364"/>
    </row>
    <row r="91" spans="1:12" s="363" customFormat="1" ht="13.5" customHeight="1">
      <c r="A91" s="303"/>
      <c r="B91" s="362"/>
      <c r="C91" s="303"/>
      <c r="E91" s="364"/>
      <c r="F91" s="364"/>
      <c r="G91" s="364"/>
      <c r="H91" s="362"/>
      <c r="I91" s="364"/>
      <c r="K91" s="364"/>
      <c r="L91" s="364"/>
    </row>
    <row r="92" spans="1:12" s="363" customFormat="1" ht="13.5" customHeight="1">
      <c r="A92" s="303"/>
      <c r="B92" s="362"/>
      <c r="C92" s="303"/>
      <c r="E92" s="364"/>
      <c r="F92" s="364"/>
      <c r="G92" s="364"/>
      <c r="H92" s="362"/>
      <c r="I92" s="364"/>
      <c r="K92" s="364"/>
      <c r="L92" s="364"/>
    </row>
    <row r="93" spans="1:12" s="363" customFormat="1" ht="13.5" customHeight="1">
      <c r="A93" s="303"/>
      <c r="B93" s="362"/>
      <c r="C93" s="303"/>
      <c r="E93" s="364"/>
      <c r="F93" s="364"/>
      <c r="G93" s="364"/>
      <c r="H93" s="362"/>
      <c r="I93" s="364"/>
      <c r="K93" s="364"/>
      <c r="L93" s="364"/>
    </row>
    <row r="94" spans="1:12" s="363" customFormat="1" ht="13.5" customHeight="1">
      <c r="A94" s="303"/>
      <c r="B94" s="362"/>
      <c r="C94" s="303"/>
      <c r="E94" s="364"/>
      <c r="F94" s="364"/>
      <c r="G94" s="364"/>
      <c r="H94" s="362"/>
      <c r="I94" s="364"/>
      <c r="K94" s="364"/>
      <c r="L94" s="364"/>
    </row>
    <row r="95" spans="1:12" s="363" customFormat="1" ht="13.5" customHeight="1">
      <c r="A95" s="303"/>
      <c r="B95" s="362"/>
      <c r="C95" s="303"/>
      <c r="E95" s="364"/>
      <c r="F95" s="364"/>
      <c r="G95" s="364"/>
      <c r="H95" s="362"/>
      <c r="I95" s="364"/>
      <c r="K95" s="364"/>
      <c r="L95" s="364"/>
    </row>
    <row r="96" spans="1:12" s="363" customFormat="1" ht="13.5" customHeight="1">
      <c r="A96" s="303"/>
      <c r="B96" s="362"/>
      <c r="C96" s="303"/>
      <c r="E96" s="364"/>
      <c r="F96" s="364"/>
      <c r="G96" s="364"/>
      <c r="H96" s="362"/>
      <c r="I96" s="364"/>
      <c r="K96" s="364"/>
      <c r="L96" s="364"/>
    </row>
    <row r="97" spans="1:12" s="363" customFormat="1" ht="13.5" customHeight="1">
      <c r="A97" s="303"/>
      <c r="B97" s="362"/>
      <c r="C97" s="303"/>
      <c r="E97" s="364"/>
      <c r="F97" s="364"/>
      <c r="G97" s="364"/>
      <c r="H97" s="362"/>
      <c r="I97" s="364"/>
      <c r="K97" s="364"/>
      <c r="L97" s="364"/>
    </row>
    <row r="98" spans="1:12" s="363" customFormat="1" ht="13.5" customHeight="1">
      <c r="A98" s="303"/>
      <c r="B98" s="362"/>
      <c r="C98" s="303"/>
      <c r="E98" s="364"/>
      <c r="F98" s="364"/>
      <c r="G98" s="364"/>
      <c r="H98" s="362"/>
      <c r="I98" s="364"/>
      <c r="K98" s="364"/>
      <c r="L98" s="364"/>
    </row>
    <row r="99" spans="1:12" s="363" customFormat="1" ht="13.5" customHeight="1">
      <c r="A99" s="303"/>
      <c r="B99" s="362"/>
      <c r="C99" s="303"/>
      <c r="E99" s="364"/>
      <c r="F99" s="364"/>
      <c r="G99" s="364"/>
      <c r="H99" s="362"/>
      <c r="I99" s="364"/>
      <c r="K99" s="364"/>
      <c r="L99" s="364"/>
    </row>
    <row r="100" spans="1:12" s="363" customFormat="1" ht="13.5" customHeight="1">
      <c r="A100" s="303"/>
      <c r="B100" s="362"/>
      <c r="C100" s="303"/>
      <c r="E100" s="364"/>
      <c r="F100" s="364"/>
      <c r="G100" s="364"/>
      <c r="H100" s="362"/>
      <c r="I100" s="364"/>
      <c r="K100" s="364"/>
      <c r="L100" s="364"/>
    </row>
    <row r="101" spans="1:12" s="363" customFormat="1" ht="13.5" customHeight="1">
      <c r="A101" s="303"/>
      <c r="B101" s="362"/>
      <c r="C101" s="303"/>
      <c r="E101" s="364"/>
      <c r="F101" s="364"/>
      <c r="G101" s="364"/>
      <c r="H101" s="362"/>
      <c r="I101" s="364"/>
      <c r="K101" s="364"/>
      <c r="L101" s="364"/>
    </row>
    <row r="102" spans="1:12" s="363" customFormat="1" ht="13.5" customHeight="1">
      <c r="A102" s="303"/>
      <c r="B102" s="362"/>
      <c r="C102" s="303"/>
      <c r="E102" s="364"/>
      <c r="F102" s="364"/>
      <c r="G102" s="364"/>
      <c r="H102" s="362"/>
      <c r="I102" s="364"/>
      <c r="K102" s="364"/>
      <c r="L102" s="364"/>
    </row>
    <row r="103" spans="1:12" s="363" customFormat="1" ht="13.5" customHeight="1">
      <c r="A103" s="303"/>
      <c r="B103" s="362"/>
      <c r="C103" s="303"/>
      <c r="E103" s="364"/>
      <c r="F103" s="364"/>
      <c r="G103" s="364"/>
      <c r="H103" s="362"/>
      <c r="I103" s="364"/>
      <c r="K103" s="364"/>
      <c r="L103" s="364"/>
    </row>
    <row r="104" spans="1:12" s="363" customFormat="1" ht="13.5" customHeight="1">
      <c r="A104" s="303"/>
      <c r="B104" s="362"/>
      <c r="C104" s="303"/>
      <c r="E104" s="364"/>
      <c r="F104" s="364"/>
      <c r="G104" s="364"/>
      <c r="H104" s="362"/>
      <c r="I104" s="364"/>
      <c r="K104" s="364"/>
      <c r="L104" s="364"/>
    </row>
    <row r="105" spans="1:12" s="363" customFormat="1" ht="13.5" customHeight="1">
      <c r="A105" s="303"/>
      <c r="B105" s="362"/>
      <c r="C105" s="303"/>
      <c r="E105" s="364"/>
      <c r="F105" s="364"/>
      <c r="G105" s="364"/>
      <c r="H105" s="362"/>
      <c r="I105" s="364"/>
      <c r="K105" s="364"/>
      <c r="L105" s="364"/>
    </row>
    <row r="106" spans="1:12" s="363" customFormat="1" ht="13.5" customHeight="1">
      <c r="A106" s="303"/>
      <c r="B106" s="362"/>
      <c r="C106" s="303"/>
      <c r="E106" s="364"/>
      <c r="F106" s="364"/>
      <c r="G106" s="364"/>
      <c r="H106" s="362"/>
      <c r="I106" s="364"/>
      <c r="K106" s="364"/>
      <c r="L106" s="364"/>
    </row>
    <row r="107" spans="1:12" s="363" customFormat="1" ht="13.5" customHeight="1">
      <c r="A107" s="303"/>
      <c r="B107" s="362"/>
      <c r="C107" s="303"/>
      <c r="E107" s="364"/>
      <c r="F107" s="364"/>
      <c r="G107" s="364"/>
      <c r="H107" s="362"/>
      <c r="I107" s="364"/>
      <c r="K107" s="364"/>
      <c r="L107" s="364"/>
    </row>
    <row r="108" spans="1:12" s="363" customFormat="1" ht="13.5" customHeight="1">
      <c r="A108" s="303"/>
      <c r="B108" s="362"/>
      <c r="C108" s="303"/>
      <c r="E108" s="364"/>
      <c r="F108" s="364"/>
      <c r="G108" s="364"/>
      <c r="H108" s="362"/>
      <c r="I108" s="364"/>
      <c r="K108" s="364"/>
      <c r="L108" s="364"/>
    </row>
    <row r="109" spans="1:12" s="363" customFormat="1" ht="13.5" customHeight="1">
      <c r="A109" s="303"/>
      <c r="B109" s="362"/>
      <c r="C109" s="303"/>
      <c r="E109" s="364"/>
      <c r="F109" s="364"/>
      <c r="G109" s="364"/>
      <c r="H109" s="362"/>
      <c r="I109" s="364"/>
      <c r="K109" s="364"/>
      <c r="L109" s="364"/>
    </row>
    <row r="110" spans="1:12" s="363" customFormat="1" ht="13.5" customHeight="1">
      <c r="A110" s="303"/>
      <c r="B110" s="362"/>
      <c r="C110" s="303"/>
      <c r="E110" s="364"/>
      <c r="F110" s="364"/>
      <c r="G110" s="364"/>
      <c r="H110" s="362"/>
      <c r="I110" s="364"/>
      <c r="K110" s="364"/>
      <c r="L110" s="364"/>
    </row>
    <row r="111" spans="1:12" s="363" customFormat="1" ht="13.5" customHeight="1">
      <c r="A111" s="303"/>
      <c r="B111" s="362"/>
      <c r="C111" s="303"/>
      <c r="E111" s="364"/>
      <c r="F111" s="364"/>
      <c r="G111" s="364"/>
      <c r="H111" s="362"/>
      <c r="I111" s="364"/>
      <c r="K111" s="364"/>
      <c r="L111" s="364"/>
    </row>
    <row r="112" spans="1:12" s="363" customFormat="1" ht="13.5" customHeight="1">
      <c r="A112" s="303"/>
      <c r="B112" s="362"/>
      <c r="C112" s="303"/>
      <c r="E112" s="364"/>
      <c r="F112" s="364"/>
      <c r="G112" s="364"/>
      <c r="H112" s="362"/>
      <c r="I112" s="364"/>
      <c r="K112" s="364"/>
      <c r="L112" s="364"/>
    </row>
    <row r="113" spans="1:12" s="363" customFormat="1" ht="13.5" customHeight="1">
      <c r="A113" s="303"/>
      <c r="B113" s="362"/>
      <c r="C113" s="303"/>
      <c r="E113" s="364"/>
      <c r="F113" s="364"/>
      <c r="G113" s="364"/>
      <c r="H113" s="362"/>
      <c r="I113" s="364"/>
      <c r="K113" s="364"/>
      <c r="L113" s="364"/>
    </row>
    <row r="114" spans="1:12" s="363" customFormat="1" ht="13.5" customHeight="1">
      <c r="A114" s="303"/>
      <c r="B114" s="362"/>
      <c r="C114" s="303"/>
      <c r="E114" s="364"/>
      <c r="F114" s="364"/>
      <c r="G114" s="364"/>
      <c r="H114" s="362"/>
      <c r="I114" s="364"/>
      <c r="K114" s="364"/>
      <c r="L114" s="364"/>
    </row>
    <row r="115" spans="1:12" s="363" customFormat="1" ht="13.5" customHeight="1">
      <c r="A115" s="303"/>
      <c r="B115" s="362"/>
      <c r="C115" s="303"/>
      <c r="E115" s="364"/>
      <c r="F115" s="364"/>
      <c r="G115" s="364"/>
      <c r="H115" s="362"/>
      <c r="I115" s="364"/>
      <c r="K115" s="364"/>
      <c r="L115" s="364"/>
    </row>
    <row r="116" spans="1:12" s="363" customFormat="1" ht="13.5" customHeight="1">
      <c r="A116" s="303"/>
      <c r="B116" s="362"/>
      <c r="C116" s="303"/>
      <c r="E116" s="364"/>
      <c r="F116" s="364"/>
      <c r="G116" s="364"/>
      <c r="H116" s="362"/>
      <c r="I116" s="364"/>
      <c r="K116" s="364"/>
      <c r="L116" s="364"/>
    </row>
    <row r="117" spans="1:12" s="363" customFormat="1" ht="13.5" customHeight="1">
      <c r="A117" s="303"/>
      <c r="B117" s="362"/>
      <c r="C117" s="303"/>
      <c r="E117" s="364"/>
      <c r="F117" s="364"/>
      <c r="G117" s="364"/>
      <c r="H117" s="362"/>
      <c r="I117" s="364"/>
      <c r="K117" s="364"/>
      <c r="L117" s="364"/>
    </row>
    <row r="118" spans="1:12" s="363" customFormat="1" ht="13.5" customHeight="1">
      <c r="A118" s="303"/>
      <c r="B118" s="362"/>
      <c r="C118" s="303"/>
      <c r="E118" s="364"/>
      <c r="F118" s="364"/>
      <c r="G118" s="364"/>
      <c r="H118" s="362"/>
      <c r="I118" s="364"/>
      <c r="K118" s="364"/>
      <c r="L118" s="364"/>
    </row>
    <row r="119" spans="1:12" s="363" customFormat="1" ht="13.5" customHeight="1">
      <c r="A119" s="303"/>
      <c r="B119" s="362"/>
      <c r="C119" s="303"/>
      <c r="E119" s="364"/>
      <c r="F119" s="364"/>
      <c r="G119" s="364"/>
      <c r="H119" s="362"/>
      <c r="I119" s="364"/>
      <c r="K119" s="364"/>
      <c r="L119" s="364"/>
    </row>
    <row r="120" spans="1:12" s="363" customFormat="1" ht="13.5" customHeight="1">
      <c r="A120" s="303"/>
      <c r="B120" s="362"/>
      <c r="C120" s="303"/>
      <c r="E120" s="364"/>
      <c r="F120" s="364"/>
      <c r="G120" s="364"/>
      <c r="H120" s="362"/>
      <c r="I120" s="364"/>
      <c r="K120" s="364"/>
      <c r="L120" s="364"/>
    </row>
    <row r="121" spans="1:12" s="363" customFormat="1" ht="13.5" customHeight="1">
      <c r="A121" s="303"/>
      <c r="B121" s="362"/>
      <c r="C121" s="303"/>
      <c r="E121" s="364"/>
      <c r="F121" s="364"/>
      <c r="G121" s="364"/>
      <c r="H121" s="362"/>
      <c r="I121" s="364"/>
      <c r="K121" s="364"/>
      <c r="L121" s="364"/>
    </row>
    <row r="122" spans="1:12" s="363" customFormat="1" ht="13.5" customHeight="1">
      <c r="A122" s="303"/>
      <c r="B122" s="362"/>
      <c r="C122" s="303"/>
      <c r="E122" s="364"/>
      <c r="F122" s="364"/>
      <c r="G122" s="364"/>
      <c r="H122" s="362"/>
      <c r="I122" s="364"/>
      <c r="K122" s="364"/>
      <c r="L122" s="364"/>
    </row>
    <row r="123" spans="1:12" s="363" customFormat="1" ht="13.5" customHeight="1">
      <c r="A123" s="303"/>
      <c r="B123" s="362"/>
      <c r="C123" s="303"/>
      <c r="E123" s="364"/>
      <c r="F123" s="364"/>
      <c r="G123" s="364"/>
      <c r="H123" s="362"/>
      <c r="I123" s="364"/>
      <c r="K123" s="364"/>
      <c r="L123" s="364"/>
    </row>
    <row r="124" spans="1:12" s="363" customFormat="1" ht="13.5" customHeight="1">
      <c r="A124" s="303"/>
      <c r="B124" s="362"/>
      <c r="C124" s="303"/>
      <c r="E124" s="364"/>
      <c r="F124" s="364"/>
      <c r="G124" s="364"/>
      <c r="H124" s="362"/>
      <c r="I124" s="364"/>
      <c r="K124" s="364"/>
      <c r="L124" s="364"/>
    </row>
    <row r="125" spans="1:12" s="363" customFormat="1" ht="13.5" customHeight="1">
      <c r="A125" s="303"/>
      <c r="B125" s="362"/>
      <c r="C125" s="303"/>
      <c r="E125" s="364"/>
      <c r="F125" s="364"/>
      <c r="G125" s="364"/>
      <c r="H125" s="362"/>
      <c r="I125" s="364"/>
      <c r="K125" s="364"/>
      <c r="L125" s="364"/>
    </row>
    <row r="126" spans="1:12" s="363" customFormat="1" ht="13.5" customHeight="1">
      <c r="A126" s="303"/>
      <c r="B126" s="362"/>
      <c r="C126" s="303"/>
      <c r="E126" s="364"/>
      <c r="F126" s="364"/>
      <c r="G126" s="364"/>
      <c r="H126" s="362"/>
      <c r="I126" s="364"/>
      <c r="K126" s="364"/>
      <c r="L126" s="364"/>
    </row>
    <row r="127" spans="1:12" s="363" customFormat="1" ht="13.5" customHeight="1">
      <c r="A127" s="303"/>
      <c r="B127" s="362"/>
      <c r="C127" s="303"/>
      <c r="E127" s="364"/>
      <c r="F127" s="364"/>
      <c r="G127" s="364"/>
      <c r="H127" s="362"/>
      <c r="I127" s="364"/>
      <c r="K127" s="364"/>
      <c r="L127" s="364"/>
    </row>
    <row r="128" spans="1:12" s="363" customFormat="1" ht="13.5" customHeight="1">
      <c r="A128" s="303"/>
      <c r="B128" s="362"/>
      <c r="C128" s="303"/>
      <c r="E128" s="364"/>
      <c r="F128" s="364"/>
      <c r="G128" s="364"/>
      <c r="H128" s="362"/>
      <c r="I128" s="364"/>
      <c r="K128" s="364"/>
      <c r="L128" s="364"/>
    </row>
    <row r="129" spans="1:12" s="363" customFormat="1" ht="13.5" customHeight="1">
      <c r="A129" s="303"/>
      <c r="B129" s="362"/>
      <c r="C129" s="303"/>
      <c r="E129" s="364"/>
      <c r="F129" s="364"/>
      <c r="G129" s="364"/>
      <c r="H129" s="362"/>
      <c r="I129" s="364"/>
      <c r="K129" s="364"/>
      <c r="L129" s="364"/>
    </row>
    <row r="130" spans="1:12" s="363" customFormat="1" ht="13.5" customHeight="1">
      <c r="A130" s="303"/>
      <c r="B130" s="362"/>
      <c r="C130" s="303"/>
      <c r="E130" s="364"/>
      <c r="F130" s="364"/>
      <c r="G130" s="364"/>
      <c r="H130" s="362"/>
      <c r="I130" s="364"/>
      <c r="K130" s="364"/>
      <c r="L130" s="364"/>
    </row>
    <row r="131" spans="1:12" s="363" customFormat="1" ht="13.5" customHeight="1">
      <c r="A131" s="303"/>
      <c r="B131" s="362"/>
      <c r="C131" s="303"/>
      <c r="E131" s="364"/>
      <c r="F131" s="364"/>
      <c r="G131" s="364"/>
      <c r="H131" s="362"/>
      <c r="I131" s="364"/>
      <c r="K131" s="364"/>
      <c r="L131" s="364"/>
    </row>
    <row r="132" spans="1:12" s="363" customFormat="1" ht="13.5" customHeight="1">
      <c r="A132" s="303"/>
      <c r="B132" s="362"/>
      <c r="C132" s="303"/>
      <c r="E132" s="364"/>
      <c r="F132" s="364"/>
      <c r="G132" s="364"/>
      <c r="H132" s="362"/>
      <c r="I132" s="364"/>
      <c r="K132" s="364"/>
      <c r="L132" s="364"/>
    </row>
    <row r="133" spans="1:12" s="363" customFormat="1" ht="13.5" customHeight="1">
      <c r="A133" s="303"/>
      <c r="B133" s="362"/>
      <c r="C133" s="303"/>
      <c r="E133" s="364"/>
      <c r="F133" s="364"/>
      <c r="G133" s="364"/>
      <c r="H133" s="362"/>
      <c r="I133" s="364"/>
      <c r="K133" s="364"/>
      <c r="L133" s="364"/>
    </row>
    <row r="134" spans="1:12" s="363" customFormat="1" ht="13.5" customHeight="1">
      <c r="A134" s="303"/>
      <c r="B134" s="362"/>
      <c r="C134" s="303"/>
      <c r="E134" s="364"/>
      <c r="F134" s="364"/>
      <c r="G134" s="364"/>
      <c r="H134" s="362"/>
      <c r="I134" s="364"/>
      <c r="K134" s="364"/>
      <c r="L134" s="364"/>
    </row>
    <row r="135" spans="1:12" s="363" customFormat="1" ht="13.5" customHeight="1">
      <c r="A135" s="303"/>
      <c r="B135" s="362"/>
      <c r="C135" s="303"/>
      <c r="E135" s="364"/>
      <c r="F135" s="364"/>
      <c r="G135" s="364"/>
      <c r="H135" s="362"/>
      <c r="I135" s="364"/>
      <c r="K135" s="364"/>
      <c r="L135" s="364"/>
    </row>
    <row r="136" spans="1:12" s="363" customFormat="1" ht="13.5" customHeight="1">
      <c r="A136" s="303"/>
      <c r="B136" s="362"/>
      <c r="C136" s="303"/>
      <c r="E136" s="364"/>
      <c r="F136" s="364"/>
      <c r="G136" s="364"/>
      <c r="H136" s="362"/>
      <c r="I136" s="364"/>
      <c r="K136" s="364"/>
      <c r="L136" s="364"/>
    </row>
    <row r="137" spans="1:12" s="363" customFormat="1" ht="13.5" customHeight="1">
      <c r="A137" s="303"/>
      <c r="B137" s="362"/>
      <c r="C137" s="303"/>
      <c r="E137" s="364"/>
      <c r="F137" s="364"/>
      <c r="G137" s="364"/>
      <c r="H137" s="362"/>
      <c r="I137" s="364"/>
      <c r="K137" s="364"/>
      <c r="L137" s="364"/>
    </row>
    <row r="138" spans="1:12" s="363" customFormat="1" ht="13.5" customHeight="1">
      <c r="A138" s="303"/>
      <c r="B138" s="362"/>
      <c r="C138" s="303"/>
      <c r="E138" s="364"/>
      <c r="F138" s="364"/>
      <c r="G138" s="364"/>
      <c r="H138" s="362"/>
      <c r="I138" s="364"/>
      <c r="K138" s="364"/>
      <c r="L138" s="364"/>
    </row>
    <row r="139" spans="1:12" s="363" customFormat="1" ht="13.5" customHeight="1">
      <c r="A139" s="303"/>
      <c r="B139" s="362"/>
      <c r="C139" s="303"/>
      <c r="E139" s="364"/>
      <c r="F139" s="364"/>
      <c r="G139" s="364"/>
      <c r="H139" s="362"/>
      <c r="I139" s="364"/>
      <c r="K139" s="364"/>
      <c r="L139" s="364"/>
    </row>
    <row r="140" spans="1:12" s="363" customFormat="1" ht="13.5" customHeight="1">
      <c r="A140" s="303"/>
      <c r="B140" s="362"/>
      <c r="C140" s="303"/>
      <c r="E140" s="364"/>
      <c r="F140" s="364"/>
      <c r="G140" s="364"/>
      <c r="H140" s="362"/>
      <c r="I140" s="364"/>
      <c r="K140" s="364"/>
      <c r="L140" s="364"/>
    </row>
    <row r="141" spans="1:12" s="363" customFormat="1" ht="13.5" customHeight="1">
      <c r="A141" s="303"/>
      <c r="B141" s="362"/>
      <c r="C141" s="303"/>
      <c r="E141" s="364"/>
      <c r="F141" s="364"/>
      <c r="G141" s="364"/>
      <c r="H141" s="362"/>
      <c r="I141" s="364"/>
      <c r="K141" s="364"/>
      <c r="L141" s="364"/>
    </row>
    <row r="142" spans="1:12" s="363" customFormat="1" ht="13.5" customHeight="1">
      <c r="A142" s="303"/>
      <c r="B142" s="362"/>
      <c r="C142" s="303"/>
      <c r="E142" s="364"/>
      <c r="F142" s="364"/>
      <c r="G142" s="364"/>
      <c r="H142" s="362"/>
      <c r="I142" s="364"/>
      <c r="K142" s="364"/>
      <c r="L142" s="364"/>
    </row>
    <row r="143" spans="1:12" s="363" customFormat="1" ht="13.5" customHeight="1">
      <c r="A143" s="303"/>
      <c r="B143" s="362"/>
      <c r="C143" s="303"/>
      <c r="E143" s="364"/>
      <c r="F143" s="364"/>
      <c r="G143" s="364"/>
      <c r="H143" s="362"/>
      <c r="I143" s="364"/>
      <c r="K143" s="364"/>
      <c r="L143" s="364"/>
    </row>
    <row r="144" spans="1:12" s="363" customFormat="1" ht="13.5" customHeight="1">
      <c r="A144" s="303"/>
      <c r="B144" s="362"/>
      <c r="C144" s="303"/>
      <c r="E144" s="364"/>
      <c r="F144" s="364"/>
      <c r="G144" s="364"/>
      <c r="H144" s="362"/>
      <c r="I144" s="364"/>
      <c r="K144" s="364"/>
      <c r="L144" s="364"/>
    </row>
    <row r="145" spans="1:12" s="363" customFormat="1" ht="13.5" customHeight="1">
      <c r="A145" s="303"/>
      <c r="B145" s="362"/>
      <c r="C145" s="303"/>
      <c r="E145" s="364"/>
      <c r="F145" s="364"/>
      <c r="G145" s="364"/>
      <c r="H145" s="362"/>
      <c r="I145" s="364"/>
      <c r="K145" s="364"/>
      <c r="L145" s="364"/>
    </row>
    <row r="146" spans="1:12" s="363" customFormat="1" ht="13.5" customHeight="1">
      <c r="A146" s="303"/>
      <c r="B146" s="362"/>
      <c r="C146" s="303"/>
      <c r="E146" s="364"/>
      <c r="F146" s="364"/>
      <c r="G146" s="364"/>
      <c r="H146" s="362"/>
      <c r="I146" s="364"/>
      <c r="K146" s="364"/>
      <c r="L146" s="364"/>
    </row>
    <row r="147" spans="1:12" s="363" customFormat="1" ht="13.5" customHeight="1">
      <c r="A147" s="303"/>
      <c r="B147" s="362"/>
      <c r="C147" s="303"/>
      <c r="E147" s="364"/>
      <c r="F147" s="364"/>
      <c r="G147" s="364"/>
      <c r="H147" s="362"/>
      <c r="I147" s="364"/>
      <c r="K147" s="364"/>
      <c r="L147" s="364"/>
    </row>
    <row r="148" spans="1:12" s="363" customFormat="1" ht="13.5" customHeight="1">
      <c r="A148" s="303"/>
      <c r="B148" s="362"/>
      <c r="C148" s="303"/>
      <c r="E148" s="364"/>
      <c r="F148" s="364"/>
      <c r="G148" s="364"/>
      <c r="H148" s="362"/>
      <c r="I148" s="364"/>
      <c r="K148" s="364"/>
      <c r="L148" s="364"/>
    </row>
    <row r="149" spans="1:12" s="363" customFormat="1" ht="13.5" customHeight="1">
      <c r="A149" s="303"/>
      <c r="B149" s="362"/>
      <c r="C149" s="303"/>
      <c r="E149" s="364"/>
      <c r="F149" s="364"/>
      <c r="G149" s="364"/>
      <c r="H149" s="362"/>
      <c r="I149" s="364"/>
      <c r="K149" s="364"/>
      <c r="L149" s="364"/>
    </row>
    <row r="150" spans="1:12" s="363" customFormat="1" ht="13.5" customHeight="1">
      <c r="A150" s="303"/>
      <c r="B150" s="362"/>
      <c r="C150" s="303"/>
      <c r="E150" s="364"/>
      <c r="F150" s="364"/>
      <c r="G150" s="364"/>
      <c r="H150" s="362"/>
      <c r="I150" s="364"/>
      <c r="K150" s="364"/>
      <c r="L150" s="364"/>
    </row>
    <row r="151" spans="1:12" s="363" customFormat="1" ht="13.5" customHeight="1">
      <c r="A151" s="303"/>
      <c r="B151" s="362"/>
      <c r="C151" s="303"/>
      <c r="E151" s="364"/>
      <c r="F151" s="364"/>
      <c r="G151" s="364"/>
      <c r="H151" s="362"/>
      <c r="I151" s="364"/>
      <c r="K151" s="364"/>
      <c r="L151" s="364"/>
    </row>
    <row r="152" spans="1:12" s="363" customFormat="1" ht="13.5" customHeight="1">
      <c r="A152" s="303"/>
      <c r="B152" s="362"/>
      <c r="C152" s="303"/>
      <c r="E152" s="364"/>
      <c r="F152" s="364"/>
      <c r="G152" s="364"/>
      <c r="H152" s="362"/>
      <c r="I152" s="364"/>
      <c r="K152" s="364"/>
      <c r="L152" s="364"/>
    </row>
    <row r="153" spans="1:12" s="363" customFormat="1" ht="13.5" customHeight="1">
      <c r="A153" s="303"/>
      <c r="B153" s="362"/>
      <c r="C153" s="303"/>
      <c r="E153" s="364"/>
      <c r="F153" s="364"/>
      <c r="G153" s="364"/>
      <c r="H153" s="362"/>
      <c r="I153" s="364"/>
      <c r="K153" s="364"/>
      <c r="L153" s="364"/>
    </row>
    <row r="154" spans="1:12" s="363" customFormat="1" ht="13.5" customHeight="1">
      <c r="A154" s="303"/>
      <c r="B154" s="362"/>
      <c r="C154" s="303"/>
      <c r="E154" s="364"/>
      <c r="F154" s="364"/>
      <c r="G154" s="364"/>
      <c r="H154" s="362"/>
      <c r="I154" s="364"/>
      <c r="K154" s="364"/>
      <c r="L154" s="364"/>
    </row>
    <row r="155" spans="1:12" s="363" customFormat="1" ht="13.5" customHeight="1">
      <c r="A155" s="303"/>
      <c r="B155" s="362"/>
      <c r="C155" s="303"/>
      <c r="E155" s="364"/>
      <c r="F155" s="364"/>
      <c r="G155" s="364"/>
      <c r="H155" s="362"/>
      <c r="I155" s="364"/>
      <c r="K155" s="364"/>
      <c r="L155" s="364"/>
    </row>
    <row r="156" spans="1:12" s="363" customFormat="1" ht="13.5" customHeight="1">
      <c r="A156" s="303"/>
      <c r="B156" s="362"/>
      <c r="C156" s="303"/>
      <c r="E156" s="364"/>
      <c r="F156" s="364"/>
      <c r="G156" s="364"/>
      <c r="H156" s="362"/>
      <c r="I156" s="364"/>
      <c r="K156" s="364"/>
      <c r="L156" s="364"/>
    </row>
    <row r="157" spans="1:12" s="363" customFormat="1" ht="13.5" customHeight="1">
      <c r="A157" s="303"/>
      <c r="B157" s="362"/>
      <c r="C157" s="303"/>
      <c r="E157" s="364"/>
      <c r="F157" s="364"/>
      <c r="G157" s="364"/>
      <c r="H157" s="362"/>
      <c r="I157" s="364"/>
      <c r="K157" s="364"/>
      <c r="L157" s="364"/>
    </row>
    <row r="158" spans="1:12" s="363" customFormat="1" ht="13.5" customHeight="1">
      <c r="A158" s="303"/>
      <c r="B158" s="362"/>
      <c r="C158" s="303"/>
      <c r="E158" s="364"/>
      <c r="F158" s="364"/>
      <c r="G158" s="364"/>
      <c r="H158" s="362"/>
      <c r="I158" s="364"/>
      <c r="K158" s="364"/>
      <c r="L158" s="364"/>
    </row>
    <row r="159" spans="1:12" s="363" customFormat="1" ht="13.5" customHeight="1">
      <c r="A159" s="303"/>
      <c r="B159" s="362"/>
      <c r="C159" s="303"/>
      <c r="E159" s="364"/>
      <c r="F159" s="364"/>
      <c r="G159" s="364"/>
      <c r="H159" s="362"/>
      <c r="I159" s="364"/>
      <c r="K159" s="364"/>
      <c r="L159" s="364"/>
    </row>
    <row r="160" spans="1:12" s="363" customFormat="1" ht="13.5" customHeight="1">
      <c r="A160" s="303"/>
      <c r="B160" s="362"/>
      <c r="C160" s="303"/>
      <c r="E160" s="364"/>
      <c r="F160" s="364"/>
      <c r="G160" s="364"/>
      <c r="H160" s="362"/>
      <c r="I160" s="364"/>
      <c r="K160" s="364"/>
      <c r="L160" s="364"/>
    </row>
    <row r="161" spans="1:12" s="363" customFormat="1" ht="13.5" customHeight="1">
      <c r="A161" s="303"/>
      <c r="B161" s="362"/>
      <c r="C161" s="303"/>
      <c r="E161" s="364"/>
      <c r="F161" s="364"/>
      <c r="G161" s="364"/>
      <c r="H161" s="362"/>
      <c r="I161" s="364"/>
      <c r="K161" s="364"/>
      <c r="L161" s="364"/>
    </row>
    <row r="162" spans="1:12" s="363" customFormat="1" ht="13.5" customHeight="1">
      <c r="A162" s="303"/>
      <c r="B162" s="362"/>
      <c r="C162" s="303"/>
      <c r="E162" s="364"/>
      <c r="F162" s="364"/>
      <c r="G162" s="364"/>
      <c r="H162" s="362"/>
      <c r="I162" s="364"/>
      <c r="K162" s="364"/>
      <c r="L162" s="364"/>
    </row>
    <row r="163" spans="1:12" s="363" customFormat="1" ht="13.5" customHeight="1">
      <c r="A163" s="303"/>
      <c r="B163" s="362"/>
      <c r="C163" s="303"/>
      <c r="E163" s="364"/>
      <c r="F163" s="364"/>
      <c r="G163" s="364"/>
      <c r="H163" s="362"/>
      <c r="I163" s="364"/>
      <c r="K163" s="364"/>
      <c r="L163" s="364"/>
    </row>
    <row r="164" spans="1:12" s="363" customFormat="1" ht="13.5" customHeight="1">
      <c r="A164" s="303"/>
      <c r="B164" s="362"/>
      <c r="C164" s="303"/>
      <c r="E164" s="364"/>
      <c r="F164" s="364"/>
      <c r="G164" s="364"/>
      <c r="H164" s="362"/>
      <c r="I164" s="364"/>
      <c r="K164" s="364"/>
      <c r="L164" s="364"/>
    </row>
    <row r="165" spans="1:12" s="363" customFormat="1" ht="13.5" customHeight="1">
      <c r="A165" s="303"/>
      <c r="B165" s="362"/>
      <c r="C165" s="303"/>
      <c r="E165" s="364"/>
      <c r="F165" s="364"/>
      <c r="G165" s="364"/>
      <c r="H165" s="362"/>
      <c r="I165" s="364"/>
      <c r="K165" s="364"/>
      <c r="L165" s="364"/>
    </row>
    <row r="166" spans="1:12" s="363" customFormat="1" ht="13.5" customHeight="1">
      <c r="A166" s="303"/>
      <c r="B166" s="362"/>
      <c r="C166" s="303"/>
      <c r="E166" s="364"/>
      <c r="F166" s="364"/>
      <c r="G166" s="364"/>
      <c r="H166" s="362"/>
      <c r="I166" s="364"/>
      <c r="K166" s="364"/>
      <c r="L166" s="364"/>
    </row>
    <row r="167" spans="1:12" s="363" customFormat="1" ht="13.5" customHeight="1">
      <c r="A167" s="303"/>
      <c r="B167" s="362"/>
      <c r="C167" s="303"/>
      <c r="E167" s="364"/>
      <c r="F167" s="364"/>
      <c r="G167" s="364"/>
      <c r="H167" s="362"/>
      <c r="I167" s="364"/>
      <c r="K167" s="364"/>
      <c r="L167" s="364"/>
    </row>
    <row r="168" spans="1:12" s="363" customFormat="1" ht="13.5" customHeight="1">
      <c r="A168" s="303"/>
      <c r="B168" s="362"/>
      <c r="C168" s="303"/>
      <c r="E168" s="364"/>
      <c r="F168" s="364"/>
      <c r="G168" s="364"/>
      <c r="H168" s="362"/>
      <c r="I168" s="364"/>
      <c r="K168" s="364"/>
      <c r="L168" s="364"/>
    </row>
    <row r="169" spans="1:12" s="363" customFormat="1" ht="13.5" customHeight="1">
      <c r="A169" s="303"/>
      <c r="B169" s="362"/>
      <c r="C169" s="303"/>
      <c r="E169" s="364"/>
      <c r="F169" s="364"/>
      <c r="G169" s="364"/>
      <c r="H169" s="362"/>
      <c r="I169" s="364"/>
      <c r="K169" s="364"/>
      <c r="L169" s="364"/>
    </row>
    <row r="170" spans="1:12" s="363" customFormat="1" ht="13.5" customHeight="1">
      <c r="A170" s="303"/>
      <c r="B170" s="362"/>
      <c r="C170" s="303"/>
      <c r="E170" s="364"/>
      <c r="F170" s="364"/>
      <c r="G170" s="364"/>
      <c r="H170" s="362"/>
      <c r="I170" s="364"/>
      <c r="K170" s="364"/>
      <c r="L170" s="364"/>
    </row>
    <row r="171" spans="1:12" s="363" customFormat="1" ht="13.5" customHeight="1">
      <c r="A171" s="303"/>
      <c r="B171" s="362"/>
      <c r="C171" s="303"/>
      <c r="E171" s="364"/>
      <c r="F171" s="364"/>
      <c r="G171" s="364"/>
      <c r="H171" s="362"/>
      <c r="I171" s="364"/>
      <c r="K171" s="364"/>
      <c r="L171" s="364"/>
    </row>
    <row r="172" spans="1:12" s="363" customFormat="1" ht="13.5" customHeight="1">
      <c r="A172" s="303"/>
      <c r="B172" s="362"/>
      <c r="C172" s="303"/>
      <c r="E172" s="364"/>
      <c r="F172" s="364"/>
      <c r="G172" s="364"/>
      <c r="H172" s="362"/>
      <c r="I172" s="364"/>
      <c r="K172" s="364"/>
      <c r="L172" s="364"/>
    </row>
    <row r="173" spans="1:12" s="363" customFormat="1" ht="13.5" customHeight="1">
      <c r="A173" s="303"/>
      <c r="B173" s="362"/>
      <c r="C173" s="303"/>
      <c r="E173" s="364"/>
      <c r="F173" s="364"/>
      <c r="G173" s="364"/>
      <c r="H173" s="362"/>
      <c r="I173" s="364"/>
      <c r="K173" s="364"/>
      <c r="L173" s="364"/>
    </row>
    <row r="174" spans="1:12" s="363" customFormat="1" ht="13.5" customHeight="1">
      <c r="A174" s="303"/>
      <c r="B174" s="362"/>
      <c r="C174" s="303"/>
      <c r="E174" s="364"/>
      <c r="F174" s="364"/>
      <c r="G174" s="364"/>
      <c r="H174" s="362"/>
      <c r="I174" s="364"/>
      <c r="K174" s="364"/>
      <c r="L174" s="364"/>
    </row>
    <row r="175" spans="1:12" s="363" customFormat="1" ht="13.5" customHeight="1">
      <c r="A175" s="303"/>
      <c r="B175" s="362"/>
      <c r="C175" s="303"/>
      <c r="E175" s="364"/>
      <c r="F175" s="364"/>
      <c r="G175" s="364"/>
      <c r="H175" s="362"/>
      <c r="I175" s="364"/>
      <c r="K175" s="364"/>
      <c r="L175" s="364"/>
    </row>
    <row r="176" spans="1:12" s="363" customFormat="1" ht="13.5" customHeight="1">
      <c r="A176" s="303"/>
      <c r="B176" s="362"/>
      <c r="C176" s="303"/>
      <c r="E176" s="364"/>
      <c r="F176" s="364"/>
      <c r="G176" s="364"/>
      <c r="H176" s="362"/>
      <c r="I176" s="364"/>
      <c r="K176" s="364"/>
      <c r="L176" s="364"/>
    </row>
    <row r="177" spans="1:12" s="363" customFormat="1" ht="13.5" customHeight="1">
      <c r="A177" s="303"/>
      <c r="B177" s="362"/>
      <c r="C177" s="303"/>
      <c r="E177" s="364"/>
      <c r="F177" s="364"/>
      <c r="G177" s="364"/>
      <c r="H177" s="362"/>
      <c r="I177" s="364"/>
      <c r="K177" s="364"/>
      <c r="L177" s="364"/>
    </row>
    <row r="178" spans="1:12" s="363" customFormat="1" ht="13.5" customHeight="1">
      <c r="A178" s="303"/>
      <c r="B178" s="362"/>
      <c r="C178" s="303"/>
      <c r="E178" s="364"/>
      <c r="F178" s="364"/>
      <c r="G178" s="364"/>
      <c r="H178" s="362"/>
      <c r="I178" s="364"/>
      <c r="K178" s="364"/>
      <c r="L178" s="364"/>
    </row>
    <row r="179" spans="1:12" s="363" customFormat="1" ht="13.5" customHeight="1">
      <c r="A179" s="303"/>
      <c r="B179" s="362"/>
      <c r="C179" s="303"/>
      <c r="E179" s="364"/>
      <c r="F179" s="364"/>
      <c r="G179" s="364"/>
      <c r="H179" s="362"/>
      <c r="I179" s="364"/>
      <c r="K179" s="364"/>
      <c r="L179" s="364"/>
    </row>
    <row r="180" spans="1:12" s="363" customFormat="1" ht="13.5" customHeight="1">
      <c r="A180" s="303"/>
      <c r="B180" s="362"/>
      <c r="C180" s="303"/>
      <c r="E180" s="364"/>
      <c r="F180" s="364"/>
      <c r="G180" s="364"/>
      <c r="H180" s="362"/>
      <c r="I180" s="364"/>
      <c r="K180" s="364"/>
      <c r="L180" s="364"/>
    </row>
    <row r="181" spans="1:12" s="363" customFormat="1" ht="13.5" customHeight="1">
      <c r="A181" s="303"/>
      <c r="B181" s="362"/>
      <c r="C181" s="303"/>
      <c r="E181" s="364"/>
      <c r="F181" s="364"/>
      <c r="G181" s="364"/>
      <c r="H181" s="362"/>
      <c r="I181" s="364"/>
      <c r="K181" s="364"/>
      <c r="L181" s="364"/>
    </row>
    <row r="182" spans="1:12" s="363" customFormat="1" ht="13.5" customHeight="1">
      <c r="A182" s="303"/>
      <c r="B182" s="362"/>
      <c r="C182" s="303"/>
      <c r="E182" s="364"/>
      <c r="F182" s="364"/>
      <c r="G182" s="364"/>
      <c r="H182" s="362"/>
      <c r="I182" s="364"/>
      <c r="K182" s="364"/>
      <c r="L182" s="364"/>
    </row>
    <row r="183" spans="1:12" s="363" customFormat="1" ht="13.5" customHeight="1">
      <c r="A183" s="303"/>
      <c r="B183" s="362"/>
      <c r="C183" s="303"/>
      <c r="E183" s="364"/>
      <c r="F183" s="364"/>
      <c r="G183" s="364"/>
      <c r="H183" s="362"/>
      <c r="I183" s="364"/>
      <c r="K183" s="364"/>
      <c r="L183" s="364"/>
    </row>
    <row r="184" spans="1:12" s="363" customFormat="1" ht="13.5" customHeight="1">
      <c r="A184" s="303"/>
      <c r="B184" s="362"/>
      <c r="C184" s="303"/>
      <c r="E184" s="364"/>
      <c r="F184" s="364"/>
      <c r="G184" s="364"/>
      <c r="H184" s="362"/>
      <c r="I184" s="364"/>
      <c r="K184" s="364"/>
      <c r="L184" s="364"/>
    </row>
    <row r="185" spans="1:12" s="363" customFormat="1" ht="13.5" customHeight="1">
      <c r="A185" s="303"/>
      <c r="B185" s="362"/>
      <c r="C185" s="303"/>
      <c r="E185" s="364"/>
      <c r="F185" s="364"/>
      <c r="G185" s="364"/>
      <c r="H185" s="362"/>
      <c r="I185" s="364"/>
      <c r="K185" s="364"/>
      <c r="L185" s="364"/>
    </row>
    <row r="186" spans="1:12" s="363" customFormat="1" ht="13.5" customHeight="1">
      <c r="A186" s="303"/>
      <c r="B186" s="362"/>
      <c r="C186" s="303"/>
      <c r="E186" s="364"/>
      <c r="F186" s="364"/>
      <c r="G186" s="364"/>
      <c r="H186" s="362"/>
      <c r="I186" s="364"/>
      <c r="K186" s="364"/>
      <c r="L186" s="364"/>
    </row>
    <row r="187" spans="1:12" s="363" customFormat="1" ht="13.5" customHeight="1">
      <c r="A187" s="303"/>
      <c r="B187" s="362"/>
      <c r="C187" s="303"/>
      <c r="E187" s="364"/>
      <c r="F187" s="364"/>
      <c r="G187" s="364"/>
      <c r="H187" s="362"/>
      <c r="I187" s="364"/>
      <c r="K187" s="364"/>
      <c r="L187" s="364"/>
    </row>
    <row r="188" spans="1:12" s="363" customFormat="1" ht="13.5" customHeight="1">
      <c r="A188" s="303"/>
      <c r="B188" s="362"/>
      <c r="C188" s="303"/>
      <c r="E188" s="364"/>
      <c r="F188" s="364"/>
      <c r="G188" s="364"/>
      <c r="H188" s="362"/>
      <c r="I188" s="364"/>
      <c r="K188" s="364"/>
      <c r="L188" s="364"/>
    </row>
    <row r="189" spans="1:12" s="363" customFormat="1" ht="13.5" customHeight="1">
      <c r="A189" s="303"/>
      <c r="B189" s="362"/>
      <c r="C189" s="303"/>
      <c r="E189" s="364"/>
      <c r="F189" s="364"/>
      <c r="G189" s="364"/>
      <c r="H189" s="362"/>
      <c r="I189" s="364"/>
      <c r="K189" s="364"/>
      <c r="L189" s="364"/>
    </row>
    <row r="190" spans="1:12" s="363" customFormat="1" ht="13.5" customHeight="1">
      <c r="A190" s="303"/>
      <c r="B190" s="362"/>
      <c r="C190" s="303"/>
      <c r="E190" s="364"/>
      <c r="F190" s="364"/>
      <c r="G190" s="364"/>
      <c r="H190" s="362"/>
      <c r="I190" s="364"/>
      <c r="K190" s="364"/>
      <c r="L190" s="364"/>
    </row>
    <row r="191" spans="1:12" s="363" customFormat="1" ht="13.5" customHeight="1">
      <c r="A191" s="303"/>
      <c r="B191" s="362"/>
      <c r="C191" s="303"/>
      <c r="E191" s="364"/>
      <c r="F191" s="364"/>
      <c r="G191" s="364"/>
      <c r="H191" s="362"/>
      <c r="I191" s="364"/>
      <c r="K191" s="364"/>
      <c r="L191" s="364"/>
    </row>
    <row r="192" spans="1:12" s="363" customFormat="1" ht="13.5" customHeight="1">
      <c r="A192" s="303"/>
      <c r="B192" s="362"/>
      <c r="C192" s="303"/>
      <c r="E192" s="364"/>
      <c r="F192" s="364"/>
      <c r="G192" s="364"/>
      <c r="H192" s="362"/>
      <c r="I192" s="364"/>
      <c r="K192" s="364"/>
      <c r="L192" s="364"/>
    </row>
    <row r="193" spans="1:12" s="363" customFormat="1" ht="13.5" customHeight="1">
      <c r="A193" s="303"/>
      <c r="B193" s="362"/>
      <c r="C193" s="303"/>
      <c r="E193" s="364"/>
      <c r="F193" s="364"/>
      <c r="G193" s="364"/>
      <c r="H193" s="362"/>
      <c r="I193" s="364"/>
      <c r="K193" s="364"/>
      <c r="L193" s="364"/>
    </row>
    <row r="194" spans="1:12" s="363" customFormat="1" ht="13.5" customHeight="1">
      <c r="A194" s="303"/>
      <c r="B194" s="362"/>
      <c r="C194" s="303"/>
      <c r="E194" s="364"/>
      <c r="F194" s="364"/>
      <c r="G194" s="364"/>
      <c r="H194" s="362"/>
      <c r="I194" s="364"/>
      <c r="K194" s="364"/>
      <c r="L194" s="364"/>
    </row>
    <row r="195" spans="1:12" s="363" customFormat="1" ht="13.5" customHeight="1">
      <c r="A195" s="303"/>
      <c r="B195" s="362"/>
      <c r="C195" s="303"/>
      <c r="E195" s="364"/>
      <c r="F195" s="364"/>
      <c r="G195" s="364"/>
      <c r="H195" s="362"/>
      <c r="I195" s="364"/>
      <c r="K195" s="364"/>
      <c r="L195" s="364"/>
    </row>
    <row r="196" spans="1:12" s="363" customFormat="1" ht="13.5" customHeight="1">
      <c r="A196" s="303"/>
      <c r="B196" s="362"/>
      <c r="C196" s="303"/>
      <c r="E196" s="364"/>
      <c r="F196" s="364"/>
      <c r="G196" s="364"/>
      <c r="H196" s="362"/>
      <c r="I196" s="364"/>
      <c r="K196" s="364"/>
      <c r="L196" s="364"/>
    </row>
    <row r="197" spans="1:12" s="363" customFormat="1" ht="13.5" customHeight="1">
      <c r="A197" s="303"/>
      <c r="B197" s="362"/>
      <c r="C197" s="303"/>
      <c r="E197" s="364"/>
      <c r="F197" s="364"/>
      <c r="G197" s="364"/>
      <c r="H197" s="362"/>
      <c r="I197" s="364"/>
      <c r="K197" s="364"/>
      <c r="L197" s="364"/>
    </row>
    <row r="198" spans="1:12" s="363" customFormat="1" ht="13.5" customHeight="1">
      <c r="A198" s="303"/>
      <c r="B198" s="362"/>
      <c r="C198" s="303"/>
      <c r="E198" s="364"/>
      <c r="F198" s="364"/>
      <c r="G198" s="364"/>
      <c r="H198" s="362"/>
      <c r="I198" s="364"/>
      <c r="K198" s="364"/>
      <c r="L198" s="364"/>
    </row>
    <row r="199" spans="1:12" s="363" customFormat="1" ht="13.5" customHeight="1">
      <c r="A199" s="303"/>
      <c r="B199" s="362"/>
      <c r="C199" s="303"/>
      <c r="E199" s="364"/>
      <c r="F199" s="364"/>
      <c r="G199" s="364"/>
      <c r="H199" s="362"/>
      <c r="I199" s="364"/>
      <c r="K199" s="364"/>
      <c r="L199" s="364"/>
    </row>
    <row r="200" spans="1:12" s="363" customFormat="1" ht="13.5" customHeight="1">
      <c r="A200" s="303"/>
      <c r="B200" s="362"/>
      <c r="C200" s="303"/>
      <c r="E200" s="364"/>
      <c r="F200" s="364"/>
      <c r="G200" s="364"/>
      <c r="H200" s="362"/>
      <c r="I200" s="364"/>
      <c r="K200" s="364"/>
      <c r="L200" s="364"/>
    </row>
    <row r="201" spans="1:12" s="363" customFormat="1" ht="13.5" customHeight="1">
      <c r="A201" s="303"/>
      <c r="B201" s="362"/>
      <c r="C201" s="303"/>
      <c r="E201" s="364"/>
      <c r="F201" s="364"/>
      <c r="G201" s="364"/>
      <c r="H201" s="362"/>
      <c r="I201" s="364"/>
      <c r="K201" s="364"/>
      <c r="L201" s="364"/>
    </row>
    <row r="202" spans="1:12" s="363" customFormat="1" ht="13.5" customHeight="1">
      <c r="A202" s="303"/>
      <c r="B202" s="362"/>
      <c r="C202" s="303"/>
      <c r="E202" s="364"/>
      <c r="F202" s="364"/>
      <c r="G202" s="364"/>
      <c r="H202" s="362"/>
      <c r="I202" s="364"/>
      <c r="K202" s="364"/>
      <c r="L202" s="364"/>
    </row>
    <row r="203" spans="1:12" s="363" customFormat="1" ht="13.5" customHeight="1">
      <c r="A203" s="303"/>
      <c r="B203" s="362"/>
      <c r="C203" s="303"/>
      <c r="E203" s="364"/>
      <c r="F203" s="364"/>
      <c r="G203" s="364"/>
      <c r="H203" s="362"/>
      <c r="I203" s="364"/>
      <c r="K203" s="364"/>
      <c r="L203" s="364"/>
    </row>
    <row r="204" spans="1:12" s="363" customFormat="1" ht="13.5" customHeight="1">
      <c r="A204" s="303"/>
      <c r="B204" s="362"/>
      <c r="C204" s="303"/>
      <c r="E204" s="364"/>
      <c r="F204" s="364"/>
      <c r="G204" s="364"/>
      <c r="H204" s="362"/>
      <c r="I204" s="364"/>
      <c r="K204" s="364"/>
      <c r="L204" s="364"/>
    </row>
    <row r="205" spans="1:12" s="363" customFormat="1" ht="13.5" customHeight="1">
      <c r="A205" s="303"/>
      <c r="B205" s="362"/>
      <c r="C205" s="303"/>
      <c r="E205" s="364"/>
      <c r="F205" s="364"/>
      <c r="G205" s="364"/>
      <c r="H205" s="362"/>
      <c r="I205" s="364"/>
      <c r="K205" s="364"/>
      <c r="L205" s="364"/>
    </row>
    <row r="206" spans="1:12" s="363" customFormat="1" ht="13.5" customHeight="1">
      <c r="A206" s="303"/>
      <c r="B206" s="362"/>
      <c r="C206" s="303"/>
      <c r="E206" s="364"/>
      <c r="F206" s="364"/>
      <c r="G206" s="364"/>
      <c r="H206" s="362"/>
      <c r="I206" s="364"/>
      <c r="K206" s="364"/>
      <c r="L206" s="364"/>
    </row>
    <row r="207" spans="1:12" s="363" customFormat="1" ht="13.5" customHeight="1">
      <c r="A207" s="303"/>
      <c r="B207" s="362"/>
      <c r="C207" s="303"/>
      <c r="E207" s="364"/>
      <c r="F207" s="364"/>
      <c r="G207" s="364"/>
      <c r="H207" s="362"/>
      <c r="I207" s="364"/>
      <c r="K207" s="364"/>
      <c r="L207" s="364"/>
    </row>
    <row r="208" spans="1:12" s="363" customFormat="1" ht="13.5" customHeight="1">
      <c r="A208" s="303"/>
      <c r="B208" s="362"/>
      <c r="C208" s="303"/>
      <c r="E208" s="364"/>
      <c r="F208" s="364"/>
      <c r="G208" s="364"/>
      <c r="H208" s="362"/>
      <c r="I208" s="364"/>
      <c r="K208" s="364"/>
      <c r="L208" s="364"/>
    </row>
    <row r="209" spans="1:12" s="363" customFormat="1" ht="13.5" customHeight="1">
      <c r="A209" s="303"/>
      <c r="B209" s="362"/>
      <c r="C209" s="303"/>
      <c r="E209" s="364"/>
      <c r="F209" s="364"/>
      <c r="G209" s="364"/>
      <c r="H209" s="362"/>
      <c r="I209" s="364"/>
      <c r="K209" s="364"/>
      <c r="L209" s="364"/>
    </row>
    <row r="210" spans="1:12" s="363" customFormat="1" ht="13.5" customHeight="1">
      <c r="A210" s="303"/>
      <c r="B210" s="362"/>
      <c r="C210" s="303"/>
      <c r="E210" s="364"/>
      <c r="F210" s="364"/>
      <c r="G210" s="364"/>
      <c r="H210" s="362"/>
      <c r="I210" s="364"/>
      <c r="K210" s="364"/>
      <c r="L210" s="364"/>
    </row>
    <row r="211" spans="1:12" s="363" customFormat="1" ht="13.5" customHeight="1">
      <c r="A211" s="303"/>
      <c r="B211" s="362"/>
      <c r="C211" s="303"/>
      <c r="E211" s="364"/>
      <c r="F211" s="364"/>
      <c r="G211" s="364"/>
      <c r="H211" s="362"/>
      <c r="I211" s="364"/>
      <c r="K211" s="364"/>
      <c r="L211" s="364"/>
    </row>
    <row r="212" spans="1:12" s="363" customFormat="1" ht="13.5" customHeight="1">
      <c r="A212" s="303"/>
      <c r="B212" s="362"/>
      <c r="C212" s="303"/>
      <c r="E212" s="364"/>
      <c r="F212" s="364"/>
      <c r="G212" s="364"/>
      <c r="H212" s="362"/>
      <c r="I212" s="364"/>
      <c r="K212" s="364"/>
      <c r="L212" s="364"/>
    </row>
    <row r="213" spans="1:12" s="363" customFormat="1" ht="13.5" customHeight="1">
      <c r="A213" s="303"/>
      <c r="B213" s="362"/>
      <c r="C213" s="303"/>
      <c r="E213" s="364"/>
      <c r="F213" s="364"/>
      <c r="G213" s="364"/>
      <c r="H213" s="362"/>
      <c r="I213" s="364"/>
      <c r="K213" s="364"/>
      <c r="L213" s="364"/>
    </row>
    <row r="214" spans="1:12" s="363" customFormat="1" ht="13.5" customHeight="1">
      <c r="A214" s="303"/>
      <c r="B214" s="362"/>
      <c r="C214" s="303"/>
      <c r="E214" s="364"/>
      <c r="F214" s="364"/>
      <c r="G214" s="364"/>
      <c r="H214" s="362"/>
      <c r="I214" s="364"/>
      <c r="K214" s="364"/>
      <c r="L214" s="364"/>
    </row>
    <row r="215" spans="1:12" s="363" customFormat="1" ht="13.5" customHeight="1">
      <c r="A215" s="303"/>
      <c r="B215" s="362"/>
      <c r="C215" s="303"/>
      <c r="E215" s="364"/>
      <c r="F215" s="364"/>
      <c r="G215" s="364"/>
      <c r="H215" s="362"/>
      <c r="I215" s="364"/>
      <c r="K215" s="364"/>
      <c r="L215" s="364"/>
    </row>
    <row r="216" spans="1:12" s="363" customFormat="1" ht="13.5" customHeight="1">
      <c r="A216" s="303"/>
      <c r="B216" s="362"/>
      <c r="C216" s="303"/>
      <c r="E216" s="364"/>
      <c r="F216" s="364"/>
      <c r="G216" s="364"/>
      <c r="H216" s="362"/>
      <c r="I216" s="364"/>
      <c r="K216" s="364"/>
      <c r="L216" s="364"/>
    </row>
    <row r="217" spans="1:12" s="363" customFormat="1" ht="13.5" customHeight="1">
      <c r="A217" s="303"/>
      <c r="B217" s="362"/>
      <c r="C217" s="303"/>
      <c r="E217" s="364"/>
      <c r="F217" s="364"/>
      <c r="G217" s="364"/>
      <c r="H217" s="362"/>
      <c r="I217" s="364"/>
      <c r="K217" s="364"/>
      <c r="L217" s="364"/>
    </row>
    <row r="218" spans="1:12" s="363" customFormat="1" ht="13.5" customHeight="1">
      <c r="A218" s="303"/>
      <c r="B218" s="362"/>
      <c r="C218" s="303"/>
      <c r="E218" s="364"/>
      <c r="F218" s="364"/>
      <c r="G218" s="364"/>
      <c r="H218" s="362"/>
      <c r="I218" s="364"/>
      <c r="K218" s="364"/>
      <c r="L218" s="364"/>
    </row>
    <row r="219" spans="1:12" s="363" customFormat="1" ht="13.5" customHeight="1">
      <c r="A219" s="303"/>
      <c r="B219" s="362"/>
      <c r="C219" s="303"/>
      <c r="E219" s="364"/>
      <c r="F219" s="364"/>
      <c r="G219" s="364"/>
      <c r="H219" s="362"/>
      <c r="I219" s="364"/>
      <c r="K219" s="364"/>
      <c r="L219" s="364"/>
    </row>
    <row r="220" spans="1:12" s="363" customFormat="1" ht="13.5" customHeight="1">
      <c r="A220" s="303"/>
      <c r="B220" s="362"/>
      <c r="C220" s="303"/>
      <c r="E220" s="364"/>
      <c r="F220" s="364"/>
      <c r="G220" s="364"/>
      <c r="H220" s="362"/>
      <c r="I220" s="364"/>
      <c r="K220" s="364"/>
      <c r="L220" s="364"/>
    </row>
    <row r="221" spans="1:12" s="363" customFormat="1" ht="13.5" customHeight="1">
      <c r="A221" s="303"/>
      <c r="B221" s="362"/>
      <c r="C221" s="303"/>
      <c r="E221" s="364"/>
      <c r="F221" s="364"/>
      <c r="G221" s="364"/>
      <c r="H221" s="362"/>
      <c r="I221" s="364"/>
      <c r="K221" s="364"/>
      <c r="L221" s="364"/>
    </row>
    <row r="222" spans="1:12" s="363" customFormat="1" ht="13.5" customHeight="1">
      <c r="A222" s="303"/>
      <c r="B222" s="362"/>
      <c r="C222" s="303"/>
      <c r="E222" s="364"/>
      <c r="F222" s="364"/>
      <c r="G222" s="364"/>
      <c r="H222" s="362"/>
      <c r="I222" s="364"/>
      <c r="K222" s="364"/>
      <c r="L222" s="364"/>
    </row>
    <row r="223" spans="1:12" s="363" customFormat="1" ht="13.5" customHeight="1">
      <c r="A223" s="303"/>
      <c r="B223" s="362"/>
      <c r="C223" s="303"/>
      <c r="E223" s="364"/>
      <c r="F223" s="364"/>
      <c r="G223" s="364"/>
      <c r="H223" s="362"/>
      <c r="I223" s="364"/>
      <c r="K223" s="364"/>
      <c r="L223" s="364"/>
    </row>
    <row r="224" spans="1:12" s="363" customFormat="1" ht="13.5" customHeight="1">
      <c r="A224" s="303"/>
      <c r="B224" s="362"/>
      <c r="C224" s="303"/>
      <c r="E224" s="364"/>
      <c r="F224" s="364"/>
      <c r="G224" s="364"/>
      <c r="H224" s="362"/>
      <c r="I224" s="364"/>
      <c r="K224" s="364"/>
      <c r="L224" s="364"/>
    </row>
    <row r="225" spans="1:12" s="363" customFormat="1" ht="13.5" customHeight="1">
      <c r="A225" s="303"/>
      <c r="B225" s="362"/>
      <c r="C225" s="303"/>
      <c r="E225" s="364"/>
      <c r="F225" s="364"/>
      <c r="G225" s="364"/>
      <c r="H225" s="362"/>
      <c r="I225" s="364"/>
      <c r="K225" s="364"/>
      <c r="L225" s="364"/>
    </row>
    <row r="226" spans="1:12" s="363" customFormat="1" ht="13.5" customHeight="1">
      <c r="A226" s="303"/>
      <c r="B226" s="362"/>
      <c r="C226" s="303"/>
      <c r="E226" s="364"/>
      <c r="F226" s="364"/>
      <c r="G226" s="364"/>
      <c r="H226" s="362"/>
      <c r="I226" s="364"/>
      <c r="K226" s="364"/>
      <c r="L226" s="364"/>
    </row>
    <row r="227" spans="1:12" s="363" customFormat="1" ht="13.5" customHeight="1">
      <c r="A227" s="303"/>
      <c r="B227" s="362"/>
      <c r="C227" s="303"/>
      <c r="E227" s="364"/>
      <c r="F227" s="364"/>
      <c r="G227" s="364"/>
      <c r="H227" s="362"/>
      <c r="I227" s="364"/>
      <c r="K227" s="364"/>
      <c r="L227" s="364"/>
    </row>
    <row r="228" spans="1:12" s="363" customFormat="1" ht="13.5" customHeight="1">
      <c r="A228" s="303"/>
      <c r="B228" s="362"/>
      <c r="C228" s="303"/>
      <c r="E228" s="364"/>
      <c r="F228" s="364"/>
      <c r="G228" s="364"/>
      <c r="H228" s="362"/>
      <c r="I228" s="364"/>
      <c r="K228" s="364"/>
      <c r="L228" s="364"/>
    </row>
    <row r="229" spans="1:12" s="363" customFormat="1" ht="13.5" customHeight="1">
      <c r="A229" s="303"/>
      <c r="B229" s="362"/>
      <c r="C229" s="303"/>
      <c r="E229" s="364"/>
      <c r="F229" s="364"/>
      <c r="G229" s="364"/>
      <c r="H229" s="362"/>
      <c r="I229" s="364"/>
      <c r="K229" s="364"/>
      <c r="L229" s="364"/>
    </row>
    <row r="230" spans="1:12" s="363" customFormat="1" ht="13.5" customHeight="1">
      <c r="A230" s="303"/>
      <c r="B230" s="362"/>
      <c r="C230" s="303"/>
      <c r="E230" s="364"/>
      <c r="F230" s="364"/>
      <c r="G230" s="364"/>
      <c r="H230" s="362"/>
      <c r="I230" s="364"/>
      <c r="K230" s="364"/>
      <c r="L230" s="364"/>
    </row>
    <row r="231" spans="1:12" s="363" customFormat="1" ht="13.5" customHeight="1">
      <c r="A231" s="303"/>
      <c r="B231" s="362"/>
      <c r="C231" s="303"/>
      <c r="E231" s="364"/>
      <c r="F231" s="364"/>
      <c r="G231" s="364"/>
      <c r="H231" s="362"/>
      <c r="I231" s="364"/>
      <c r="K231" s="364"/>
      <c r="L231" s="364"/>
    </row>
    <row r="232" spans="1:12" s="363" customFormat="1" ht="13.5" customHeight="1">
      <c r="A232" s="303"/>
      <c r="B232" s="362"/>
      <c r="C232" s="303"/>
      <c r="E232" s="364"/>
      <c r="F232" s="364"/>
      <c r="G232" s="364"/>
      <c r="H232" s="362"/>
      <c r="I232" s="364"/>
      <c r="K232" s="364"/>
      <c r="L232" s="364"/>
    </row>
    <row r="233" spans="1:12" s="363" customFormat="1" ht="13.5" customHeight="1">
      <c r="A233" s="303"/>
      <c r="B233" s="362"/>
      <c r="C233" s="303"/>
      <c r="E233" s="364"/>
      <c r="F233" s="364"/>
      <c r="G233" s="364"/>
      <c r="H233" s="362"/>
      <c r="I233" s="364"/>
      <c r="K233" s="364"/>
      <c r="L233" s="364"/>
    </row>
    <row r="234" spans="1:12" s="363" customFormat="1" ht="13.5" customHeight="1">
      <c r="A234" s="303"/>
      <c r="B234" s="362"/>
      <c r="C234" s="303"/>
      <c r="E234" s="364"/>
      <c r="F234" s="364"/>
      <c r="G234" s="364"/>
      <c r="H234" s="362"/>
      <c r="I234" s="364"/>
      <c r="K234" s="364"/>
      <c r="L234" s="364"/>
    </row>
    <row r="235" spans="1:12" s="363" customFormat="1" ht="13.5" customHeight="1">
      <c r="A235" s="303"/>
      <c r="B235" s="362"/>
      <c r="C235" s="303"/>
      <c r="E235" s="364"/>
      <c r="F235" s="364"/>
      <c r="G235" s="364"/>
      <c r="H235" s="362"/>
      <c r="I235" s="364"/>
      <c r="K235" s="364"/>
      <c r="L235" s="364"/>
    </row>
    <row r="236" spans="1:12" s="363" customFormat="1" ht="13.5" customHeight="1">
      <c r="A236" s="303"/>
      <c r="B236" s="362"/>
      <c r="C236" s="303"/>
      <c r="E236" s="364"/>
      <c r="F236" s="364"/>
      <c r="G236" s="364"/>
      <c r="H236" s="362"/>
      <c r="I236" s="364"/>
      <c r="K236" s="364"/>
      <c r="L236" s="364"/>
    </row>
    <row r="237" spans="1:12" s="363" customFormat="1" ht="13.5" customHeight="1">
      <c r="A237" s="303"/>
      <c r="B237" s="362"/>
      <c r="C237" s="303"/>
      <c r="E237" s="364"/>
      <c r="F237" s="364"/>
      <c r="G237" s="364"/>
      <c r="H237" s="362"/>
      <c r="I237" s="364"/>
      <c r="K237" s="364"/>
      <c r="L237" s="364"/>
    </row>
    <row r="238" spans="1:12" s="363" customFormat="1" ht="13.5" customHeight="1">
      <c r="A238" s="303"/>
      <c r="B238" s="362"/>
      <c r="C238" s="303"/>
      <c r="E238" s="364"/>
      <c r="F238" s="364"/>
      <c r="G238" s="364"/>
      <c r="H238" s="362"/>
      <c r="I238" s="364"/>
      <c r="K238" s="364"/>
      <c r="L238" s="364"/>
    </row>
    <row r="239" spans="1:12" s="363" customFormat="1" ht="13.5" customHeight="1">
      <c r="A239" s="303"/>
      <c r="B239" s="362"/>
      <c r="C239" s="303"/>
      <c r="E239" s="364"/>
      <c r="F239" s="364"/>
      <c r="G239" s="364"/>
      <c r="H239" s="362"/>
      <c r="I239" s="364"/>
      <c r="K239" s="364"/>
      <c r="L239" s="364"/>
    </row>
    <row r="240" spans="1:12" s="363" customFormat="1" ht="13.5" customHeight="1">
      <c r="A240" s="303"/>
      <c r="B240" s="362"/>
      <c r="C240" s="303"/>
      <c r="E240" s="364"/>
      <c r="F240" s="364"/>
      <c r="G240" s="364"/>
      <c r="H240" s="362"/>
      <c r="I240" s="364"/>
      <c r="K240" s="364"/>
      <c r="L240" s="364"/>
    </row>
    <row r="241" spans="1:12" s="363" customFormat="1" ht="13.5" customHeight="1">
      <c r="A241" s="303"/>
      <c r="B241" s="362"/>
      <c r="C241" s="303"/>
      <c r="E241" s="364"/>
      <c r="F241" s="364"/>
      <c r="G241" s="364"/>
      <c r="H241" s="362"/>
      <c r="I241" s="364"/>
      <c r="K241" s="364"/>
      <c r="L241" s="364"/>
    </row>
    <row r="242" spans="1:12" s="363" customFormat="1" ht="13.5" customHeight="1">
      <c r="A242" s="303"/>
      <c r="B242" s="362"/>
      <c r="C242" s="303"/>
      <c r="E242" s="364"/>
      <c r="F242" s="364"/>
      <c r="G242" s="364"/>
      <c r="H242" s="362"/>
      <c r="I242" s="364"/>
      <c r="K242" s="364"/>
      <c r="L242" s="364"/>
    </row>
    <row r="243" spans="1:12" s="363" customFormat="1" ht="13.5" customHeight="1">
      <c r="A243" s="303"/>
      <c r="B243" s="362"/>
      <c r="C243" s="303"/>
      <c r="E243" s="364"/>
      <c r="F243" s="364"/>
      <c r="G243" s="364"/>
      <c r="H243" s="362"/>
      <c r="I243" s="364"/>
      <c r="K243" s="364"/>
      <c r="L243" s="364"/>
    </row>
    <row r="244" spans="1:12" s="363" customFormat="1" ht="13.5" customHeight="1">
      <c r="A244" s="303"/>
      <c r="B244" s="362"/>
      <c r="C244" s="303"/>
      <c r="E244" s="364"/>
      <c r="F244" s="364"/>
      <c r="G244" s="364"/>
      <c r="H244" s="362"/>
      <c r="I244" s="364"/>
      <c r="K244" s="364"/>
      <c r="L244" s="364"/>
    </row>
    <row r="245" spans="1:12" s="363" customFormat="1" ht="13.5" customHeight="1">
      <c r="A245" s="303"/>
      <c r="B245" s="362"/>
      <c r="C245" s="303"/>
      <c r="E245" s="364"/>
      <c r="F245" s="364"/>
      <c r="G245" s="364"/>
      <c r="H245" s="362"/>
      <c r="I245" s="364"/>
      <c r="K245" s="364"/>
      <c r="L245" s="364"/>
    </row>
    <row r="246" spans="1:12" s="363" customFormat="1" ht="13.5" customHeight="1">
      <c r="A246" s="303"/>
      <c r="B246" s="362"/>
      <c r="C246" s="303"/>
      <c r="E246" s="364"/>
      <c r="F246" s="364"/>
      <c r="G246" s="364"/>
      <c r="H246" s="362"/>
      <c r="I246" s="364"/>
      <c r="K246" s="364"/>
      <c r="L246" s="364"/>
    </row>
    <row r="247" spans="1:12" s="363" customFormat="1" ht="13.5" customHeight="1">
      <c r="A247" s="303"/>
      <c r="B247" s="362"/>
      <c r="C247" s="303"/>
      <c r="E247" s="364"/>
      <c r="F247" s="364"/>
      <c r="G247" s="364"/>
      <c r="H247" s="362"/>
      <c r="I247" s="364"/>
      <c r="K247" s="364"/>
      <c r="L247" s="364"/>
    </row>
    <row r="248" spans="1:12" s="363" customFormat="1" ht="13.5" customHeight="1">
      <c r="A248" s="303"/>
      <c r="B248" s="362"/>
      <c r="C248" s="303"/>
      <c r="E248" s="364"/>
      <c r="F248" s="364"/>
      <c r="G248" s="364"/>
      <c r="H248" s="362"/>
      <c r="I248" s="364"/>
      <c r="K248" s="364"/>
      <c r="L248" s="364"/>
    </row>
    <row r="249" spans="1:12" s="363" customFormat="1" ht="13.5" customHeight="1">
      <c r="A249" s="303"/>
      <c r="B249" s="362"/>
      <c r="C249" s="303"/>
      <c r="E249" s="364"/>
      <c r="F249" s="364"/>
      <c r="G249" s="364"/>
      <c r="H249" s="362"/>
      <c r="I249" s="364"/>
      <c r="K249" s="364"/>
      <c r="L249" s="364"/>
    </row>
    <row r="250" spans="1:12" s="363" customFormat="1" ht="13.5" customHeight="1">
      <c r="A250" s="303"/>
      <c r="B250" s="362"/>
      <c r="C250" s="303"/>
      <c r="E250" s="364"/>
      <c r="F250" s="364"/>
      <c r="G250" s="364"/>
      <c r="H250" s="362"/>
      <c r="I250" s="364"/>
      <c r="K250" s="364"/>
      <c r="L250" s="364"/>
    </row>
    <row r="251" spans="1:12" s="363" customFormat="1" ht="13.5" customHeight="1">
      <c r="A251" s="303"/>
      <c r="B251" s="362"/>
      <c r="C251" s="303"/>
      <c r="E251" s="364"/>
      <c r="F251" s="364"/>
      <c r="G251" s="364"/>
      <c r="H251" s="362"/>
      <c r="I251" s="364"/>
      <c r="K251" s="364"/>
      <c r="L251" s="364"/>
    </row>
    <row r="252" spans="1:12" s="363" customFormat="1" ht="13.5" customHeight="1">
      <c r="A252" s="303"/>
      <c r="B252" s="362"/>
      <c r="C252" s="303"/>
      <c r="E252" s="364"/>
      <c r="F252" s="364"/>
      <c r="G252" s="364"/>
      <c r="H252" s="362"/>
      <c r="I252" s="364"/>
      <c r="K252" s="364"/>
      <c r="L252" s="364"/>
    </row>
    <row r="253" spans="1:12" s="363" customFormat="1" ht="13.5" customHeight="1">
      <c r="A253" s="303"/>
      <c r="B253" s="362"/>
      <c r="C253" s="303"/>
      <c r="E253" s="364"/>
      <c r="F253" s="364"/>
      <c r="G253" s="364"/>
      <c r="H253" s="362"/>
      <c r="I253" s="364"/>
      <c r="K253" s="364"/>
      <c r="L253" s="364"/>
    </row>
    <row r="254" spans="1:12" s="363" customFormat="1" ht="13.5" customHeight="1">
      <c r="A254" s="303"/>
      <c r="B254" s="362"/>
      <c r="C254" s="303"/>
      <c r="E254" s="364"/>
      <c r="F254" s="364"/>
      <c r="G254" s="364"/>
      <c r="H254" s="362"/>
      <c r="I254" s="364"/>
      <c r="K254" s="364"/>
      <c r="L254" s="364"/>
    </row>
    <row r="255" spans="1:12" s="363" customFormat="1" ht="13.5" customHeight="1">
      <c r="A255" s="303"/>
      <c r="B255" s="362"/>
      <c r="C255" s="303"/>
      <c r="E255" s="364"/>
      <c r="F255" s="364"/>
      <c r="G255" s="364"/>
      <c r="H255" s="362"/>
      <c r="I255" s="364"/>
      <c r="K255" s="364"/>
      <c r="L255" s="364"/>
    </row>
    <row r="256" spans="1:12" s="363" customFormat="1" ht="13.5" customHeight="1">
      <c r="A256" s="303"/>
      <c r="B256" s="362"/>
      <c r="C256" s="303"/>
      <c r="E256" s="364"/>
      <c r="F256" s="364"/>
      <c r="G256" s="364"/>
      <c r="H256" s="362"/>
      <c r="I256" s="364"/>
      <c r="K256" s="364"/>
      <c r="L256" s="364"/>
    </row>
    <row r="257" spans="1:12" s="363" customFormat="1" ht="13.5" customHeight="1">
      <c r="A257" s="303"/>
      <c r="B257" s="362"/>
      <c r="C257" s="303"/>
      <c r="E257" s="364"/>
      <c r="F257" s="364"/>
      <c r="G257" s="364"/>
      <c r="H257" s="362"/>
      <c r="I257" s="364"/>
      <c r="K257" s="364"/>
      <c r="L257" s="364"/>
    </row>
    <row r="258" spans="1:12" s="363" customFormat="1" ht="13.5" customHeight="1">
      <c r="A258" s="303"/>
      <c r="B258" s="362"/>
      <c r="C258" s="303"/>
      <c r="E258" s="364"/>
      <c r="F258" s="364"/>
      <c r="G258" s="364"/>
      <c r="H258" s="362"/>
      <c r="I258" s="364"/>
      <c r="K258" s="364"/>
      <c r="L258" s="364"/>
    </row>
    <row r="259" spans="1:12" s="363" customFormat="1" ht="13.5" customHeight="1">
      <c r="A259" s="303"/>
      <c r="B259" s="362"/>
      <c r="C259" s="303"/>
      <c r="E259" s="364"/>
      <c r="F259" s="364"/>
      <c r="G259" s="364"/>
      <c r="H259" s="362"/>
      <c r="I259" s="364"/>
      <c r="K259" s="364"/>
      <c r="L259" s="364"/>
    </row>
    <row r="260" spans="1:12" s="363" customFormat="1" ht="13.5" customHeight="1">
      <c r="A260" s="303"/>
      <c r="B260" s="362"/>
      <c r="C260" s="303"/>
      <c r="E260" s="364"/>
      <c r="F260" s="364"/>
      <c r="G260" s="364"/>
      <c r="H260" s="362"/>
      <c r="I260" s="364"/>
      <c r="K260" s="364"/>
      <c r="L260" s="364"/>
    </row>
    <row r="261" spans="1:12" s="363" customFormat="1" ht="13.5" customHeight="1">
      <c r="A261" s="303"/>
      <c r="B261" s="362"/>
      <c r="C261" s="303"/>
      <c r="E261" s="364"/>
      <c r="F261" s="364"/>
      <c r="G261" s="364"/>
      <c r="H261" s="362"/>
      <c r="I261" s="364"/>
      <c r="K261" s="364"/>
      <c r="L261" s="364"/>
    </row>
    <row r="262" spans="1:12" s="363" customFormat="1" ht="13.5" customHeight="1">
      <c r="A262" s="303"/>
      <c r="B262" s="362"/>
      <c r="C262" s="303"/>
      <c r="E262" s="364"/>
      <c r="F262" s="364"/>
      <c r="G262" s="364"/>
      <c r="H262" s="362"/>
      <c r="I262" s="364"/>
      <c r="K262" s="364"/>
      <c r="L262" s="364"/>
    </row>
    <row r="263" spans="1:12" s="363" customFormat="1" ht="13.5" customHeight="1">
      <c r="A263" s="303"/>
      <c r="B263" s="362"/>
      <c r="C263" s="303"/>
      <c r="E263" s="364"/>
      <c r="F263" s="364"/>
      <c r="G263" s="364"/>
      <c r="H263" s="362"/>
      <c r="I263" s="364"/>
      <c r="K263" s="364"/>
      <c r="L263" s="364"/>
    </row>
    <row r="264" spans="1:12" s="363" customFormat="1" ht="13.5" customHeight="1">
      <c r="A264" s="303"/>
      <c r="B264" s="362"/>
      <c r="C264" s="303"/>
      <c r="E264" s="364"/>
      <c r="F264" s="364"/>
      <c r="G264" s="364"/>
      <c r="H264" s="362"/>
      <c r="I264" s="364"/>
      <c r="K264" s="364"/>
      <c r="L264" s="364"/>
    </row>
    <row r="265" spans="1:12" s="363" customFormat="1" ht="13.5" customHeight="1">
      <c r="A265" s="303"/>
      <c r="B265" s="362"/>
      <c r="C265" s="303"/>
      <c r="E265" s="364"/>
      <c r="F265" s="364"/>
      <c r="G265" s="364"/>
      <c r="H265" s="362"/>
      <c r="I265" s="364"/>
      <c r="K265" s="364"/>
      <c r="L265" s="364"/>
    </row>
    <row r="266" spans="1:12" s="363" customFormat="1" ht="13.5" customHeight="1">
      <c r="A266" s="303"/>
      <c r="B266" s="362"/>
      <c r="C266" s="303"/>
      <c r="E266" s="364"/>
      <c r="F266" s="364"/>
      <c r="G266" s="364"/>
      <c r="H266" s="362"/>
      <c r="I266" s="364"/>
      <c r="K266" s="364"/>
      <c r="L266" s="364"/>
    </row>
    <row r="267" spans="1:12" s="363" customFormat="1" ht="13.5" customHeight="1">
      <c r="A267" s="303"/>
      <c r="B267" s="362"/>
      <c r="C267" s="303"/>
      <c r="E267" s="364"/>
      <c r="F267" s="364"/>
      <c r="G267" s="364"/>
      <c r="H267" s="362"/>
      <c r="I267" s="364"/>
      <c r="K267" s="364"/>
      <c r="L267" s="364"/>
    </row>
    <row r="268" spans="1:12" s="363" customFormat="1" ht="13.5" customHeight="1">
      <c r="A268" s="303"/>
      <c r="B268" s="362"/>
      <c r="C268" s="303"/>
      <c r="E268" s="364"/>
      <c r="F268" s="364"/>
      <c r="G268" s="364"/>
      <c r="H268" s="362"/>
      <c r="I268" s="364"/>
      <c r="K268" s="364"/>
      <c r="L268" s="364"/>
    </row>
    <row r="269" spans="1:12" s="363" customFormat="1" ht="13.5" customHeight="1">
      <c r="A269" s="303"/>
      <c r="B269" s="362"/>
      <c r="C269" s="303"/>
      <c r="E269" s="364"/>
      <c r="F269" s="364"/>
      <c r="G269" s="364"/>
      <c r="H269" s="362"/>
      <c r="I269" s="364"/>
      <c r="K269" s="364"/>
      <c r="L269" s="364"/>
    </row>
    <row r="270" spans="1:12" s="363" customFormat="1" ht="13.5" customHeight="1">
      <c r="A270" s="303"/>
      <c r="B270" s="362"/>
      <c r="C270" s="303"/>
      <c r="E270" s="364"/>
      <c r="F270" s="364"/>
      <c r="G270" s="364"/>
      <c r="H270" s="362"/>
      <c r="I270" s="364"/>
      <c r="K270" s="364"/>
      <c r="L270" s="364"/>
    </row>
    <row r="271" spans="1:12" s="363" customFormat="1" ht="13.5" customHeight="1">
      <c r="A271" s="303"/>
      <c r="B271" s="362"/>
      <c r="C271" s="303"/>
      <c r="E271" s="364"/>
      <c r="F271" s="364"/>
      <c r="G271" s="364"/>
      <c r="H271" s="362"/>
      <c r="I271" s="364"/>
      <c r="K271" s="364"/>
      <c r="L271" s="364"/>
    </row>
    <row r="272" spans="1:12" s="363" customFormat="1" ht="13.5" customHeight="1">
      <c r="A272" s="303"/>
      <c r="B272" s="362"/>
      <c r="C272" s="303"/>
      <c r="E272" s="364"/>
      <c r="F272" s="364"/>
      <c r="G272" s="364"/>
      <c r="H272" s="362"/>
      <c r="I272" s="364"/>
      <c r="K272" s="364"/>
      <c r="L272" s="364"/>
    </row>
    <row r="273" spans="1:12" s="363" customFormat="1" ht="13.5" customHeight="1">
      <c r="A273" s="303"/>
      <c r="B273" s="362"/>
      <c r="C273" s="303"/>
      <c r="E273" s="364"/>
      <c r="F273" s="364"/>
      <c r="G273" s="364"/>
      <c r="H273" s="362"/>
      <c r="I273" s="364"/>
      <c r="K273" s="364"/>
      <c r="L273" s="364"/>
    </row>
    <row r="274" spans="1:12" s="363" customFormat="1" ht="13.5" customHeight="1">
      <c r="A274" s="303"/>
      <c r="B274" s="362"/>
      <c r="C274" s="303"/>
      <c r="E274" s="364"/>
      <c r="F274" s="364"/>
      <c r="G274" s="364"/>
      <c r="H274" s="362"/>
      <c r="I274" s="364"/>
      <c r="K274" s="364"/>
      <c r="L274" s="364"/>
    </row>
    <row r="275" spans="1:12" s="363" customFormat="1" ht="13.5" customHeight="1">
      <c r="A275" s="303"/>
      <c r="B275" s="362"/>
      <c r="C275" s="303"/>
      <c r="E275" s="364"/>
      <c r="F275" s="364"/>
      <c r="G275" s="364"/>
      <c r="H275" s="362"/>
      <c r="I275" s="364"/>
      <c r="K275" s="364"/>
      <c r="L275" s="364"/>
    </row>
    <row r="276" spans="1:12" s="363" customFormat="1" ht="13.5" customHeight="1">
      <c r="A276" s="303"/>
      <c r="B276" s="362"/>
      <c r="C276" s="303"/>
      <c r="E276" s="364"/>
      <c r="F276" s="364"/>
      <c r="G276" s="364"/>
      <c r="H276" s="362"/>
      <c r="I276" s="364"/>
      <c r="K276" s="364"/>
      <c r="L276" s="364"/>
    </row>
    <row r="277" spans="1:12" s="363" customFormat="1" ht="13.5" customHeight="1">
      <c r="A277" s="303"/>
      <c r="B277" s="362"/>
      <c r="C277" s="303"/>
      <c r="E277" s="364"/>
      <c r="F277" s="364"/>
      <c r="G277" s="364"/>
      <c r="H277" s="362"/>
      <c r="I277" s="364"/>
      <c r="K277" s="364"/>
      <c r="L277" s="364"/>
    </row>
    <row r="278" spans="1:12" s="363" customFormat="1" ht="13.5" customHeight="1">
      <c r="A278" s="303"/>
      <c r="B278" s="362"/>
      <c r="C278" s="303"/>
      <c r="E278" s="364"/>
      <c r="F278" s="364"/>
      <c r="G278" s="364"/>
      <c r="H278" s="362"/>
      <c r="I278" s="364"/>
      <c r="K278" s="364"/>
      <c r="L278" s="364"/>
    </row>
    <row r="279" spans="1:12" s="363" customFormat="1" ht="13.5" customHeight="1">
      <c r="A279" s="303"/>
      <c r="B279" s="362"/>
      <c r="C279" s="303"/>
      <c r="E279" s="364"/>
      <c r="F279" s="364"/>
      <c r="G279" s="364"/>
      <c r="H279" s="362"/>
      <c r="I279" s="364"/>
      <c r="K279" s="364"/>
      <c r="L279" s="364"/>
    </row>
    <row r="280" spans="1:12" s="363" customFormat="1" ht="13.5" customHeight="1">
      <c r="A280" s="303"/>
      <c r="B280" s="362"/>
      <c r="C280" s="303"/>
      <c r="E280" s="364"/>
      <c r="F280" s="364"/>
      <c r="G280" s="364"/>
      <c r="H280" s="362"/>
      <c r="I280" s="364"/>
      <c r="K280" s="364"/>
      <c r="L280" s="364"/>
    </row>
    <row r="281" spans="1:12" s="363" customFormat="1" ht="13.5" customHeight="1">
      <c r="A281" s="303"/>
      <c r="B281" s="362"/>
      <c r="C281" s="303"/>
      <c r="E281" s="364"/>
      <c r="F281" s="364"/>
      <c r="G281" s="364"/>
      <c r="H281" s="362"/>
      <c r="I281" s="364"/>
      <c r="K281" s="364"/>
      <c r="L281" s="364"/>
    </row>
    <row r="282" spans="1:12" s="363" customFormat="1" ht="13.5" customHeight="1">
      <c r="A282" s="303"/>
      <c r="B282" s="362"/>
      <c r="C282" s="303"/>
      <c r="E282" s="364"/>
      <c r="F282" s="364"/>
      <c r="G282" s="364"/>
      <c r="H282" s="362"/>
      <c r="I282" s="364"/>
      <c r="K282" s="364"/>
      <c r="L282" s="364"/>
    </row>
    <row r="283" spans="1:12" s="363" customFormat="1" ht="13.5" customHeight="1">
      <c r="A283" s="303"/>
      <c r="B283" s="362"/>
      <c r="C283" s="303"/>
      <c r="E283" s="364"/>
      <c r="F283" s="364"/>
      <c r="G283" s="364"/>
      <c r="H283" s="362"/>
      <c r="I283" s="364"/>
      <c r="K283" s="364"/>
      <c r="L283" s="364"/>
    </row>
    <row r="284" spans="1:12" s="363" customFormat="1" ht="13.5" customHeight="1">
      <c r="A284" s="303"/>
      <c r="B284" s="362"/>
      <c r="C284" s="303"/>
      <c r="E284" s="364"/>
      <c r="F284" s="364"/>
      <c r="G284" s="364"/>
      <c r="H284" s="362"/>
      <c r="I284" s="364"/>
      <c r="K284" s="364"/>
      <c r="L284" s="364"/>
    </row>
    <row r="285" spans="1:12" s="363" customFormat="1" ht="13.5" customHeight="1">
      <c r="A285" s="303"/>
      <c r="B285" s="362"/>
      <c r="C285" s="303"/>
      <c r="E285" s="364"/>
      <c r="F285" s="364"/>
      <c r="G285" s="364"/>
      <c r="H285" s="362"/>
      <c r="I285" s="364"/>
      <c r="K285" s="364"/>
      <c r="L285" s="364"/>
    </row>
    <row r="286" spans="1:12" s="363" customFormat="1" ht="13.5" customHeight="1">
      <c r="A286" s="303"/>
      <c r="B286" s="362"/>
      <c r="C286" s="303"/>
      <c r="E286" s="364"/>
      <c r="F286" s="364"/>
      <c r="G286" s="364"/>
      <c r="H286" s="362"/>
      <c r="I286" s="364"/>
      <c r="K286" s="364"/>
      <c r="L286" s="364"/>
    </row>
    <row r="287" spans="1:12" s="363" customFormat="1" ht="13.5" customHeight="1">
      <c r="A287" s="303"/>
      <c r="B287" s="362"/>
      <c r="C287" s="303"/>
      <c r="E287" s="364"/>
      <c r="F287" s="364"/>
      <c r="G287" s="364"/>
      <c r="H287" s="362"/>
      <c r="I287" s="364"/>
      <c r="K287" s="364"/>
      <c r="L287" s="364"/>
    </row>
    <row r="288" spans="1:12" s="363" customFormat="1" ht="13.5" customHeight="1">
      <c r="A288" s="303"/>
      <c r="B288" s="362"/>
      <c r="C288" s="303"/>
      <c r="E288" s="364"/>
      <c r="F288" s="364"/>
      <c r="G288" s="364"/>
      <c r="H288" s="362"/>
      <c r="I288" s="364"/>
      <c r="K288" s="364"/>
      <c r="L288" s="364"/>
    </row>
    <row r="289" spans="1:12" s="363" customFormat="1" ht="13.5" customHeight="1">
      <c r="A289" s="303"/>
      <c r="B289" s="362"/>
      <c r="C289" s="303"/>
      <c r="E289" s="364"/>
      <c r="F289" s="364"/>
      <c r="G289" s="364"/>
      <c r="H289" s="362"/>
      <c r="I289" s="364"/>
      <c r="K289" s="364"/>
      <c r="L289" s="364"/>
    </row>
    <row r="290" spans="1:12" s="363" customFormat="1" ht="13.5" customHeight="1">
      <c r="A290" s="303"/>
      <c r="B290" s="362"/>
      <c r="C290" s="303"/>
      <c r="E290" s="364"/>
      <c r="F290" s="364"/>
      <c r="G290" s="364"/>
      <c r="H290" s="362"/>
      <c r="I290" s="364"/>
      <c r="K290" s="364"/>
      <c r="L290" s="364"/>
    </row>
    <row r="291" spans="1:12" s="363" customFormat="1" ht="13.5" customHeight="1">
      <c r="A291" s="303"/>
      <c r="B291" s="362"/>
      <c r="C291" s="303"/>
      <c r="E291" s="364"/>
      <c r="F291" s="364"/>
      <c r="G291" s="364"/>
      <c r="H291" s="362"/>
      <c r="I291" s="364"/>
      <c r="K291" s="364"/>
      <c r="L291" s="364"/>
    </row>
    <row r="292" spans="1:12" s="363" customFormat="1" ht="13.5" customHeight="1">
      <c r="A292" s="303"/>
      <c r="B292" s="362"/>
      <c r="C292" s="303"/>
      <c r="E292" s="364"/>
      <c r="F292" s="364"/>
      <c r="G292" s="364"/>
      <c r="H292" s="362"/>
      <c r="I292" s="364"/>
      <c r="K292" s="364"/>
      <c r="L292" s="364"/>
    </row>
    <row r="293" spans="1:12" s="363" customFormat="1" ht="13.5" customHeight="1">
      <c r="A293" s="303"/>
      <c r="B293" s="362"/>
      <c r="C293" s="303"/>
      <c r="E293" s="364"/>
      <c r="F293" s="364"/>
      <c r="G293" s="364"/>
      <c r="H293" s="362"/>
      <c r="I293" s="364"/>
      <c r="K293" s="364"/>
      <c r="L293" s="364"/>
    </row>
    <row r="294" spans="1:12" s="363" customFormat="1" ht="13.5" customHeight="1">
      <c r="A294" s="303"/>
      <c r="B294" s="362"/>
      <c r="C294" s="303"/>
      <c r="E294" s="364"/>
      <c r="F294" s="364"/>
      <c r="G294" s="364"/>
      <c r="H294" s="362"/>
      <c r="I294" s="364"/>
      <c r="K294" s="364"/>
      <c r="L294" s="364"/>
    </row>
    <row r="295" spans="1:12" s="363" customFormat="1" ht="13.5" customHeight="1">
      <c r="A295" s="303"/>
      <c r="B295" s="362"/>
      <c r="C295" s="303"/>
      <c r="E295" s="364"/>
      <c r="F295" s="364"/>
      <c r="G295" s="364"/>
      <c r="H295" s="362"/>
      <c r="I295" s="364"/>
      <c r="K295" s="364"/>
      <c r="L295" s="364"/>
    </row>
    <row r="296" spans="1:12" s="363" customFormat="1" ht="13.5" customHeight="1">
      <c r="A296" s="303"/>
      <c r="B296" s="362"/>
      <c r="C296" s="303"/>
      <c r="E296" s="364"/>
      <c r="F296" s="364"/>
      <c r="G296" s="364"/>
      <c r="H296" s="362"/>
      <c r="I296" s="364"/>
      <c r="K296" s="364"/>
      <c r="L296" s="364"/>
    </row>
    <row r="297" spans="1:12" s="363" customFormat="1" ht="13.5" customHeight="1">
      <c r="A297" s="303"/>
      <c r="B297" s="362"/>
      <c r="C297" s="303"/>
      <c r="E297" s="364"/>
      <c r="F297" s="364"/>
      <c r="G297" s="364"/>
      <c r="H297" s="362"/>
      <c r="I297" s="364"/>
      <c r="K297" s="364"/>
      <c r="L297" s="364"/>
    </row>
    <row r="298" spans="1:12" s="363" customFormat="1" ht="13.5" customHeight="1">
      <c r="A298" s="303"/>
      <c r="B298" s="362"/>
      <c r="C298" s="303"/>
      <c r="E298" s="364"/>
      <c r="F298" s="364"/>
      <c r="G298" s="364"/>
      <c r="H298" s="362"/>
      <c r="I298" s="364"/>
      <c r="K298" s="364"/>
      <c r="L298" s="364"/>
    </row>
    <row r="299" spans="1:12" s="363" customFormat="1" ht="13.5" customHeight="1">
      <c r="A299" s="303"/>
      <c r="B299" s="362"/>
      <c r="C299" s="303"/>
      <c r="E299" s="364"/>
      <c r="F299" s="364"/>
      <c r="G299" s="364"/>
      <c r="H299" s="362"/>
      <c r="I299" s="364"/>
      <c r="K299" s="364"/>
      <c r="L299" s="364"/>
    </row>
    <row r="300" spans="1:12" s="363" customFormat="1" ht="13.5" customHeight="1">
      <c r="A300" s="303"/>
      <c r="B300" s="362"/>
      <c r="C300" s="303"/>
      <c r="E300" s="364"/>
      <c r="F300" s="364"/>
      <c r="G300" s="364"/>
      <c r="H300" s="362"/>
      <c r="I300" s="364"/>
      <c r="K300" s="364"/>
      <c r="L300" s="364"/>
    </row>
    <row r="301" spans="1:12" s="363" customFormat="1" ht="13.5" customHeight="1">
      <c r="A301" s="303"/>
      <c r="B301" s="362"/>
      <c r="C301" s="303"/>
      <c r="E301" s="364"/>
      <c r="F301" s="364"/>
      <c r="G301" s="364"/>
      <c r="H301" s="362"/>
      <c r="I301" s="364"/>
      <c r="K301" s="364"/>
      <c r="L301" s="364"/>
    </row>
    <row r="302" spans="1:12" s="363" customFormat="1" ht="13.5" customHeight="1">
      <c r="A302" s="303"/>
      <c r="B302" s="362"/>
      <c r="C302" s="303"/>
      <c r="E302" s="364"/>
      <c r="F302" s="364"/>
      <c r="G302" s="364"/>
      <c r="H302" s="362"/>
      <c r="I302" s="364"/>
      <c r="K302" s="364"/>
      <c r="L302" s="364"/>
    </row>
    <row r="303" spans="1:12" s="363" customFormat="1" ht="13.5" customHeight="1">
      <c r="A303" s="303"/>
      <c r="B303" s="362"/>
      <c r="C303" s="303"/>
      <c r="E303" s="364"/>
      <c r="F303" s="364"/>
      <c r="G303" s="364"/>
      <c r="H303" s="362"/>
      <c r="I303" s="364"/>
      <c r="K303" s="364"/>
      <c r="L303" s="364"/>
    </row>
    <row r="304" spans="1:12" s="363" customFormat="1" ht="13.5" customHeight="1">
      <c r="A304" s="303"/>
      <c r="B304" s="362"/>
      <c r="C304" s="303"/>
      <c r="E304" s="364"/>
      <c r="F304" s="364"/>
      <c r="G304" s="364"/>
      <c r="H304" s="362"/>
      <c r="I304" s="364"/>
      <c r="K304" s="364"/>
      <c r="L304" s="364"/>
    </row>
    <row r="305" spans="1:12" s="363" customFormat="1" ht="13.5" customHeight="1">
      <c r="A305" s="303"/>
      <c r="B305" s="362"/>
      <c r="C305" s="303"/>
      <c r="E305" s="364"/>
      <c r="F305" s="364"/>
      <c r="G305" s="364"/>
      <c r="H305" s="362"/>
      <c r="I305" s="364"/>
      <c r="K305" s="364"/>
      <c r="L305" s="364"/>
    </row>
    <row r="306" spans="1:12" s="363" customFormat="1" ht="13.5" customHeight="1">
      <c r="A306" s="303"/>
      <c r="B306" s="362"/>
      <c r="C306" s="303"/>
      <c r="E306" s="364"/>
      <c r="F306" s="364"/>
      <c r="G306" s="364"/>
      <c r="H306" s="362"/>
      <c r="I306" s="364"/>
      <c r="K306" s="364"/>
      <c r="L306" s="364"/>
    </row>
    <row r="307" spans="1:12" s="363" customFormat="1" ht="13.5" customHeight="1">
      <c r="A307" s="303"/>
      <c r="B307" s="362"/>
      <c r="C307" s="303"/>
      <c r="E307" s="364"/>
      <c r="F307" s="364"/>
      <c r="G307" s="364"/>
      <c r="H307" s="362"/>
      <c r="I307" s="364"/>
      <c r="K307" s="364"/>
      <c r="L307" s="364"/>
    </row>
    <row r="308" spans="1:12" s="363" customFormat="1" ht="13.5" customHeight="1">
      <c r="A308" s="303"/>
      <c r="B308" s="362"/>
      <c r="C308" s="303"/>
      <c r="E308" s="364"/>
      <c r="F308" s="364"/>
      <c r="G308" s="364"/>
      <c r="H308" s="362"/>
      <c r="I308" s="364"/>
      <c r="K308" s="364"/>
      <c r="L308" s="364"/>
    </row>
    <row r="309" spans="1:12" s="363" customFormat="1" ht="13.5" customHeight="1">
      <c r="A309" s="303"/>
      <c r="B309" s="362"/>
      <c r="C309" s="303"/>
      <c r="E309" s="364"/>
      <c r="F309" s="364"/>
      <c r="G309" s="364"/>
      <c r="H309" s="362"/>
      <c r="I309" s="364"/>
      <c r="K309" s="364"/>
      <c r="L309" s="364"/>
    </row>
    <row r="310" spans="1:12" s="363" customFormat="1" ht="13.5" customHeight="1">
      <c r="A310" s="303"/>
      <c r="B310" s="362"/>
      <c r="C310" s="303"/>
      <c r="E310" s="364"/>
      <c r="F310" s="364"/>
      <c r="G310" s="364"/>
      <c r="H310" s="362"/>
      <c r="I310" s="364"/>
      <c r="K310" s="364"/>
      <c r="L310" s="364"/>
    </row>
    <row r="311" spans="1:12" s="363" customFormat="1" ht="13.5" customHeight="1">
      <c r="A311" s="303"/>
      <c r="B311" s="362"/>
      <c r="C311" s="303"/>
      <c r="E311" s="364"/>
      <c r="F311" s="364"/>
      <c r="G311" s="364"/>
      <c r="H311" s="362"/>
      <c r="I311" s="364"/>
      <c r="K311" s="364"/>
      <c r="L311" s="364"/>
    </row>
    <row r="312" spans="1:12" s="363" customFormat="1" ht="13.5" customHeight="1">
      <c r="A312" s="303"/>
      <c r="B312" s="362"/>
      <c r="C312" s="303"/>
      <c r="E312" s="364"/>
      <c r="F312" s="364"/>
      <c r="G312" s="364"/>
      <c r="H312" s="362"/>
      <c r="I312" s="364"/>
      <c r="K312" s="364"/>
      <c r="L312" s="364"/>
    </row>
    <row r="313" spans="1:12" s="363" customFormat="1" ht="13.5" customHeight="1">
      <c r="A313" s="303"/>
      <c r="B313" s="362"/>
      <c r="C313" s="303"/>
      <c r="E313" s="364"/>
      <c r="F313" s="364"/>
      <c r="G313" s="364"/>
      <c r="H313" s="362"/>
      <c r="I313" s="364"/>
      <c r="K313" s="364"/>
      <c r="L313" s="364"/>
    </row>
    <row r="314" spans="1:12" s="363" customFormat="1" ht="13.5" customHeight="1">
      <c r="A314" s="303"/>
      <c r="B314" s="362"/>
      <c r="C314" s="303"/>
      <c r="E314" s="364"/>
      <c r="F314" s="364"/>
      <c r="G314" s="364"/>
      <c r="H314" s="362"/>
      <c r="I314" s="364"/>
      <c r="K314" s="364"/>
      <c r="L314" s="364"/>
    </row>
    <row r="315" spans="1:12" s="363" customFormat="1" ht="13.5" customHeight="1">
      <c r="A315" s="303"/>
      <c r="B315" s="362"/>
      <c r="C315" s="303"/>
      <c r="E315" s="364"/>
      <c r="F315" s="364"/>
      <c r="G315" s="364"/>
      <c r="H315" s="362"/>
      <c r="I315" s="364"/>
      <c r="K315" s="364"/>
      <c r="L315" s="364"/>
    </row>
    <row r="316" spans="1:12" s="363" customFormat="1" ht="13.5" customHeight="1">
      <c r="A316" s="303"/>
      <c r="B316" s="362"/>
      <c r="C316" s="303"/>
      <c r="E316" s="364"/>
      <c r="F316" s="364"/>
      <c r="G316" s="364"/>
      <c r="H316" s="362"/>
      <c r="I316" s="364"/>
      <c r="K316" s="364"/>
      <c r="L316" s="364"/>
    </row>
    <row r="317" spans="1:12" s="363" customFormat="1" ht="13.5" customHeight="1">
      <c r="A317" s="303"/>
      <c r="B317" s="362"/>
      <c r="C317" s="303"/>
      <c r="E317" s="364"/>
      <c r="F317" s="364"/>
      <c r="G317" s="364"/>
      <c r="H317" s="362"/>
      <c r="I317" s="364"/>
      <c r="K317" s="364"/>
      <c r="L317" s="364"/>
    </row>
    <row r="318" spans="1:12" s="363" customFormat="1" ht="13.5" customHeight="1">
      <c r="A318" s="303"/>
      <c r="B318" s="362"/>
      <c r="C318" s="303"/>
      <c r="E318" s="364"/>
      <c r="F318" s="364"/>
      <c r="G318" s="364"/>
      <c r="H318" s="362"/>
      <c r="I318" s="364"/>
      <c r="K318" s="364"/>
      <c r="L318" s="364"/>
    </row>
    <row r="319" spans="1:12" s="363" customFormat="1" ht="13.5" customHeight="1">
      <c r="A319" s="303"/>
      <c r="B319" s="362"/>
      <c r="C319" s="303"/>
      <c r="E319" s="364"/>
      <c r="F319" s="364"/>
      <c r="G319" s="364"/>
      <c r="H319" s="362"/>
      <c r="I319" s="364"/>
      <c r="K319" s="364"/>
      <c r="L319" s="364"/>
    </row>
    <row r="320" spans="1:12" s="363" customFormat="1" ht="13.5" customHeight="1">
      <c r="A320" s="303"/>
      <c r="B320" s="362"/>
      <c r="C320" s="303"/>
      <c r="E320" s="364"/>
      <c r="F320" s="364"/>
      <c r="G320" s="364"/>
      <c r="H320" s="362"/>
      <c r="I320" s="364"/>
      <c r="K320" s="364"/>
      <c r="L320" s="364"/>
    </row>
    <row r="321" spans="1:12" s="363" customFormat="1" ht="13.5" customHeight="1">
      <c r="A321" s="303"/>
      <c r="B321" s="362"/>
      <c r="C321" s="303"/>
      <c r="E321" s="364"/>
      <c r="F321" s="364"/>
      <c r="G321" s="364"/>
      <c r="H321" s="362"/>
      <c r="I321" s="364"/>
      <c r="K321" s="364"/>
      <c r="L321" s="364"/>
    </row>
    <row r="322" spans="1:12" s="363" customFormat="1" ht="13.5" customHeight="1">
      <c r="A322" s="303"/>
      <c r="B322" s="362"/>
      <c r="C322" s="303"/>
      <c r="E322" s="364"/>
      <c r="F322" s="364"/>
      <c r="G322" s="364"/>
      <c r="H322" s="362"/>
      <c r="I322" s="364"/>
      <c r="K322" s="364"/>
      <c r="L322" s="364"/>
    </row>
    <row r="323" spans="1:12" s="363" customFormat="1" ht="13.5" customHeight="1">
      <c r="A323" s="303"/>
      <c r="B323" s="362"/>
      <c r="C323" s="303"/>
      <c r="E323" s="364"/>
      <c r="F323" s="364"/>
      <c r="G323" s="364"/>
      <c r="H323" s="362"/>
      <c r="I323" s="364"/>
      <c r="K323" s="364"/>
      <c r="L323" s="364"/>
    </row>
    <row r="324" spans="1:12" s="363" customFormat="1" ht="13.5" customHeight="1">
      <c r="A324" s="303"/>
      <c r="B324" s="362"/>
      <c r="C324" s="303"/>
      <c r="E324" s="364"/>
      <c r="F324" s="364"/>
      <c r="G324" s="364"/>
      <c r="H324" s="362"/>
      <c r="I324" s="364"/>
      <c r="K324" s="364"/>
      <c r="L324" s="364"/>
    </row>
    <row r="325" spans="1:12" s="363" customFormat="1" ht="13.5" customHeight="1">
      <c r="A325" s="303"/>
      <c r="B325" s="362"/>
      <c r="C325" s="303"/>
      <c r="E325" s="364"/>
      <c r="F325" s="364"/>
      <c r="G325" s="364"/>
      <c r="H325" s="362"/>
      <c r="I325" s="364"/>
      <c r="K325" s="364"/>
      <c r="L325" s="364"/>
    </row>
    <row r="326" spans="1:12" s="363" customFormat="1" ht="13.5" customHeight="1">
      <c r="A326" s="303"/>
      <c r="B326" s="362"/>
      <c r="C326" s="303"/>
      <c r="E326" s="364"/>
      <c r="F326" s="364"/>
      <c r="G326" s="364"/>
      <c r="H326" s="362"/>
      <c r="I326" s="364"/>
      <c r="K326" s="364"/>
      <c r="L326" s="364"/>
    </row>
    <row r="327" spans="1:12" s="363" customFormat="1" ht="13.5" customHeight="1">
      <c r="A327" s="303"/>
      <c r="B327" s="362"/>
      <c r="C327" s="303"/>
      <c r="E327" s="364"/>
      <c r="F327" s="364"/>
      <c r="G327" s="364"/>
      <c r="H327" s="362"/>
      <c r="I327" s="364"/>
      <c r="K327" s="364"/>
      <c r="L327" s="364"/>
    </row>
    <row r="328" spans="1:12" s="363" customFormat="1" ht="13.5" customHeight="1">
      <c r="A328" s="303"/>
      <c r="B328" s="362"/>
      <c r="C328" s="303"/>
      <c r="E328" s="364"/>
      <c r="F328" s="364"/>
      <c r="G328" s="364"/>
      <c r="H328" s="362"/>
      <c r="I328" s="364"/>
      <c r="K328" s="364"/>
      <c r="L328" s="364"/>
    </row>
    <row r="329" spans="1:12" s="363" customFormat="1" ht="13.5" customHeight="1">
      <c r="A329" s="303"/>
      <c r="B329" s="362"/>
      <c r="C329" s="303"/>
      <c r="E329" s="364"/>
      <c r="F329" s="364"/>
      <c r="G329" s="364"/>
      <c r="H329" s="362"/>
      <c r="I329" s="364"/>
      <c r="K329" s="364"/>
      <c r="L329" s="364"/>
    </row>
    <row r="330" spans="1:12" s="363" customFormat="1" ht="13.5" customHeight="1">
      <c r="A330" s="303"/>
      <c r="B330" s="362"/>
      <c r="C330" s="303"/>
      <c r="E330" s="364"/>
      <c r="F330" s="364"/>
      <c r="G330" s="364"/>
      <c r="H330" s="362"/>
      <c r="I330" s="364"/>
      <c r="K330" s="364"/>
      <c r="L330" s="364"/>
    </row>
    <row r="331" spans="1:12" s="363" customFormat="1" ht="13.5" customHeight="1">
      <c r="A331" s="303"/>
      <c r="B331" s="362"/>
      <c r="C331" s="303"/>
      <c r="E331" s="364"/>
      <c r="F331" s="364"/>
      <c r="G331" s="364"/>
      <c r="H331" s="362"/>
      <c r="I331" s="364"/>
      <c r="K331" s="364"/>
      <c r="L331" s="364"/>
    </row>
    <row r="332" spans="1:12" s="363" customFormat="1" ht="13.5" customHeight="1">
      <c r="A332" s="303"/>
      <c r="B332" s="362"/>
      <c r="C332" s="303"/>
      <c r="E332" s="364"/>
      <c r="F332" s="364"/>
      <c r="G332" s="364"/>
      <c r="H332" s="362"/>
      <c r="I332" s="364"/>
      <c r="K332" s="364"/>
      <c r="L332" s="364"/>
    </row>
    <row r="333" spans="1:12" s="363" customFormat="1" ht="13.5" customHeight="1">
      <c r="A333" s="303"/>
      <c r="B333" s="362"/>
      <c r="C333" s="303"/>
      <c r="E333" s="364"/>
      <c r="F333" s="364"/>
      <c r="G333" s="364"/>
      <c r="H333" s="362"/>
      <c r="I333" s="364"/>
      <c r="K333" s="364"/>
      <c r="L333" s="364"/>
    </row>
    <row r="334" spans="1:12" s="363" customFormat="1" ht="13.5" customHeight="1">
      <c r="A334" s="303"/>
      <c r="B334" s="362"/>
      <c r="C334" s="303"/>
      <c r="E334" s="364"/>
      <c r="F334" s="364"/>
      <c r="G334" s="364"/>
      <c r="H334" s="362"/>
      <c r="I334" s="364"/>
      <c r="K334" s="364"/>
      <c r="L334" s="364"/>
    </row>
    <row r="335" spans="1:12" s="363" customFormat="1" ht="13.5" customHeight="1">
      <c r="A335" s="303"/>
      <c r="B335" s="362"/>
      <c r="C335" s="303"/>
      <c r="E335" s="364"/>
      <c r="F335" s="364"/>
      <c r="G335" s="364"/>
      <c r="H335" s="362"/>
      <c r="I335" s="364"/>
      <c r="K335" s="364"/>
      <c r="L335" s="364"/>
    </row>
    <row r="336" spans="1:12" s="363" customFormat="1" ht="13.5" customHeight="1">
      <c r="A336" s="303"/>
      <c r="B336" s="362"/>
      <c r="C336" s="303"/>
      <c r="E336" s="364"/>
      <c r="F336" s="364"/>
      <c r="G336" s="364"/>
      <c r="H336" s="362"/>
      <c r="I336" s="364"/>
      <c r="K336" s="364"/>
      <c r="L336" s="364"/>
    </row>
    <row r="337" spans="1:12" s="363" customFormat="1" ht="13.5" customHeight="1">
      <c r="A337" s="303"/>
      <c r="B337" s="362"/>
      <c r="C337" s="303"/>
      <c r="E337" s="364"/>
      <c r="F337" s="364"/>
      <c r="G337" s="364"/>
      <c r="H337" s="362"/>
      <c r="I337" s="364"/>
      <c r="K337" s="364"/>
      <c r="L337" s="364"/>
    </row>
    <row r="338" spans="1:12" s="363" customFormat="1" ht="13.5" customHeight="1">
      <c r="A338" s="303"/>
      <c r="B338" s="362"/>
      <c r="C338" s="303"/>
      <c r="E338" s="364"/>
      <c r="F338" s="364"/>
      <c r="G338" s="364"/>
      <c r="H338" s="362"/>
      <c r="I338" s="364"/>
      <c r="K338" s="364"/>
      <c r="L338" s="364"/>
    </row>
  </sheetData>
  <mergeCells count="14">
    <mergeCell ref="J3:J5"/>
    <mergeCell ref="K3:K5"/>
    <mergeCell ref="L3:L5"/>
    <mergeCell ref="I6:I7"/>
    <mergeCell ref="H1:I1"/>
    <mergeCell ref="A3:A5"/>
    <mergeCell ref="B3:B5"/>
    <mergeCell ref="C3:C5"/>
    <mergeCell ref="D3:D5"/>
    <mergeCell ref="E3:E5"/>
    <mergeCell ref="F3:F5"/>
    <mergeCell ref="G3:G5"/>
    <mergeCell ref="H3:H5"/>
    <mergeCell ref="I3:I5"/>
  </mergeCells>
  <phoneticPr fontId="4"/>
  <printOptions horizontalCentered="1" gridLinesSet="0"/>
  <pageMargins left="0.39370078740157483" right="0.39370078740157483" top="0.78740157480314965" bottom="0.51181102362204722" header="0.59055118110236227" footer="0.31496062992125984"/>
  <pageSetup paperSize="9" scale="93" fitToHeight="0" orientation="landscape" horizontalDpi="4294967292" verticalDpi="400" r:id="rId1"/>
  <headerFooter scaleWithDoc="0" alignWithMargins="0">
    <oddFooter>&amp;C&amp;"ＭＳ Ｐゴシック,標準"&amp;9( &amp;P / &amp;N )</oddFooter>
  </headerFooter>
  <rowBreaks count="2" manualBreakCount="2">
    <brk id="39" max="16383" man="1"/>
    <brk id="73"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247</v>
      </c>
    </row>
    <row r="6" spans="1:5" ht="30" customHeight="1">
      <c r="A6" s="6"/>
    </row>
    <row r="7" spans="1:5" ht="30" customHeight="1">
      <c r="A7" s="6" t="s">
        <v>248</v>
      </c>
    </row>
    <row r="8" spans="1:5" ht="30" customHeight="1">
      <c r="A8" s="6"/>
    </row>
    <row r="9" spans="1:5" ht="30" customHeight="1">
      <c r="A9" s="6"/>
    </row>
    <row r="10" spans="1:5" ht="30" customHeight="1">
      <c r="A10" s="6"/>
    </row>
    <row r="11" spans="1:5" ht="30" customHeight="1">
      <c r="A11" s="6"/>
    </row>
    <row r="12" spans="1:5" ht="30" customHeight="1">
      <c r="A12" s="6"/>
    </row>
    <row r="13" spans="1:5" ht="30" customHeight="1">
      <c r="A13" s="6"/>
    </row>
  </sheetData>
  <sheetProtection insertRows="0" deleteRows="0" sort="0" autoFilter="0"/>
  <phoneticPr fontId="4"/>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alignWithMargins="0">
    <oddFooter>&amp;C&amp;"ＭＳ Ｐゴシック,標準"&amp;9( &amp;P / &amp;N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O89"/>
  <sheetViews>
    <sheetView showGridLines="0" zoomScale="70" zoomScaleNormal="70" workbookViewId="0">
      <pane ySplit="8" topLeftCell="A9" activePane="bottomLeft" state="frozenSplit"/>
      <selection pane="bottomLeft"/>
    </sheetView>
  </sheetViews>
  <sheetFormatPr defaultColWidth="7.42578125" defaultRowHeight="20.100000000000001" customHeight="1"/>
  <cols>
    <col min="1" max="1" width="5" style="389" customWidth="1"/>
    <col min="2" max="6" width="9.5703125" style="389" customWidth="1"/>
    <col min="7" max="7" width="4.7109375" style="389" customWidth="1"/>
    <col min="8" max="8" width="7.7109375" style="389" customWidth="1"/>
    <col min="9" max="9" width="4.7109375" style="389" customWidth="1"/>
    <col min="10" max="10" width="7.7109375" style="389" customWidth="1"/>
    <col min="11" max="11" width="4.7109375" style="389" customWidth="1"/>
    <col min="12" max="12" width="7.7109375" style="389" customWidth="1"/>
    <col min="13" max="13" width="4.7109375" style="389" customWidth="1"/>
    <col min="14" max="14" width="7.7109375" style="389" customWidth="1"/>
    <col min="15" max="15" width="4.7109375" style="389" customWidth="1"/>
    <col min="16" max="16" width="7.7109375" style="389" customWidth="1"/>
    <col min="17" max="17" width="4.7109375" style="389" customWidth="1"/>
    <col min="18" max="18" width="7.7109375" style="389" customWidth="1"/>
    <col min="19" max="19" width="4.7109375" style="389" customWidth="1"/>
    <col min="20" max="20" width="7.7109375" style="389" customWidth="1"/>
    <col min="21" max="21" width="4.7109375" style="389" customWidth="1"/>
    <col min="22" max="22" width="7.7109375" style="389" customWidth="1"/>
    <col min="23" max="23" width="4.7109375" style="389" customWidth="1"/>
    <col min="24" max="24" width="7.7109375" style="389" customWidth="1"/>
    <col min="25" max="25" width="4.7109375" style="389" customWidth="1"/>
    <col min="26" max="26" width="7.7109375" style="389" customWidth="1"/>
    <col min="27" max="27" width="4.7109375" style="389" customWidth="1"/>
    <col min="28" max="28" width="7.7109375" style="389" customWidth="1"/>
    <col min="29" max="29" width="4.7109375" style="389" customWidth="1"/>
    <col min="30" max="30" width="7.7109375" style="389" customWidth="1"/>
    <col min="31" max="31" width="4.7109375" style="389" customWidth="1"/>
    <col min="32" max="32" width="7.7109375" style="389" customWidth="1"/>
    <col min="33" max="33" width="4.7109375" style="389" customWidth="1"/>
    <col min="34" max="34" width="7.7109375" style="389" customWidth="1"/>
    <col min="35" max="35" width="4.7109375" style="389" customWidth="1"/>
    <col min="36" max="36" width="7.7109375" style="389" customWidth="1"/>
    <col min="37" max="37" width="4.7109375" style="389" customWidth="1"/>
    <col min="38" max="38" width="7.7109375" style="389" customWidth="1"/>
    <col min="39" max="39" width="4.7109375" style="389" customWidth="1"/>
    <col min="40" max="40" width="7.7109375" style="389" customWidth="1"/>
    <col min="41" max="41" width="4.7109375" style="389" customWidth="1"/>
    <col min="42" max="42" width="7.7109375" style="389" customWidth="1"/>
    <col min="43" max="43" width="4.7109375" style="389" customWidth="1"/>
    <col min="44" max="44" width="7.7109375" style="389" customWidth="1"/>
    <col min="45" max="45" width="4.7109375" style="389" customWidth="1"/>
    <col min="46" max="46" width="7.7109375" style="389" customWidth="1"/>
    <col min="47" max="47" width="4.7109375" style="389" customWidth="1"/>
    <col min="48" max="48" width="7.7109375" style="389" customWidth="1"/>
    <col min="49" max="49" width="4.7109375" style="389" customWidth="1"/>
    <col min="50" max="50" width="7.7109375" style="389" customWidth="1"/>
    <col min="51" max="51" width="4.7109375" style="389" customWidth="1"/>
    <col min="52" max="52" width="7.7109375" style="389" customWidth="1"/>
    <col min="53" max="53" width="4.7109375" style="389" customWidth="1"/>
    <col min="54" max="54" width="7.7109375" style="389" customWidth="1"/>
    <col min="55" max="55" width="4.28515625" style="1207" customWidth="1"/>
    <col min="56" max="56" width="5" style="389" customWidth="1"/>
    <col min="57" max="61" width="9.5703125" style="389" customWidth="1"/>
    <col min="62" max="62" width="4.7109375" style="389" customWidth="1"/>
    <col min="63" max="63" width="7.7109375" style="389" customWidth="1"/>
    <col min="64" max="64" width="4.7109375" style="389" customWidth="1"/>
    <col min="65" max="65" width="7.7109375" style="389" customWidth="1"/>
    <col min="66" max="66" width="4.7109375" style="389" customWidth="1"/>
    <col min="67" max="67" width="7.7109375" style="389" customWidth="1"/>
    <col min="68" max="68" width="4.7109375" style="389" customWidth="1"/>
    <col min="69" max="69" width="7.7109375" style="389" customWidth="1"/>
    <col min="70" max="70" width="4.7109375" style="389" customWidth="1"/>
    <col min="71" max="71" width="7.7109375" style="389" customWidth="1"/>
    <col min="72" max="72" width="4.7109375" style="389" customWidth="1"/>
    <col min="73" max="73" width="7.7109375" style="389" customWidth="1"/>
    <col min="74" max="74" width="4.7109375" style="389" customWidth="1"/>
    <col min="75" max="75" width="7.7109375" style="389" customWidth="1"/>
    <col min="76" max="76" width="4.7109375" style="389" customWidth="1"/>
    <col min="77" max="77" width="7.7109375" style="389" customWidth="1"/>
    <col min="78" max="78" width="4.7109375" style="389" customWidth="1"/>
    <col min="79" max="79" width="7.7109375" style="389" customWidth="1"/>
    <col min="80" max="80" width="4.7109375" style="389" customWidth="1"/>
    <col min="81" max="81" width="7.7109375" style="389" customWidth="1"/>
    <col min="82" max="82" width="4.7109375" style="389" customWidth="1"/>
    <col min="83" max="83" width="7.7109375" style="389" customWidth="1"/>
    <col min="84" max="84" width="4.7109375" style="389" customWidth="1"/>
    <col min="85" max="85" width="7.7109375" style="389" customWidth="1"/>
    <col min="86" max="86" width="4.7109375" style="389" customWidth="1"/>
    <col min="87" max="87" width="7.7109375" style="389" customWidth="1"/>
    <col min="88" max="88" width="4.7109375" style="389" customWidth="1"/>
    <col min="89" max="89" width="7.7109375" style="389" customWidth="1"/>
    <col min="90" max="90" width="4.7109375" style="389" customWidth="1"/>
    <col min="91" max="91" width="7.7109375" style="389" customWidth="1"/>
    <col min="92" max="92" width="4.7109375" style="389" customWidth="1"/>
    <col min="93" max="93" width="7.7109375" style="389" customWidth="1"/>
    <col min="94" max="94" width="4.7109375" style="389" customWidth="1"/>
    <col min="95" max="95" width="7.7109375" style="389" customWidth="1"/>
    <col min="96" max="96" width="4.7109375" style="389" customWidth="1"/>
    <col min="97" max="97" width="7.7109375" style="389" customWidth="1"/>
    <col min="98" max="98" width="4.7109375" style="389" customWidth="1"/>
    <col min="99" max="99" width="7.7109375" style="389" customWidth="1"/>
    <col min="100" max="100" width="4.7109375" style="389" customWidth="1"/>
    <col min="101" max="101" width="7.7109375" style="389" customWidth="1"/>
    <col min="102" max="102" width="4.7109375" style="389" customWidth="1"/>
    <col min="103" max="103" width="7.7109375" style="389" customWidth="1"/>
    <col min="104" max="104" width="4.7109375" style="389" customWidth="1"/>
    <col min="105" max="105" width="7.7109375" style="389" customWidth="1"/>
    <col min="106" max="106" width="4.7109375" style="389" customWidth="1"/>
    <col min="107" max="107" width="7.7109375" style="389" customWidth="1"/>
    <col min="108" max="108" width="4.7109375" style="389" customWidth="1"/>
    <col min="109" max="109" width="7.7109375" style="389" customWidth="1"/>
    <col min="110" max="110" width="4.7109375" style="1207" customWidth="1"/>
    <col min="111" max="111" width="5" style="389" customWidth="1"/>
    <col min="112" max="116" width="9.5703125" style="389" customWidth="1"/>
    <col min="117" max="117" width="4.7109375" style="389" customWidth="1"/>
    <col min="118" max="118" width="7.7109375" style="389" customWidth="1"/>
    <col min="119" max="119" width="4.7109375" style="389" customWidth="1"/>
    <col min="120" max="120" width="7.7109375" style="389" customWidth="1"/>
    <col min="121" max="121" width="4.7109375" style="389" customWidth="1"/>
    <col min="122" max="122" width="7.7109375" style="389" customWidth="1"/>
    <col min="123" max="123" width="4.7109375" style="389" customWidth="1"/>
    <col min="124" max="124" width="7.7109375" style="389" customWidth="1"/>
    <col min="125" max="125" width="4.7109375" style="389" customWidth="1"/>
    <col min="126" max="126" width="7.7109375" style="389" customWidth="1"/>
    <col min="127" max="127" width="4.7109375" style="389" customWidth="1"/>
    <col min="128" max="128" width="7.7109375" style="389" customWidth="1"/>
    <col min="129" max="129" width="4.7109375" style="389" customWidth="1"/>
    <col min="130" max="130" width="7.7109375" style="389" customWidth="1"/>
    <col min="131" max="131" width="4.7109375" style="389" customWidth="1"/>
    <col min="132" max="132" width="7.7109375" style="389" customWidth="1"/>
    <col min="133" max="133" width="4.7109375" style="389" customWidth="1"/>
    <col min="134" max="134" width="7.7109375" style="389" customWidth="1"/>
    <col min="135" max="135" width="4.7109375" style="389" customWidth="1"/>
    <col min="136" max="136" width="7.7109375" style="389" customWidth="1"/>
    <col min="137" max="137" width="4.7109375" style="389" customWidth="1"/>
    <col min="138" max="138" width="7.7109375" style="389" customWidth="1"/>
    <col min="139" max="139" width="4.7109375" style="389" customWidth="1"/>
    <col min="140" max="140" width="7.7109375" style="389" customWidth="1"/>
    <col min="141" max="141" width="4.7109375" style="389" customWidth="1"/>
    <col min="142" max="142" width="7.7109375" style="389" customWidth="1"/>
    <col min="143" max="143" width="4.7109375" style="389" customWidth="1"/>
    <col min="144" max="144" width="7.7109375" style="389" customWidth="1"/>
    <col min="145" max="145" width="4.7109375" style="389" customWidth="1"/>
    <col min="146" max="146" width="7.7109375" style="389" customWidth="1"/>
    <col min="147" max="147" width="4.7109375" style="389" customWidth="1"/>
    <col min="148" max="148" width="7.7109375" style="389" customWidth="1"/>
    <col min="149" max="149" width="4.7109375" style="389" customWidth="1"/>
    <col min="150" max="150" width="7.7109375" style="389" customWidth="1"/>
    <col min="151" max="151" width="4.7109375" style="389" customWidth="1"/>
    <col min="152" max="152" width="7.7109375" style="389" customWidth="1"/>
    <col min="153" max="153" width="4.7109375" style="389" customWidth="1"/>
    <col min="154" max="154" width="7.7109375" style="389" customWidth="1"/>
    <col min="155" max="155" width="4.7109375" style="389" customWidth="1"/>
    <col min="156" max="156" width="7.7109375" style="389" customWidth="1"/>
    <col min="157" max="157" width="4.7109375" style="389" customWidth="1"/>
    <col min="158" max="158" width="7.7109375" style="389" customWidth="1"/>
    <col min="159" max="159" width="4.7109375" style="389" customWidth="1"/>
    <col min="160" max="160" width="7.7109375" style="389" customWidth="1"/>
    <col min="161" max="161" width="4.7109375" style="389" customWidth="1"/>
    <col min="162" max="162" width="7.7109375" style="389" customWidth="1"/>
    <col min="163" max="163" width="4.7109375" style="389" customWidth="1"/>
    <col min="164" max="164" width="7.7109375" style="389" customWidth="1"/>
    <col min="165" max="165" width="4.7109375" style="1207" customWidth="1"/>
    <col min="166" max="166" width="5" style="389" customWidth="1"/>
    <col min="167" max="171" width="9.5703125" style="389" customWidth="1"/>
    <col min="172" max="173" width="4.7109375" style="389" customWidth="1"/>
    <col min="174" max="174" width="7.7109375" style="389" customWidth="1"/>
    <col min="175" max="176" width="4.7109375" style="389" customWidth="1"/>
    <col min="177" max="177" width="7.7109375" style="389" customWidth="1"/>
    <col min="178" max="178" width="4.7109375" style="389" customWidth="1"/>
    <col min="179" max="179" width="7.7109375" style="389" customWidth="1"/>
    <col min="180" max="180" width="4.7109375" style="389" customWidth="1"/>
    <col min="181" max="181" width="7.7109375" style="389" customWidth="1"/>
    <col min="182" max="182" width="4.7109375" style="389" customWidth="1"/>
    <col min="183" max="183" width="7.7109375" style="389" customWidth="1"/>
    <col min="184" max="184" width="4.7109375" style="389" customWidth="1"/>
    <col min="185" max="185" width="7.7109375" style="389" customWidth="1"/>
    <col min="186" max="186" width="4.7109375" style="389" customWidth="1"/>
    <col min="187" max="187" width="7.7109375" style="389" customWidth="1"/>
    <col min="188" max="188" width="4.7109375" style="389" customWidth="1"/>
    <col min="189" max="191" width="7.7109375" style="1243" customWidth="1"/>
    <col min="192" max="192" width="4.7109375" style="1243" customWidth="1"/>
    <col min="193" max="193" width="6.7109375" style="1243" customWidth="1"/>
    <col min="194" max="199" width="8.7109375" style="1243" customWidth="1"/>
    <col min="200" max="200" width="12.5703125" style="1243" customWidth="1"/>
    <col min="201" max="201" width="7.140625" style="1243" customWidth="1"/>
    <col min="202" max="202" width="4.7109375" style="1243" customWidth="1"/>
    <col min="203" max="203" width="6.7109375" style="1243" customWidth="1"/>
    <col min="204" max="210" width="8.7109375" style="1243" customWidth="1"/>
    <col min="211" max="211" width="4.28515625" style="1207" customWidth="1"/>
    <col min="212" max="212" width="7.42578125" style="389" customWidth="1"/>
    <col min="213" max="213" width="24.5703125" style="389" customWidth="1"/>
    <col min="214" max="214" width="8.85546875" style="389" customWidth="1"/>
    <col min="215" max="16384" width="7.42578125" style="389"/>
  </cols>
  <sheetData>
    <row r="1" spans="1:353" s="382" customFormat="1" ht="42" customHeight="1">
      <c r="A1" s="372" t="s">
        <v>247</v>
      </c>
      <c r="B1" s="373"/>
      <c r="C1" s="373"/>
      <c r="D1" s="373"/>
      <c r="E1" s="373"/>
      <c r="F1" s="373"/>
      <c r="G1" s="373"/>
      <c r="H1" s="374"/>
      <c r="I1" s="374"/>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c r="AW1" s="373"/>
      <c r="AX1" s="375" t="s">
        <v>249</v>
      </c>
      <c r="AY1" s="373" t="s">
        <v>336</v>
      </c>
      <c r="AZ1" s="373"/>
      <c r="BA1" s="373"/>
      <c r="BB1" s="376"/>
      <c r="BC1" s="377"/>
      <c r="BD1" s="372" t="s">
        <v>247</v>
      </c>
      <c r="BE1" s="373"/>
      <c r="BF1" s="373"/>
      <c r="BG1" s="373"/>
      <c r="BH1" s="373"/>
      <c r="BI1" s="373"/>
      <c r="BJ1" s="373"/>
      <c r="BK1" s="374"/>
      <c r="BL1" s="374"/>
      <c r="BM1" s="373"/>
      <c r="BN1" s="373"/>
      <c r="BO1" s="373"/>
      <c r="BP1" s="373"/>
      <c r="BQ1" s="373"/>
      <c r="BR1" s="373"/>
      <c r="BS1" s="373"/>
      <c r="BT1" s="373"/>
      <c r="BU1" s="373"/>
      <c r="BV1" s="373"/>
      <c r="BW1" s="373"/>
      <c r="BX1" s="373"/>
      <c r="BY1" s="373"/>
      <c r="BZ1" s="373"/>
      <c r="CA1" s="373"/>
      <c r="CB1" s="373"/>
      <c r="CC1" s="373"/>
      <c r="CD1" s="373"/>
      <c r="CE1" s="373"/>
      <c r="CF1" s="373"/>
      <c r="CG1" s="373"/>
      <c r="CH1" s="373"/>
      <c r="CI1" s="373"/>
      <c r="CJ1" s="373"/>
      <c r="CK1" s="373"/>
      <c r="CL1" s="373"/>
      <c r="CM1" s="373"/>
      <c r="CN1" s="373"/>
      <c r="CO1" s="373"/>
      <c r="CP1" s="373"/>
      <c r="CQ1" s="373"/>
      <c r="CR1" s="373"/>
      <c r="CS1" s="373"/>
      <c r="CT1" s="373"/>
      <c r="CU1" s="373"/>
      <c r="CV1" s="373"/>
      <c r="CW1" s="373"/>
      <c r="CX1" s="373"/>
      <c r="CY1" s="373"/>
      <c r="CZ1" s="373"/>
      <c r="DA1" s="375" t="s">
        <v>249</v>
      </c>
      <c r="DB1" s="373" t="str">
        <f>$AY1</f>
        <v>24時間</v>
      </c>
      <c r="DC1" s="375"/>
      <c r="DD1" s="373"/>
      <c r="DE1" s="376"/>
      <c r="DF1" s="377"/>
      <c r="DG1" s="372" t="s">
        <v>247</v>
      </c>
      <c r="DH1" s="373"/>
      <c r="DI1" s="373"/>
      <c r="DJ1" s="373"/>
      <c r="DK1" s="373"/>
      <c r="DL1" s="373"/>
      <c r="DM1" s="373"/>
      <c r="DN1" s="374"/>
      <c r="DO1" s="374"/>
      <c r="DP1" s="373"/>
      <c r="DQ1" s="373"/>
      <c r="DR1" s="373"/>
      <c r="DS1" s="373"/>
      <c r="DT1" s="373"/>
      <c r="DU1" s="373"/>
      <c r="DV1" s="373"/>
      <c r="DW1" s="373"/>
      <c r="DX1" s="373"/>
      <c r="DY1" s="373"/>
      <c r="DZ1" s="373"/>
      <c r="EA1" s="373"/>
      <c r="EB1" s="373"/>
      <c r="EC1" s="373"/>
      <c r="ED1" s="373"/>
      <c r="EE1" s="373"/>
      <c r="EF1" s="373"/>
      <c r="EG1" s="373"/>
      <c r="EH1" s="373"/>
      <c r="EI1" s="373"/>
      <c r="EJ1" s="373"/>
      <c r="EK1" s="373"/>
      <c r="EL1" s="373"/>
      <c r="EM1" s="373"/>
      <c r="EN1" s="373"/>
      <c r="EO1" s="373"/>
      <c r="EP1" s="373"/>
      <c r="EQ1" s="373"/>
      <c r="ER1" s="373"/>
      <c r="ES1" s="373"/>
      <c r="ET1" s="373"/>
      <c r="EU1" s="373"/>
      <c r="EV1" s="373"/>
      <c r="EW1" s="373"/>
      <c r="EX1" s="373"/>
      <c r="EY1" s="373"/>
      <c r="EZ1" s="373"/>
      <c r="FA1" s="373"/>
      <c r="FB1" s="373"/>
      <c r="FC1" s="373"/>
      <c r="FD1" s="375" t="s">
        <v>249</v>
      </c>
      <c r="FE1" s="373" t="str">
        <f>$AY1</f>
        <v>24時間</v>
      </c>
      <c r="FF1" s="375"/>
      <c r="FG1" s="373"/>
      <c r="FH1" s="376"/>
      <c r="FI1" s="377"/>
      <c r="FJ1" s="372" t="s">
        <v>247</v>
      </c>
      <c r="FK1" s="373"/>
      <c r="FL1" s="373"/>
      <c r="FM1" s="373"/>
      <c r="FN1" s="373"/>
      <c r="FO1" s="373"/>
      <c r="FP1" s="373"/>
      <c r="FQ1" s="374"/>
      <c r="FR1" s="374"/>
      <c r="FS1" s="373"/>
      <c r="FT1" s="373"/>
      <c r="FU1" s="373"/>
      <c r="FV1" s="373"/>
      <c r="FW1" s="373"/>
      <c r="FX1" s="373"/>
      <c r="FY1" s="373"/>
      <c r="FZ1" s="373"/>
      <c r="GA1" s="373"/>
      <c r="GB1" s="373"/>
      <c r="GC1" s="373"/>
      <c r="GD1" s="373"/>
      <c r="GE1" s="373"/>
      <c r="GF1" s="373"/>
      <c r="GG1" s="373"/>
      <c r="GH1" s="373"/>
      <c r="GI1" s="373"/>
      <c r="GJ1" s="373"/>
      <c r="GK1" s="373"/>
      <c r="GL1" s="373"/>
      <c r="GM1" s="373"/>
      <c r="GN1" s="373"/>
      <c r="GO1" s="373"/>
      <c r="GP1" s="373"/>
      <c r="GQ1" s="373"/>
      <c r="GR1" s="373"/>
      <c r="GS1" s="373"/>
      <c r="GT1" s="373"/>
      <c r="GU1" s="375"/>
      <c r="GV1" s="373"/>
      <c r="GW1" s="373"/>
      <c r="GX1" s="373"/>
      <c r="GY1" s="375" t="s">
        <v>448</v>
      </c>
      <c r="GZ1" s="373" t="s">
        <v>335</v>
      </c>
      <c r="HA1" s="373"/>
      <c r="HB1" s="376"/>
      <c r="HC1" s="1469" t="s">
        <v>449</v>
      </c>
      <c r="HD1" s="378"/>
      <c r="HE1" s="379"/>
      <c r="HF1" s="378"/>
      <c r="HG1" s="1467"/>
      <c r="HH1" s="380" t="s">
        <v>250</v>
      </c>
      <c r="HI1" s="381"/>
    </row>
    <row r="2" spans="1:353" ht="20.100000000000001" customHeight="1" thickBot="1">
      <c r="A2" s="383"/>
      <c r="B2" s="383"/>
      <c r="C2" s="383"/>
      <c r="D2" s="383"/>
      <c r="E2" s="383"/>
      <c r="F2" s="383"/>
      <c r="G2" s="383"/>
      <c r="H2" s="383"/>
      <c r="I2" s="383"/>
      <c r="J2" s="383"/>
      <c r="K2" s="383"/>
      <c r="L2" s="383"/>
      <c r="M2" s="383"/>
      <c r="N2" s="383"/>
      <c r="O2" s="383"/>
      <c r="P2" s="383"/>
      <c r="Q2" s="383"/>
      <c r="R2" s="383"/>
      <c r="S2" s="383"/>
      <c r="T2" s="383"/>
      <c r="U2" s="383"/>
      <c r="V2" s="383"/>
      <c r="W2" s="383"/>
      <c r="X2" s="384"/>
      <c r="Y2" s="383"/>
      <c r="Z2" s="383"/>
      <c r="AA2" s="384"/>
      <c r="AB2" s="384"/>
      <c r="AC2" s="384"/>
      <c r="AD2" s="384"/>
      <c r="AE2" s="384"/>
      <c r="AF2" s="384"/>
      <c r="AG2" s="384"/>
      <c r="AH2" s="384"/>
      <c r="AI2" s="384"/>
      <c r="AJ2" s="384"/>
      <c r="AK2" s="384"/>
      <c r="AL2" s="384"/>
      <c r="AM2" s="384"/>
      <c r="AN2" s="384"/>
      <c r="AO2" s="384"/>
      <c r="AP2" s="384"/>
      <c r="AQ2" s="384"/>
      <c r="AR2" s="384"/>
      <c r="AS2" s="384"/>
      <c r="AT2" s="384"/>
      <c r="AU2" s="384"/>
      <c r="AV2" s="384"/>
      <c r="AW2" s="384"/>
      <c r="AX2" s="384"/>
      <c r="AY2" s="384"/>
      <c r="AZ2" s="384"/>
      <c r="BA2" s="384"/>
      <c r="BB2" s="384"/>
      <c r="BC2" s="385"/>
      <c r="BD2" s="383"/>
      <c r="BE2" s="383"/>
      <c r="BF2" s="383"/>
      <c r="BG2" s="383"/>
      <c r="BH2" s="383"/>
      <c r="BI2" s="383"/>
      <c r="BJ2" s="383"/>
      <c r="BK2" s="383"/>
      <c r="BL2" s="383"/>
      <c r="BM2" s="383"/>
      <c r="BN2" s="383"/>
      <c r="BO2" s="383"/>
      <c r="BP2" s="383"/>
      <c r="BQ2" s="383"/>
      <c r="BR2" s="383"/>
      <c r="BS2" s="383"/>
      <c r="BT2" s="383"/>
      <c r="BU2" s="383"/>
      <c r="BV2" s="383"/>
      <c r="BW2" s="383"/>
      <c r="BX2" s="383"/>
      <c r="BY2" s="383"/>
      <c r="BZ2" s="383"/>
      <c r="CA2" s="384"/>
      <c r="CB2" s="383"/>
      <c r="CC2" s="383"/>
      <c r="CD2" s="384"/>
      <c r="CE2" s="384"/>
      <c r="CF2" s="384"/>
      <c r="CG2" s="384"/>
      <c r="CH2" s="384"/>
      <c r="CI2" s="384"/>
      <c r="CJ2" s="384"/>
      <c r="CK2" s="384"/>
      <c r="CL2" s="384"/>
      <c r="CM2" s="384"/>
      <c r="CN2" s="384"/>
      <c r="CO2" s="384"/>
      <c r="CP2" s="384"/>
      <c r="CQ2" s="384"/>
      <c r="CR2" s="384"/>
      <c r="CS2" s="384"/>
      <c r="CT2" s="384"/>
      <c r="CU2" s="384"/>
      <c r="CV2" s="384"/>
      <c r="CW2" s="384"/>
      <c r="CX2" s="384"/>
      <c r="CY2" s="384"/>
      <c r="CZ2" s="384"/>
      <c r="DA2" s="384"/>
      <c r="DB2" s="384"/>
      <c r="DC2" s="384"/>
      <c r="DD2" s="384"/>
      <c r="DE2" s="384"/>
      <c r="DF2" s="386"/>
      <c r="DG2" s="383"/>
      <c r="DH2" s="383"/>
      <c r="DI2" s="383"/>
      <c r="DJ2" s="383"/>
      <c r="DK2" s="383"/>
      <c r="DL2" s="383"/>
      <c r="DM2" s="383"/>
      <c r="DN2" s="383"/>
      <c r="DO2" s="383"/>
      <c r="DP2" s="383"/>
      <c r="DQ2" s="383"/>
      <c r="DR2" s="383"/>
      <c r="DS2" s="383"/>
      <c r="DT2" s="383"/>
      <c r="DU2" s="383"/>
      <c r="DV2" s="383"/>
      <c r="DW2" s="383"/>
      <c r="DX2" s="383"/>
      <c r="DY2" s="383"/>
      <c r="DZ2" s="383"/>
      <c r="EA2" s="383"/>
      <c r="EB2" s="383"/>
      <c r="EC2" s="383"/>
      <c r="ED2" s="384"/>
      <c r="EE2" s="383"/>
      <c r="EF2" s="383"/>
      <c r="EG2" s="384"/>
      <c r="EH2" s="384"/>
      <c r="EI2" s="384"/>
      <c r="EJ2" s="384"/>
      <c r="EK2" s="384"/>
      <c r="EL2" s="384"/>
      <c r="EM2" s="384"/>
      <c r="EN2" s="384"/>
      <c r="EO2" s="384"/>
      <c r="EP2" s="384"/>
      <c r="EQ2" s="384"/>
      <c r="ER2" s="384"/>
      <c r="ES2" s="384"/>
      <c r="ET2" s="384"/>
      <c r="EU2" s="384"/>
      <c r="EV2" s="384"/>
      <c r="EW2" s="384"/>
      <c r="EX2" s="384"/>
      <c r="EY2" s="384"/>
      <c r="EZ2" s="384"/>
      <c r="FA2" s="384"/>
      <c r="FB2" s="384"/>
      <c r="FC2" s="384"/>
      <c r="FD2" s="384"/>
      <c r="FE2" s="384"/>
      <c r="FF2" s="384"/>
      <c r="FG2" s="384"/>
      <c r="FH2" s="384"/>
      <c r="FI2" s="386"/>
      <c r="FJ2" s="383"/>
      <c r="FK2" s="383"/>
      <c r="FL2" s="383"/>
      <c r="FM2" s="383"/>
      <c r="FN2" s="383"/>
      <c r="FO2" s="383"/>
      <c r="FP2" s="383"/>
      <c r="FQ2" s="383"/>
      <c r="FR2" s="383"/>
      <c r="FS2" s="383"/>
      <c r="FT2" s="383"/>
      <c r="FU2" s="383"/>
      <c r="FV2" s="383"/>
      <c r="FW2" s="383"/>
      <c r="FX2" s="383"/>
      <c r="FY2" s="383"/>
      <c r="FZ2" s="383"/>
      <c r="GA2" s="383"/>
      <c r="GB2" s="383"/>
      <c r="GC2" s="383"/>
      <c r="GD2" s="383"/>
      <c r="GE2" s="383"/>
      <c r="GF2" s="383"/>
      <c r="GG2" s="387"/>
      <c r="GH2" s="387"/>
      <c r="GI2" s="387"/>
      <c r="GJ2" s="387"/>
      <c r="GK2" s="387"/>
      <c r="GL2" s="387"/>
      <c r="GM2" s="387"/>
      <c r="GN2" s="387"/>
      <c r="GO2" s="387"/>
      <c r="GP2" s="387"/>
      <c r="GQ2" s="387"/>
      <c r="GR2" s="387"/>
      <c r="GS2" s="387"/>
      <c r="GT2" s="388"/>
      <c r="GU2" s="388"/>
      <c r="GV2" s="387"/>
      <c r="GW2" s="387"/>
      <c r="GX2" s="387"/>
      <c r="GY2" s="387"/>
      <c r="GZ2" s="387"/>
      <c r="HA2" s="387"/>
      <c r="HB2" s="387"/>
      <c r="HC2" s="385"/>
      <c r="HD2" s="383"/>
      <c r="HE2" s="383"/>
      <c r="HF2" s="383"/>
      <c r="HG2" s="383"/>
    </row>
    <row r="3" spans="1:353" ht="20.100000000000001" customHeight="1">
      <c r="A3" s="390" t="s">
        <v>342</v>
      </c>
      <c r="B3" s="391">
        <v>201</v>
      </c>
      <c r="C3" s="392" t="s">
        <v>344</v>
      </c>
      <c r="D3" s="393" t="s">
        <v>345</v>
      </c>
      <c r="E3" s="393"/>
      <c r="F3" s="393"/>
      <c r="G3" s="393"/>
      <c r="H3" s="393"/>
      <c r="I3" s="393"/>
      <c r="J3" s="394"/>
      <c r="K3" s="395" t="s">
        <v>346</v>
      </c>
      <c r="L3" s="396"/>
      <c r="M3" s="395" t="s">
        <v>347</v>
      </c>
      <c r="N3" s="396"/>
      <c r="O3" s="397" t="s">
        <v>748</v>
      </c>
      <c r="P3" s="398"/>
      <c r="Q3" s="398"/>
      <c r="R3" s="398"/>
      <c r="S3" s="398"/>
      <c r="T3" s="398"/>
      <c r="U3" s="398"/>
      <c r="V3" s="399"/>
      <c r="W3" s="400" t="s">
        <v>348</v>
      </c>
      <c r="X3" s="401"/>
      <c r="Y3" s="402"/>
      <c r="Z3" s="403"/>
      <c r="AA3" s="403"/>
      <c r="AB3" s="403"/>
      <c r="AC3" s="403"/>
      <c r="AD3" s="403"/>
      <c r="AE3" s="403"/>
      <c r="AF3" s="403"/>
      <c r="AG3" s="403"/>
      <c r="AH3" s="403"/>
      <c r="AI3" s="403"/>
      <c r="AJ3" s="403"/>
      <c r="AK3" s="403"/>
      <c r="AL3" s="403"/>
      <c r="AM3" s="403"/>
      <c r="AN3" s="403"/>
      <c r="AO3" s="403"/>
      <c r="AP3" s="403"/>
      <c r="AQ3" s="403"/>
      <c r="AR3" s="403"/>
      <c r="AS3" s="403"/>
      <c r="AT3" s="403"/>
      <c r="AU3" s="403"/>
      <c r="AV3" s="403"/>
      <c r="AW3" s="403"/>
      <c r="AX3" s="403"/>
      <c r="AY3" s="403"/>
      <c r="AZ3" s="403"/>
      <c r="BA3" s="403"/>
      <c r="BB3" s="403"/>
      <c r="BC3" s="403"/>
      <c r="BD3" s="390" t="s">
        <v>349</v>
      </c>
      <c r="BE3" s="391">
        <v>201</v>
      </c>
      <c r="BF3" s="392" t="s">
        <v>343</v>
      </c>
      <c r="BG3" s="404" t="s">
        <v>332</v>
      </c>
      <c r="BH3" s="404"/>
      <c r="BI3" s="404"/>
      <c r="BJ3" s="404"/>
      <c r="BK3" s="404"/>
      <c r="BL3" s="404"/>
      <c r="BM3" s="405"/>
      <c r="BN3" s="395" t="s">
        <v>350</v>
      </c>
      <c r="BO3" s="396"/>
      <c r="BP3" s="395" t="s">
        <v>351</v>
      </c>
      <c r="BQ3" s="396"/>
      <c r="BR3" s="397" t="s">
        <v>748</v>
      </c>
      <c r="BS3" s="398"/>
      <c r="BT3" s="398"/>
      <c r="BU3" s="398"/>
      <c r="BV3" s="398"/>
      <c r="BW3" s="398"/>
      <c r="BX3" s="398"/>
      <c r="BY3" s="399"/>
      <c r="BZ3" s="400" t="s">
        <v>352</v>
      </c>
      <c r="CA3" s="401"/>
      <c r="CB3" s="402"/>
      <c r="CC3" s="403"/>
      <c r="CD3" s="403"/>
      <c r="CE3" s="403"/>
      <c r="CF3" s="403"/>
      <c r="CG3" s="403"/>
      <c r="CH3" s="403"/>
      <c r="CI3" s="403"/>
      <c r="CJ3" s="403"/>
      <c r="CK3" s="403"/>
      <c r="CL3" s="403"/>
      <c r="CM3" s="403"/>
      <c r="CN3" s="403"/>
      <c r="CO3" s="403"/>
      <c r="CP3" s="403"/>
      <c r="CQ3" s="403"/>
      <c r="CR3" s="403"/>
      <c r="CS3" s="403"/>
      <c r="CT3" s="403"/>
      <c r="CU3" s="403"/>
      <c r="CV3" s="403"/>
      <c r="CW3" s="403"/>
      <c r="CX3" s="403"/>
      <c r="CY3" s="403"/>
      <c r="CZ3" s="403"/>
      <c r="DA3" s="403"/>
      <c r="DB3" s="403"/>
      <c r="DC3" s="403"/>
      <c r="DD3" s="403"/>
      <c r="DE3" s="403"/>
      <c r="DF3" s="403"/>
      <c r="DG3" s="390" t="s">
        <v>353</v>
      </c>
      <c r="DH3" s="391">
        <v>201</v>
      </c>
      <c r="DI3" s="392" t="s">
        <v>343</v>
      </c>
      <c r="DJ3" s="404" t="s">
        <v>332</v>
      </c>
      <c r="DK3" s="404"/>
      <c r="DL3" s="404"/>
      <c r="DM3" s="404"/>
      <c r="DN3" s="404"/>
      <c r="DO3" s="404"/>
      <c r="DP3" s="405"/>
      <c r="DQ3" s="395" t="s">
        <v>346</v>
      </c>
      <c r="DR3" s="396"/>
      <c r="DS3" s="395" t="s">
        <v>354</v>
      </c>
      <c r="DT3" s="396"/>
      <c r="DU3" s="397" t="s">
        <v>748</v>
      </c>
      <c r="DV3" s="398"/>
      <c r="DW3" s="398"/>
      <c r="DX3" s="398"/>
      <c r="DY3" s="398"/>
      <c r="DZ3" s="398"/>
      <c r="EA3" s="398"/>
      <c r="EB3" s="399"/>
      <c r="EC3" s="400" t="s">
        <v>348</v>
      </c>
      <c r="ED3" s="401"/>
      <c r="EE3" s="402"/>
      <c r="EF3" s="403"/>
      <c r="EG3" s="403"/>
      <c r="EH3" s="403"/>
      <c r="EI3" s="403"/>
      <c r="EJ3" s="403"/>
      <c r="EK3" s="403"/>
      <c r="EL3" s="403"/>
      <c r="EM3" s="403"/>
      <c r="EN3" s="403"/>
      <c r="EO3" s="403"/>
      <c r="EP3" s="403"/>
      <c r="EQ3" s="403"/>
      <c r="ER3" s="403"/>
      <c r="ES3" s="403"/>
      <c r="ET3" s="403"/>
      <c r="EU3" s="403"/>
      <c r="EV3" s="403"/>
      <c r="EW3" s="403"/>
      <c r="EX3" s="403"/>
      <c r="EY3" s="403"/>
      <c r="EZ3" s="403"/>
      <c r="FA3" s="403"/>
      <c r="FB3" s="403"/>
      <c r="FC3" s="403"/>
      <c r="FD3" s="403"/>
      <c r="FE3" s="403"/>
      <c r="FF3" s="403"/>
      <c r="FG3" s="403"/>
      <c r="FH3" s="403"/>
      <c r="FI3" s="403"/>
      <c r="FJ3" s="390" t="s">
        <v>349</v>
      </c>
      <c r="FK3" s="391">
        <v>201</v>
      </c>
      <c r="FL3" s="392" t="s">
        <v>343</v>
      </c>
      <c r="FM3" s="404" t="s">
        <v>332</v>
      </c>
      <c r="FN3" s="404"/>
      <c r="FO3" s="404"/>
      <c r="FP3" s="404"/>
      <c r="FQ3" s="404"/>
      <c r="FR3" s="404"/>
      <c r="FS3" s="405"/>
      <c r="FT3" s="395" t="s">
        <v>346</v>
      </c>
      <c r="FU3" s="396"/>
      <c r="FV3" s="395" t="s">
        <v>354</v>
      </c>
      <c r="FW3" s="396"/>
      <c r="FX3" s="397" t="s">
        <v>754</v>
      </c>
      <c r="FY3" s="398"/>
      <c r="FZ3" s="398"/>
      <c r="GA3" s="398"/>
      <c r="GB3" s="398"/>
      <c r="GC3" s="398"/>
      <c r="GD3" s="398"/>
      <c r="GE3" s="399"/>
      <c r="GF3" s="400" t="s">
        <v>352</v>
      </c>
      <c r="GG3" s="401"/>
      <c r="GH3" s="402"/>
      <c r="GI3" s="406"/>
      <c r="GJ3" s="407" t="s">
        <v>450</v>
      </c>
      <c r="GK3" s="408"/>
      <c r="GL3" s="408"/>
      <c r="GM3" s="408"/>
      <c r="GN3" s="408"/>
      <c r="GO3" s="408"/>
      <c r="GP3" s="408"/>
      <c r="GQ3" s="408"/>
      <c r="GR3" s="409"/>
      <c r="GS3" s="410"/>
      <c r="GT3" s="407" t="s">
        <v>451</v>
      </c>
      <c r="GU3" s="408"/>
      <c r="GV3" s="408"/>
      <c r="GW3" s="408"/>
      <c r="GX3" s="408"/>
      <c r="GY3" s="408"/>
      <c r="GZ3" s="408"/>
      <c r="HA3" s="408"/>
      <c r="HB3" s="409"/>
      <c r="HC3" s="411"/>
      <c r="HD3" s="434"/>
      <c r="HE3" s="413"/>
      <c r="HF3" s="413"/>
      <c r="HG3" s="383"/>
    </row>
    <row r="4" spans="1:353" ht="20.100000000000001" customHeight="1">
      <c r="A4" s="414"/>
      <c r="B4" s="415"/>
      <c r="C4" s="416"/>
      <c r="D4" s="417"/>
      <c r="E4" s="417"/>
      <c r="F4" s="417"/>
      <c r="G4" s="417"/>
      <c r="H4" s="417"/>
      <c r="I4" s="417"/>
      <c r="J4" s="418"/>
      <c r="K4" s="419"/>
      <c r="L4" s="420"/>
      <c r="M4" s="419"/>
      <c r="N4" s="420"/>
      <c r="O4" s="421" t="s">
        <v>355</v>
      </c>
      <c r="P4" s="422"/>
      <c r="Q4" s="423" t="s">
        <v>356</v>
      </c>
      <c r="R4" s="422"/>
      <c r="S4" s="424" t="s">
        <v>357</v>
      </c>
      <c r="T4" s="425"/>
      <c r="U4" s="426" t="s">
        <v>358</v>
      </c>
      <c r="V4" s="427"/>
      <c r="W4" s="428" t="s">
        <v>359</v>
      </c>
      <c r="X4" s="429"/>
      <c r="Y4" s="430"/>
      <c r="Z4" s="403"/>
      <c r="AA4" s="403"/>
      <c r="AB4" s="403"/>
      <c r="AC4" s="403"/>
      <c r="AD4" s="403"/>
      <c r="AE4" s="403"/>
      <c r="AF4" s="403"/>
      <c r="AG4" s="403"/>
      <c r="AH4" s="403"/>
      <c r="AI4" s="403"/>
      <c r="AJ4" s="403"/>
      <c r="AK4" s="403"/>
      <c r="AL4" s="403"/>
      <c r="AM4" s="403"/>
      <c r="AN4" s="403"/>
      <c r="AO4" s="403"/>
      <c r="AP4" s="403"/>
      <c r="AQ4" s="403"/>
      <c r="AR4" s="403"/>
      <c r="AS4" s="403"/>
      <c r="AT4" s="403"/>
      <c r="AU4" s="403"/>
      <c r="AV4" s="403"/>
      <c r="AW4" s="403"/>
      <c r="AX4" s="403"/>
      <c r="AY4" s="403"/>
      <c r="AZ4" s="403"/>
      <c r="BA4" s="403"/>
      <c r="BB4" s="403"/>
      <c r="BC4" s="403"/>
      <c r="BD4" s="414"/>
      <c r="BE4" s="415"/>
      <c r="BF4" s="416"/>
      <c r="BG4" s="431"/>
      <c r="BH4" s="431"/>
      <c r="BI4" s="431"/>
      <c r="BJ4" s="431"/>
      <c r="BK4" s="431"/>
      <c r="BL4" s="431"/>
      <c r="BM4" s="432"/>
      <c r="BN4" s="419"/>
      <c r="BO4" s="420"/>
      <c r="BP4" s="419"/>
      <c r="BQ4" s="420"/>
      <c r="BR4" s="421" t="s">
        <v>360</v>
      </c>
      <c r="BS4" s="422"/>
      <c r="BT4" s="423" t="s">
        <v>356</v>
      </c>
      <c r="BU4" s="422"/>
      <c r="BV4" s="424" t="s">
        <v>357</v>
      </c>
      <c r="BW4" s="425"/>
      <c r="BX4" s="426" t="s">
        <v>358</v>
      </c>
      <c r="BY4" s="427"/>
      <c r="BZ4" s="428" t="s">
        <v>359</v>
      </c>
      <c r="CA4" s="429"/>
      <c r="CB4" s="430"/>
      <c r="CC4" s="403"/>
      <c r="CD4" s="403"/>
      <c r="CE4" s="403"/>
      <c r="CF4" s="403"/>
      <c r="CG4" s="403"/>
      <c r="CH4" s="403"/>
      <c r="CI4" s="403"/>
      <c r="CJ4" s="403"/>
      <c r="CK4" s="403"/>
      <c r="CL4" s="403"/>
      <c r="CM4" s="403"/>
      <c r="CN4" s="403"/>
      <c r="CO4" s="403"/>
      <c r="CP4" s="403"/>
      <c r="CQ4" s="403"/>
      <c r="CR4" s="403"/>
      <c r="CS4" s="403"/>
      <c r="CT4" s="403"/>
      <c r="CU4" s="403"/>
      <c r="CV4" s="403"/>
      <c r="CW4" s="403"/>
      <c r="CX4" s="403"/>
      <c r="CY4" s="403"/>
      <c r="CZ4" s="403"/>
      <c r="DA4" s="403"/>
      <c r="DB4" s="403"/>
      <c r="DC4" s="403"/>
      <c r="DD4" s="403"/>
      <c r="DE4" s="403"/>
      <c r="DF4" s="403"/>
      <c r="DG4" s="414"/>
      <c r="DH4" s="415"/>
      <c r="DI4" s="416"/>
      <c r="DJ4" s="431"/>
      <c r="DK4" s="431"/>
      <c r="DL4" s="431"/>
      <c r="DM4" s="431"/>
      <c r="DN4" s="431"/>
      <c r="DO4" s="431"/>
      <c r="DP4" s="432"/>
      <c r="DQ4" s="419"/>
      <c r="DR4" s="420"/>
      <c r="DS4" s="419"/>
      <c r="DT4" s="420"/>
      <c r="DU4" s="421" t="s">
        <v>355</v>
      </c>
      <c r="DV4" s="422"/>
      <c r="DW4" s="423" t="s">
        <v>356</v>
      </c>
      <c r="DX4" s="422"/>
      <c r="DY4" s="424" t="s">
        <v>361</v>
      </c>
      <c r="DZ4" s="425"/>
      <c r="EA4" s="426" t="s">
        <v>362</v>
      </c>
      <c r="EB4" s="427"/>
      <c r="EC4" s="428" t="s">
        <v>359</v>
      </c>
      <c r="ED4" s="429"/>
      <c r="EE4" s="430"/>
      <c r="EF4" s="403"/>
      <c r="EG4" s="403"/>
      <c r="EH4" s="403"/>
      <c r="EI4" s="403"/>
      <c r="EJ4" s="403"/>
      <c r="EK4" s="403"/>
      <c r="EL4" s="403"/>
      <c r="EM4" s="403"/>
      <c r="EN4" s="403"/>
      <c r="EO4" s="403"/>
      <c r="EP4" s="403"/>
      <c r="EQ4" s="403"/>
      <c r="ER4" s="403"/>
      <c r="ES4" s="403"/>
      <c r="ET4" s="403"/>
      <c r="EU4" s="403"/>
      <c r="EV4" s="403"/>
      <c r="EW4" s="403"/>
      <c r="EX4" s="403"/>
      <c r="EY4" s="403"/>
      <c r="EZ4" s="403"/>
      <c r="FA4" s="403"/>
      <c r="FB4" s="403"/>
      <c r="FC4" s="403"/>
      <c r="FD4" s="403"/>
      <c r="FE4" s="403"/>
      <c r="FF4" s="403"/>
      <c r="FG4" s="403"/>
      <c r="FH4" s="403"/>
      <c r="FI4" s="403"/>
      <c r="FJ4" s="414"/>
      <c r="FK4" s="415"/>
      <c r="FL4" s="416"/>
      <c r="FM4" s="431"/>
      <c r="FN4" s="431"/>
      <c r="FO4" s="431"/>
      <c r="FP4" s="431"/>
      <c r="FQ4" s="431"/>
      <c r="FR4" s="431"/>
      <c r="FS4" s="432"/>
      <c r="FT4" s="419"/>
      <c r="FU4" s="420"/>
      <c r="FV4" s="419"/>
      <c r="FW4" s="420"/>
      <c r="FX4" s="421" t="s">
        <v>355</v>
      </c>
      <c r="FY4" s="422"/>
      <c r="FZ4" s="423" t="s">
        <v>356</v>
      </c>
      <c r="GA4" s="422"/>
      <c r="GB4" s="424" t="s">
        <v>357</v>
      </c>
      <c r="GC4" s="425"/>
      <c r="GD4" s="426" t="s">
        <v>358</v>
      </c>
      <c r="GE4" s="427"/>
      <c r="GF4" s="428" t="s">
        <v>333</v>
      </c>
      <c r="GG4" s="429"/>
      <c r="GH4" s="430"/>
      <c r="GI4" s="406"/>
      <c r="GJ4" s="433"/>
      <c r="GK4" s="433"/>
      <c r="GL4" s="433"/>
      <c r="GM4" s="433"/>
      <c r="GN4" s="433"/>
      <c r="GO4" s="433"/>
      <c r="GP4" s="433"/>
      <c r="GQ4" s="433"/>
      <c r="GR4" s="433"/>
      <c r="GS4" s="410"/>
      <c r="GT4" s="433"/>
      <c r="GU4" s="433"/>
      <c r="GV4" s="433"/>
      <c r="GW4" s="433"/>
      <c r="GX4" s="433"/>
      <c r="GY4" s="433"/>
      <c r="GZ4" s="433"/>
      <c r="HA4" s="433"/>
      <c r="HB4" s="433"/>
      <c r="HC4" s="1470"/>
      <c r="HD4" s="434"/>
      <c r="HE4" s="434"/>
      <c r="HF4" s="497"/>
      <c r="HG4" s="383"/>
      <c r="MO4" s="389" t="s">
        <v>333</v>
      </c>
    </row>
    <row r="5" spans="1:353" ht="24.95" customHeight="1" thickBot="1">
      <c r="A5" s="435" t="s">
        <v>364</v>
      </c>
      <c r="B5" s="436">
        <v>2</v>
      </c>
      <c r="C5" s="437" t="s">
        <v>365</v>
      </c>
      <c r="D5" s="438">
        <v>121</v>
      </c>
      <c r="E5" s="439" t="s">
        <v>366</v>
      </c>
      <c r="F5" s="440">
        <v>3</v>
      </c>
      <c r="G5" s="441" t="s">
        <v>367</v>
      </c>
      <c r="H5" s="442"/>
      <c r="I5" s="443">
        <v>363</v>
      </c>
      <c r="J5" s="444"/>
      <c r="K5" s="445">
        <v>3630</v>
      </c>
      <c r="L5" s="446"/>
      <c r="M5" s="445">
        <v>110</v>
      </c>
      <c r="N5" s="446"/>
      <c r="O5" s="1463" t="s">
        <v>744</v>
      </c>
      <c r="P5" s="447"/>
      <c r="Q5" s="1464" t="s">
        <v>745</v>
      </c>
      <c r="R5" s="448"/>
      <c r="S5" s="1465" t="s">
        <v>746</v>
      </c>
      <c r="T5" s="449"/>
      <c r="U5" s="1466" t="s">
        <v>747</v>
      </c>
      <c r="V5" s="450"/>
      <c r="W5" s="451"/>
      <c r="X5" s="452"/>
      <c r="Y5" s="453"/>
      <c r="Z5" s="411"/>
      <c r="AA5" s="454"/>
      <c r="AB5" s="411"/>
      <c r="AC5" s="454"/>
      <c r="AD5" s="411"/>
      <c r="AE5" s="454"/>
      <c r="AF5" s="411"/>
      <c r="AG5" s="454"/>
      <c r="AH5" s="411"/>
      <c r="AI5" s="454"/>
      <c r="AJ5" s="411"/>
      <c r="AK5" s="454"/>
      <c r="AL5" s="411"/>
      <c r="AM5" s="454"/>
      <c r="AN5" s="411"/>
      <c r="AO5" s="454"/>
      <c r="AP5" s="411"/>
      <c r="AQ5" s="454"/>
      <c r="AR5" s="411"/>
      <c r="AS5" s="454"/>
      <c r="AT5" s="411"/>
      <c r="AU5" s="454"/>
      <c r="AV5" s="411"/>
      <c r="AW5" s="454"/>
      <c r="AX5" s="411"/>
      <c r="AY5" s="454"/>
      <c r="AZ5" s="411"/>
      <c r="BA5" s="454"/>
      <c r="BB5" s="411"/>
      <c r="BC5" s="411"/>
      <c r="BD5" s="435" t="s">
        <v>368</v>
      </c>
      <c r="BE5" s="436">
        <v>2</v>
      </c>
      <c r="BF5" s="437" t="s">
        <v>251</v>
      </c>
      <c r="BG5" s="438">
        <v>121</v>
      </c>
      <c r="BH5" s="439" t="s">
        <v>366</v>
      </c>
      <c r="BI5" s="440">
        <v>3</v>
      </c>
      <c r="BJ5" s="441" t="s">
        <v>367</v>
      </c>
      <c r="BK5" s="442"/>
      <c r="BL5" s="443">
        <v>363</v>
      </c>
      <c r="BM5" s="444"/>
      <c r="BN5" s="445">
        <v>3630</v>
      </c>
      <c r="BO5" s="446"/>
      <c r="BP5" s="445">
        <v>110</v>
      </c>
      <c r="BQ5" s="446"/>
      <c r="BR5" s="1463" t="s">
        <v>749</v>
      </c>
      <c r="BS5" s="447"/>
      <c r="BT5" s="1464" t="s">
        <v>750</v>
      </c>
      <c r="BU5" s="448"/>
      <c r="BV5" s="1465" t="s">
        <v>746</v>
      </c>
      <c r="BW5" s="449"/>
      <c r="BX5" s="1466" t="s">
        <v>747</v>
      </c>
      <c r="BY5" s="450"/>
      <c r="BZ5" s="451"/>
      <c r="CA5" s="452"/>
      <c r="CB5" s="453"/>
      <c r="CC5" s="411"/>
      <c r="CD5" s="454"/>
      <c r="CE5" s="411"/>
      <c r="CF5" s="454"/>
      <c r="CG5" s="411"/>
      <c r="CH5" s="454"/>
      <c r="CI5" s="411"/>
      <c r="CJ5" s="454"/>
      <c r="CK5" s="411"/>
      <c r="CL5" s="454"/>
      <c r="CM5" s="411"/>
      <c r="CN5" s="454"/>
      <c r="CO5" s="411"/>
      <c r="CP5" s="454"/>
      <c r="CQ5" s="411"/>
      <c r="CR5" s="454"/>
      <c r="CS5" s="411"/>
      <c r="CT5" s="454"/>
      <c r="CU5" s="411"/>
      <c r="CV5" s="454"/>
      <c r="CW5" s="411"/>
      <c r="CX5" s="454"/>
      <c r="CY5" s="411"/>
      <c r="CZ5" s="454"/>
      <c r="DA5" s="411"/>
      <c r="DB5" s="454"/>
      <c r="DC5" s="411"/>
      <c r="DD5" s="454"/>
      <c r="DE5" s="411"/>
      <c r="DF5" s="411"/>
      <c r="DG5" s="435" t="s">
        <v>368</v>
      </c>
      <c r="DH5" s="436">
        <v>2</v>
      </c>
      <c r="DI5" s="437" t="s">
        <v>251</v>
      </c>
      <c r="DJ5" s="438">
        <v>121</v>
      </c>
      <c r="DK5" s="439" t="s">
        <v>369</v>
      </c>
      <c r="DL5" s="440">
        <v>3</v>
      </c>
      <c r="DM5" s="441" t="s">
        <v>367</v>
      </c>
      <c r="DN5" s="442"/>
      <c r="DO5" s="443">
        <v>363</v>
      </c>
      <c r="DP5" s="444"/>
      <c r="DQ5" s="445">
        <v>3630</v>
      </c>
      <c r="DR5" s="446"/>
      <c r="DS5" s="445">
        <v>110</v>
      </c>
      <c r="DT5" s="446"/>
      <c r="DU5" s="1463" t="s">
        <v>749</v>
      </c>
      <c r="DV5" s="447"/>
      <c r="DW5" s="1464" t="s">
        <v>751</v>
      </c>
      <c r="DX5" s="448"/>
      <c r="DY5" s="1465" t="s">
        <v>752</v>
      </c>
      <c r="DZ5" s="449"/>
      <c r="EA5" s="1466" t="s">
        <v>747</v>
      </c>
      <c r="EB5" s="450"/>
      <c r="EC5" s="451"/>
      <c r="ED5" s="452"/>
      <c r="EE5" s="453"/>
      <c r="EF5" s="411"/>
      <c r="EG5" s="454"/>
      <c r="EH5" s="411"/>
      <c r="EI5" s="454"/>
      <c r="EJ5" s="411"/>
      <c r="EK5" s="454"/>
      <c r="EL5" s="411"/>
      <c r="EM5" s="454"/>
      <c r="EN5" s="411"/>
      <c r="EO5" s="454"/>
      <c r="EP5" s="411"/>
      <c r="EQ5" s="454"/>
      <c r="ER5" s="411"/>
      <c r="ES5" s="454"/>
      <c r="ET5" s="411"/>
      <c r="EU5" s="454"/>
      <c r="EV5" s="411"/>
      <c r="EW5" s="454"/>
      <c r="EX5" s="411"/>
      <c r="EY5" s="454"/>
      <c r="EZ5" s="411"/>
      <c r="FA5" s="454"/>
      <c r="FB5" s="411"/>
      <c r="FC5" s="454"/>
      <c r="FD5" s="411"/>
      <c r="FE5" s="454"/>
      <c r="FF5" s="411"/>
      <c r="FG5" s="454"/>
      <c r="FH5" s="411"/>
      <c r="FI5" s="411"/>
      <c r="FJ5" s="435" t="s">
        <v>368</v>
      </c>
      <c r="FK5" s="436">
        <v>2</v>
      </c>
      <c r="FL5" s="437" t="s">
        <v>251</v>
      </c>
      <c r="FM5" s="438">
        <v>121</v>
      </c>
      <c r="FN5" s="439" t="s">
        <v>366</v>
      </c>
      <c r="FO5" s="440">
        <v>3</v>
      </c>
      <c r="FP5" s="441" t="s">
        <v>367</v>
      </c>
      <c r="FQ5" s="442"/>
      <c r="FR5" s="443">
        <v>363</v>
      </c>
      <c r="FS5" s="444"/>
      <c r="FT5" s="445">
        <v>3630</v>
      </c>
      <c r="FU5" s="446"/>
      <c r="FV5" s="445">
        <v>110</v>
      </c>
      <c r="FW5" s="446"/>
      <c r="FX5" s="1463" t="s">
        <v>753</v>
      </c>
      <c r="FY5" s="447"/>
      <c r="FZ5" s="1464" t="s">
        <v>751</v>
      </c>
      <c r="GA5" s="448"/>
      <c r="GB5" s="1465" t="s">
        <v>752</v>
      </c>
      <c r="GC5" s="449"/>
      <c r="GD5" s="1466" t="s">
        <v>747</v>
      </c>
      <c r="GE5" s="450"/>
      <c r="GF5" s="451"/>
      <c r="GG5" s="452"/>
      <c r="GH5" s="453"/>
      <c r="GI5" s="455"/>
      <c r="GJ5" s="406"/>
      <c r="GK5" s="456" t="s">
        <v>452</v>
      </c>
      <c r="GL5" s="456"/>
      <c r="GM5" s="456"/>
      <c r="GN5" s="406" t="s">
        <v>453</v>
      </c>
      <c r="GO5" s="457"/>
      <c r="GP5" s="457"/>
      <c r="GQ5" s="457"/>
      <c r="GR5" s="406"/>
      <c r="GS5" s="406"/>
      <c r="GT5" s="410"/>
      <c r="GU5" s="456" t="s">
        <v>454</v>
      </c>
      <c r="GV5" s="456"/>
      <c r="GW5" s="456"/>
      <c r="GX5" s="406" t="s">
        <v>455</v>
      </c>
      <c r="GY5" s="457"/>
      <c r="GZ5" s="457"/>
      <c r="HA5" s="457"/>
      <c r="HB5" s="406"/>
      <c r="HC5" s="458"/>
      <c r="HD5" s="434"/>
      <c r="HE5" s="434"/>
      <c r="HF5" s="497"/>
      <c r="HG5" s="383"/>
    </row>
    <row r="6" spans="1:353" ht="20.100000000000001" customHeight="1" thickBot="1">
      <c r="A6" s="459" t="s">
        <v>370</v>
      </c>
      <c r="B6" s="460"/>
      <c r="C6" s="461" t="s">
        <v>371</v>
      </c>
      <c r="D6" s="461"/>
      <c r="E6" s="461"/>
      <c r="F6" s="462">
        <v>0</v>
      </c>
      <c r="G6" s="462"/>
      <c r="H6" s="461" t="s">
        <v>372</v>
      </c>
      <c r="I6" s="461"/>
      <c r="J6" s="461"/>
      <c r="K6" s="461"/>
      <c r="L6" s="461"/>
      <c r="M6" s="463">
        <v>0</v>
      </c>
      <c r="N6" s="463"/>
      <c r="O6" s="464"/>
      <c r="P6" s="465"/>
      <c r="Q6" s="465" t="s">
        <v>373</v>
      </c>
      <c r="R6" s="466">
        <v>0</v>
      </c>
      <c r="S6" s="466"/>
      <c r="T6" s="467"/>
      <c r="U6" s="468" t="s">
        <v>374</v>
      </c>
      <c r="V6" s="469">
        <v>0</v>
      </c>
      <c r="W6" s="469"/>
      <c r="X6" s="470"/>
      <c r="Y6" s="465"/>
      <c r="Z6" s="465"/>
      <c r="AA6" s="465"/>
      <c r="AB6" s="463"/>
      <c r="AC6" s="463"/>
      <c r="AD6" s="465"/>
      <c r="AE6" s="464"/>
      <c r="AF6" s="460"/>
      <c r="AG6" s="465"/>
      <c r="AH6" s="465"/>
      <c r="AI6" s="470"/>
      <c r="AJ6" s="465"/>
      <c r="AK6" s="470"/>
      <c r="AL6" s="465"/>
      <c r="AM6" s="470"/>
      <c r="AN6" s="465"/>
      <c r="AO6" s="470"/>
      <c r="AP6" s="465"/>
      <c r="AQ6" s="470"/>
      <c r="AR6" s="465"/>
      <c r="AS6" s="470"/>
      <c r="AT6" s="465"/>
      <c r="AU6" s="470"/>
      <c r="AV6" s="465"/>
      <c r="AW6" s="470"/>
      <c r="AX6" s="471"/>
      <c r="AY6" s="470"/>
      <c r="AZ6" s="465"/>
      <c r="BA6" s="470"/>
      <c r="BB6" s="37" t="s">
        <v>376</v>
      </c>
      <c r="BC6" s="472"/>
      <c r="BD6" s="459" t="s">
        <v>377</v>
      </c>
      <c r="BE6" s="460"/>
      <c r="BF6" s="461" t="s">
        <v>371</v>
      </c>
      <c r="BG6" s="461"/>
      <c r="BH6" s="461"/>
      <c r="BI6" s="462">
        <v>0</v>
      </c>
      <c r="BJ6" s="462"/>
      <c r="BK6" s="461" t="s">
        <v>372</v>
      </c>
      <c r="BL6" s="461"/>
      <c r="BM6" s="461"/>
      <c r="BN6" s="461"/>
      <c r="BO6" s="461"/>
      <c r="BP6" s="463">
        <v>0</v>
      </c>
      <c r="BQ6" s="463"/>
      <c r="BR6" s="464"/>
      <c r="BS6" s="465"/>
      <c r="BT6" s="465" t="s">
        <v>252</v>
      </c>
      <c r="BU6" s="466">
        <v>0</v>
      </c>
      <c r="BV6" s="466"/>
      <c r="BW6" s="467"/>
      <c r="BX6" s="468" t="s">
        <v>253</v>
      </c>
      <c r="BY6" s="469">
        <v>0</v>
      </c>
      <c r="BZ6" s="469"/>
      <c r="CA6" s="470"/>
      <c r="CB6" s="465"/>
      <c r="CC6" s="465"/>
      <c r="CD6" s="470"/>
      <c r="CE6" s="463"/>
      <c r="CF6" s="463"/>
      <c r="CG6" s="465"/>
      <c r="CH6" s="464"/>
      <c r="CI6" s="460"/>
      <c r="CJ6" s="465"/>
      <c r="CK6" s="465"/>
      <c r="CL6" s="470"/>
      <c r="CM6" s="465"/>
      <c r="CN6" s="470"/>
      <c r="CO6" s="465"/>
      <c r="CP6" s="470"/>
      <c r="CQ6" s="465"/>
      <c r="CR6" s="470"/>
      <c r="CS6" s="465"/>
      <c r="CT6" s="470"/>
      <c r="CU6" s="465"/>
      <c r="CV6" s="470"/>
      <c r="CW6" s="465"/>
      <c r="CX6" s="470"/>
      <c r="CY6" s="465"/>
      <c r="CZ6" s="470"/>
      <c r="DA6" s="465"/>
      <c r="DB6" s="470"/>
      <c r="DC6" s="465"/>
      <c r="DD6" s="470"/>
      <c r="DE6" s="473" t="s">
        <v>35</v>
      </c>
      <c r="DF6" s="474"/>
      <c r="DG6" s="459" t="s">
        <v>377</v>
      </c>
      <c r="DH6" s="460"/>
      <c r="DI6" s="461" t="s">
        <v>371</v>
      </c>
      <c r="DJ6" s="461"/>
      <c r="DK6" s="461"/>
      <c r="DL6" s="462">
        <v>0</v>
      </c>
      <c r="DM6" s="462"/>
      <c r="DN6" s="461" t="s">
        <v>372</v>
      </c>
      <c r="DO6" s="461"/>
      <c r="DP6" s="461"/>
      <c r="DQ6" s="461"/>
      <c r="DR6" s="461"/>
      <c r="DS6" s="463">
        <v>0</v>
      </c>
      <c r="DT6" s="463"/>
      <c r="DU6" s="464"/>
      <c r="DV6" s="465"/>
      <c r="DW6" s="465" t="s">
        <v>252</v>
      </c>
      <c r="DX6" s="466">
        <v>0</v>
      </c>
      <c r="DY6" s="466"/>
      <c r="DZ6" s="467"/>
      <c r="EA6" s="468" t="s">
        <v>253</v>
      </c>
      <c r="EB6" s="469">
        <v>0</v>
      </c>
      <c r="EC6" s="469"/>
      <c r="ED6" s="470"/>
      <c r="EE6" s="465"/>
      <c r="EF6" s="470"/>
      <c r="EG6" s="465"/>
      <c r="EH6" s="460"/>
      <c r="EI6" s="470"/>
      <c r="EJ6" s="465"/>
      <c r="EK6" s="464"/>
      <c r="EL6" s="460"/>
      <c r="EM6" s="465"/>
      <c r="EN6" s="465"/>
      <c r="EO6" s="470"/>
      <c r="EP6" s="465"/>
      <c r="EQ6" s="470"/>
      <c r="ER6" s="465"/>
      <c r="ES6" s="470"/>
      <c r="ET6" s="465"/>
      <c r="EU6" s="470"/>
      <c r="EV6" s="465"/>
      <c r="EW6" s="470"/>
      <c r="EX6" s="465"/>
      <c r="EY6" s="470"/>
      <c r="EZ6" s="465"/>
      <c r="FA6" s="470"/>
      <c r="FB6" s="465"/>
      <c r="FC6" s="470"/>
      <c r="FD6" s="465"/>
      <c r="FE6" s="470"/>
      <c r="FF6" s="465"/>
      <c r="FG6" s="470"/>
      <c r="FH6" s="475" t="s">
        <v>36</v>
      </c>
      <c r="FI6" s="474"/>
      <c r="FJ6" s="459" t="s">
        <v>380</v>
      </c>
      <c r="FK6" s="460"/>
      <c r="FL6" s="461" t="s">
        <v>371</v>
      </c>
      <c r="FM6" s="461"/>
      <c r="FN6" s="461"/>
      <c r="FO6" s="462">
        <v>0</v>
      </c>
      <c r="FP6" s="462"/>
      <c r="FQ6" s="461" t="s">
        <v>372</v>
      </c>
      <c r="FR6" s="461"/>
      <c r="FS6" s="461"/>
      <c r="FT6" s="461"/>
      <c r="FU6" s="461"/>
      <c r="FV6" s="463">
        <v>0</v>
      </c>
      <c r="FW6" s="463"/>
      <c r="FX6" s="464"/>
      <c r="FY6" s="465"/>
      <c r="FZ6" s="465" t="s">
        <v>381</v>
      </c>
      <c r="GA6" s="466">
        <v>0</v>
      </c>
      <c r="GB6" s="466"/>
      <c r="GC6" s="467"/>
      <c r="GD6" s="468" t="s">
        <v>382</v>
      </c>
      <c r="GE6" s="469">
        <v>0</v>
      </c>
      <c r="GF6" s="469"/>
      <c r="GG6" s="470"/>
      <c r="GH6" s="465"/>
      <c r="GI6" s="465"/>
      <c r="GJ6" s="476"/>
      <c r="GK6" s="477" t="s">
        <v>456</v>
      </c>
      <c r="GL6" s="477"/>
      <c r="GM6" s="477"/>
      <c r="GN6" s="478">
        <v>2</v>
      </c>
      <c r="GO6" s="479"/>
      <c r="GP6" s="479"/>
      <c r="GQ6" s="479"/>
      <c r="GR6" s="476"/>
      <c r="GS6" s="476"/>
      <c r="GT6" s="410"/>
      <c r="GU6" s="477" t="s">
        <v>457</v>
      </c>
      <c r="GV6" s="477"/>
      <c r="GW6" s="477"/>
      <c r="GX6" s="478">
        <v>2</v>
      </c>
      <c r="GY6" s="410"/>
      <c r="GZ6" s="410"/>
      <c r="HA6" s="479"/>
      <c r="HB6" s="479"/>
      <c r="HC6" s="480"/>
      <c r="HD6" s="434"/>
      <c r="HE6" s="434"/>
      <c r="HF6" s="497"/>
      <c r="HG6" s="383"/>
    </row>
    <row r="7" spans="1:353" ht="20.100000000000001" customHeight="1">
      <c r="A7" s="481" t="s">
        <v>254</v>
      </c>
      <c r="B7" s="482"/>
      <c r="C7" s="482"/>
      <c r="D7" s="482"/>
      <c r="E7" s="482"/>
      <c r="F7" s="483"/>
      <c r="G7" s="484" t="s">
        <v>255</v>
      </c>
      <c r="H7" s="485"/>
      <c r="I7" s="485"/>
      <c r="J7" s="485"/>
      <c r="K7" s="485"/>
      <c r="L7" s="485"/>
      <c r="M7" s="485"/>
      <c r="N7" s="485"/>
      <c r="O7" s="485"/>
      <c r="P7" s="485"/>
      <c r="Q7" s="485"/>
      <c r="R7" s="485"/>
      <c r="S7" s="485"/>
      <c r="T7" s="485"/>
      <c r="U7" s="485"/>
      <c r="V7" s="485"/>
      <c r="W7" s="485"/>
      <c r="X7" s="485"/>
      <c r="Y7" s="485"/>
      <c r="Z7" s="485"/>
      <c r="AA7" s="485"/>
      <c r="AB7" s="485"/>
      <c r="AC7" s="485"/>
      <c r="AD7" s="485"/>
      <c r="AE7" s="485"/>
      <c r="AF7" s="485"/>
      <c r="AG7" s="485"/>
      <c r="AH7" s="485"/>
      <c r="AI7" s="485"/>
      <c r="AJ7" s="485"/>
      <c r="AK7" s="485"/>
      <c r="AL7" s="485"/>
      <c r="AM7" s="485"/>
      <c r="AN7" s="485"/>
      <c r="AO7" s="485"/>
      <c r="AP7" s="485"/>
      <c r="AQ7" s="485"/>
      <c r="AR7" s="485"/>
      <c r="AS7" s="485"/>
      <c r="AT7" s="485"/>
      <c r="AU7" s="485"/>
      <c r="AV7" s="485"/>
      <c r="AW7" s="485"/>
      <c r="AX7" s="485"/>
      <c r="AY7" s="485"/>
      <c r="AZ7" s="485"/>
      <c r="BA7" s="485"/>
      <c r="BB7" s="486"/>
      <c r="BC7" s="458"/>
      <c r="BD7" s="481" t="s">
        <v>254</v>
      </c>
      <c r="BE7" s="482"/>
      <c r="BF7" s="482"/>
      <c r="BG7" s="482"/>
      <c r="BH7" s="482"/>
      <c r="BI7" s="483"/>
      <c r="BJ7" s="484" t="s">
        <v>256</v>
      </c>
      <c r="BK7" s="485"/>
      <c r="BL7" s="485"/>
      <c r="BM7" s="485"/>
      <c r="BN7" s="485"/>
      <c r="BO7" s="485"/>
      <c r="BP7" s="485"/>
      <c r="BQ7" s="485"/>
      <c r="BR7" s="485"/>
      <c r="BS7" s="485"/>
      <c r="BT7" s="485"/>
      <c r="BU7" s="485"/>
      <c r="BV7" s="485"/>
      <c r="BW7" s="485"/>
      <c r="BX7" s="485"/>
      <c r="BY7" s="485"/>
      <c r="BZ7" s="485"/>
      <c r="CA7" s="485"/>
      <c r="CB7" s="485"/>
      <c r="CC7" s="485"/>
      <c r="CD7" s="485"/>
      <c r="CE7" s="485"/>
      <c r="CF7" s="485"/>
      <c r="CG7" s="485"/>
      <c r="CH7" s="485"/>
      <c r="CI7" s="485"/>
      <c r="CJ7" s="485"/>
      <c r="CK7" s="485"/>
      <c r="CL7" s="485"/>
      <c r="CM7" s="485"/>
      <c r="CN7" s="485"/>
      <c r="CO7" s="485"/>
      <c r="CP7" s="485"/>
      <c r="CQ7" s="485"/>
      <c r="CR7" s="485"/>
      <c r="CS7" s="485"/>
      <c r="CT7" s="485"/>
      <c r="CU7" s="485"/>
      <c r="CV7" s="485"/>
      <c r="CW7" s="485"/>
      <c r="CX7" s="485"/>
      <c r="CY7" s="485"/>
      <c r="CZ7" s="485"/>
      <c r="DA7" s="485"/>
      <c r="DB7" s="485"/>
      <c r="DC7" s="485"/>
      <c r="DD7" s="485"/>
      <c r="DE7" s="486"/>
      <c r="DF7" s="458"/>
      <c r="DG7" s="481" t="s">
        <v>254</v>
      </c>
      <c r="DH7" s="482"/>
      <c r="DI7" s="482"/>
      <c r="DJ7" s="482"/>
      <c r="DK7" s="482"/>
      <c r="DL7" s="483"/>
      <c r="DM7" s="484" t="s">
        <v>257</v>
      </c>
      <c r="DN7" s="485"/>
      <c r="DO7" s="485"/>
      <c r="DP7" s="485"/>
      <c r="DQ7" s="485"/>
      <c r="DR7" s="485"/>
      <c r="DS7" s="485"/>
      <c r="DT7" s="485"/>
      <c r="DU7" s="485"/>
      <c r="DV7" s="485"/>
      <c r="DW7" s="485"/>
      <c r="DX7" s="485"/>
      <c r="DY7" s="485"/>
      <c r="DZ7" s="485"/>
      <c r="EA7" s="485"/>
      <c r="EB7" s="485"/>
      <c r="EC7" s="485"/>
      <c r="ED7" s="485"/>
      <c r="EE7" s="485"/>
      <c r="EF7" s="485"/>
      <c r="EG7" s="485"/>
      <c r="EH7" s="485"/>
      <c r="EI7" s="485"/>
      <c r="EJ7" s="485"/>
      <c r="EK7" s="485"/>
      <c r="EL7" s="485"/>
      <c r="EM7" s="485"/>
      <c r="EN7" s="485"/>
      <c r="EO7" s="485"/>
      <c r="EP7" s="485"/>
      <c r="EQ7" s="485"/>
      <c r="ER7" s="485"/>
      <c r="ES7" s="485"/>
      <c r="ET7" s="485"/>
      <c r="EU7" s="485"/>
      <c r="EV7" s="485"/>
      <c r="EW7" s="485"/>
      <c r="EX7" s="485"/>
      <c r="EY7" s="485"/>
      <c r="EZ7" s="485"/>
      <c r="FA7" s="485"/>
      <c r="FB7" s="485"/>
      <c r="FC7" s="485"/>
      <c r="FD7" s="485"/>
      <c r="FE7" s="485"/>
      <c r="FF7" s="485"/>
      <c r="FG7" s="485"/>
      <c r="FH7" s="486"/>
      <c r="FI7" s="458"/>
      <c r="FJ7" s="481" t="s">
        <v>254</v>
      </c>
      <c r="FK7" s="482"/>
      <c r="FL7" s="482"/>
      <c r="FM7" s="482"/>
      <c r="FN7" s="482"/>
      <c r="FO7" s="483"/>
      <c r="FP7" s="487" t="s">
        <v>258</v>
      </c>
      <c r="FQ7" s="488"/>
      <c r="FR7" s="488"/>
      <c r="FS7" s="488"/>
      <c r="FT7" s="488"/>
      <c r="FU7" s="488"/>
      <c r="FV7" s="489" t="s">
        <v>259</v>
      </c>
      <c r="FW7" s="490"/>
      <c r="FX7" s="490"/>
      <c r="FY7" s="490"/>
      <c r="FZ7" s="490"/>
      <c r="GA7" s="490"/>
      <c r="GB7" s="490"/>
      <c r="GC7" s="490"/>
      <c r="GD7" s="490"/>
      <c r="GE7" s="491"/>
      <c r="GF7" s="492"/>
      <c r="GG7" s="457"/>
      <c r="GH7" s="457"/>
      <c r="GI7" s="457"/>
      <c r="GJ7" s="493"/>
      <c r="GK7" s="494"/>
      <c r="GL7" s="494"/>
      <c r="GM7" s="494"/>
      <c r="GN7" s="495"/>
      <c r="GO7" s="495"/>
      <c r="GP7" s="494"/>
      <c r="GQ7" s="494"/>
      <c r="GR7" s="494"/>
      <c r="GS7" s="494"/>
      <c r="GT7" s="494"/>
      <c r="GU7" s="494"/>
      <c r="GV7" s="494"/>
      <c r="GW7" s="494"/>
      <c r="GX7" s="494"/>
      <c r="GY7" s="494"/>
      <c r="GZ7" s="494"/>
      <c r="HA7" s="494"/>
      <c r="HB7" s="494"/>
      <c r="HC7" s="534"/>
      <c r="HD7" s="434"/>
      <c r="HE7" s="434"/>
      <c r="HF7" s="497"/>
      <c r="HG7" s="383"/>
    </row>
    <row r="8" spans="1:353" s="524" customFormat="1" ht="20.100000000000001" customHeight="1">
      <c r="A8" s="498"/>
      <c r="B8" s="499"/>
      <c r="C8" s="499"/>
      <c r="D8" s="499"/>
      <c r="E8" s="499"/>
      <c r="F8" s="500"/>
      <c r="G8" s="501">
        <v>1</v>
      </c>
      <c r="H8" s="502"/>
      <c r="I8" s="503">
        <v>2</v>
      </c>
      <c r="J8" s="502"/>
      <c r="K8" s="503">
        <v>3</v>
      </c>
      <c r="L8" s="502"/>
      <c r="M8" s="503">
        <v>4</v>
      </c>
      <c r="N8" s="502"/>
      <c r="O8" s="503">
        <v>5</v>
      </c>
      <c r="P8" s="502"/>
      <c r="Q8" s="503">
        <v>6</v>
      </c>
      <c r="R8" s="502"/>
      <c r="S8" s="503">
        <v>7</v>
      </c>
      <c r="T8" s="502"/>
      <c r="U8" s="503">
        <v>8</v>
      </c>
      <c r="V8" s="502"/>
      <c r="W8" s="503">
        <v>9</v>
      </c>
      <c r="X8" s="502"/>
      <c r="Y8" s="503">
        <v>10</v>
      </c>
      <c r="Z8" s="502"/>
      <c r="AA8" s="503">
        <v>11</v>
      </c>
      <c r="AB8" s="502"/>
      <c r="AC8" s="503">
        <v>12</v>
      </c>
      <c r="AD8" s="502"/>
      <c r="AE8" s="503">
        <v>13</v>
      </c>
      <c r="AF8" s="502"/>
      <c r="AG8" s="503">
        <v>14</v>
      </c>
      <c r="AH8" s="502"/>
      <c r="AI8" s="503">
        <v>15</v>
      </c>
      <c r="AJ8" s="502"/>
      <c r="AK8" s="503">
        <v>16</v>
      </c>
      <c r="AL8" s="502"/>
      <c r="AM8" s="503">
        <v>17</v>
      </c>
      <c r="AN8" s="502"/>
      <c r="AO8" s="503">
        <v>18</v>
      </c>
      <c r="AP8" s="502"/>
      <c r="AQ8" s="503">
        <v>19</v>
      </c>
      <c r="AR8" s="502"/>
      <c r="AS8" s="503">
        <v>20</v>
      </c>
      <c r="AT8" s="502"/>
      <c r="AU8" s="503">
        <v>21</v>
      </c>
      <c r="AV8" s="502"/>
      <c r="AW8" s="503">
        <v>22</v>
      </c>
      <c r="AX8" s="502"/>
      <c r="AY8" s="503">
        <v>23</v>
      </c>
      <c r="AZ8" s="502"/>
      <c r="BA8" s="503">
        <v>24</v>
      </c>
      <c r="BB8" s="504"/>
      <c r="BC8" s="480"/>
      <c r="BD8" s="498"/>
      <c r="BE8" s="499"/>
      <c r="BF8" s="499"/>
      <c r="BG8" s="499"/>
      <c r="BH8" s="499"/>
      <c r="BI8" s="500"/>
      <c r="BJ8" s="505">
        <v>1</v>
      </c>
      <c r="BK8" s="506"/>
      <c r="BL8" s="507">
        <v>2</v>
      </c>
      <c r="BM8" s="506"/>
      <c r="BN8" s="507">
        <v>3</v>
      </c>
      <c r="BO8" s="506"/>
      <c r="BP8" s="507">
        <v>4</v>
      </c>
      <c r="BQ8" s="506"/>
      <c r="BR8" s="507">
        <v>5</v>
      </c>
      <c r="BS8" s="506"/>
      <c r="BT8" s="507">
        <v>6</v>
      </c>
      <c r="BU8" s="506"/>
      <c r="BV8" s="507">
        <v>7</v>
      </c>
      <c r="BW8" s="506"/>
      <c r="BX8" s="507">
        <v>8</v>
      </c>
      <c r="BY8" s="506"/>
      <c r="BZ8" s="507">
        <v>9</v>
      </c>
      <c r="CA8" s="506"/>
      <c r="CB8" s="507">
        <v>10</v>
      </c>
      <c r="CC8" s="506"/>
      <c r="CD8" s="507">
        <v>11</v>
      </c>
      <c r="CE8" s="506"/>
      <c r="CF8" s="507">
        <v>12</v>
      </c>
      <c r="CG8" s="506"/>
      <c r="CH8" s="507">
        <v>13</v>
      </c>
      <c r="CI8" s="506"/>
      <c r="CJ8" s="507">
        <v>14</v>
      </c>
      <c r="CK8" s="506"/>
      <c r="CL8" s="507">
        <v>15</v>
      </c>
      <c r="CM8" s="506"/>
      <c r="CN8" s="507">
        <v>16</v>
      </c>
      <c r="CO8" s="506"/>
      <c r="CP8" s="507">
        <v>17</v>
      </c>
      <c r="CQ8" s="506"/>
      <c r="CR8" s="507">
        <v>18</v>
      </c>
      <c r="CS8" s="506"/>
      <c r="CT8" s="507">
        <v>19</v>
      </c>
      <c r="CU8" s="506"/>
      <c r="CV8" s="507">
        <v>20</v>
      </c>
      <c r="CW8" s="506"/>
      <c r="CX8" s="507">
        <v>21</v>
      </c>
      <c r="CY8" s="506"/>
      <c r="CZ8" s="507">
        <v>22</v>
      </c>
      <c r="DA8" s="506"/>
      <c r="DB8" s="507">
        <v>23</v>
      </c>
      <c r="DC8" s="506"/>
      <c r="DD8" s="507">
        <v>24</v>
      </c>
      <c r="DE8" s="508"/>
      <c r="DF8" s="480"/>
      <c r="DG8" s="498"/>
      <c r="DH8" s="499"/>
      <c r="DI8" s="499"/>
      <c r="DJ8" s="499"/>
      <c r="DK8" s="499"/>
      <c r="DL8" s="500"/>
      <c r="DM8" s="509">
        <v>1</v>
      </c>
      <c r="DN8" s="510"/>
      <c r="DO8" s="511">
        <v>2</v>
      </c>
      <c r="DP8" s="510"/>
      <c r="DQ8" s="511">
        <v>3</v>
      </c>
      <c r="DR8" s="510"/>
      <c r="DS8" s="511">
        <v>4</v>
      </c>
      <c r="DT8" s="510"/>
      <c r="DU8" s="511">
        <v>5</v>
      </c>
      <c r="DV8" s="510"/>
      <c r="DW8" s="511">
        <v>6</v>
      </c>
      <c r="DX8" s="510"/>
      <c r="DY8" s="511">
        <v>7</v>
      </c>
      <c r="DZ8" s="510"/>
      <c r="EA8" s="511">
        <v>8</v>
      </c>
      <c r="EB8" s="510"/>
      <c r="EC8" s="511">
        <v>9</v>
      </c>
      <c r="ED8" s="510"/>
      <c r="EE8" s="511">
        <v>10</v>
      </c>
      <c r="EF8" s="510"/>
      <c r="EG8" s="511">
        <v>11</v>
      </c>
      <c r="EH8" s="510"/>
      <c r="EI8" s="511">
        <v>12</v>
      </c>
      <c r="EJ8" s="510"/>
      <c r="EK8" s="511">
        <v>13</v>
      </c>
      <c r="EL8" s="510"/>
      <c r="EM8" s="511">
        <v>14</v>
      </c>
      <c r="EN8" s="510"/>
      <c r="EO8" s="511">
        <v>15</v>
      </c>
      <c r="EP8" s="510"/>
      <c r="EQ8" s="511">
        <v>16</v>
      </c>
      <c r="ER8" s="510"/>
      <c r="ES8" s="511">
        <v>17</v>
      </c>
      <c r="ET8" s="510"/>
      <c r="EU8" s="511">
        <v>18</v>
      </c>
      <c r="EV8" s="510"/>
      <c r="EW8" s="511">
        <v>19</v>
      </c>
      <c r="EX8" s="510"/>
      <c r="EY8" s="511">
        <v>20</v>
      </c>
      <c r="EZ8" s="510"/>
      <c r="FA8" s="511">
        <v>21</v>
      </c>
      <c r="FB8" s="510"/>
      <c r="FC8" s="511">
        <v>22</v>
      </c>
      <c r="FD8" s="510"/>
      <c r="FE8" s="511">
        <v>23</v>
      </c>
      <c r="FF8" s="510"/>
      <c r="FG8" s="511">
        <v>24</v>
      </c>
      <c r="FH8" s="512"/>
      <c r="FI8" s="480"/>
      <c r="FJ8" s="498"/>
      <c r="FK8" s="499"/>
      <c r="FL8" s="499"/>
      <c r="FM8" s="499"/>
      <c r="FN8" s="499"/>
      <c r="FO8" s="500"/>
      <c r="FP8" s="513" t="s">
        <v>260</v>
      </c>
      <c r="FQ8" s="514"/>
      <c r="FR8" s="515"/>
      <c r="FS8" s="516" t="s">
        <v>261</v>
      </c>
      <c r="FT8" s="516"/>
      <c r="FU8" s="517"/>
      <c r="FV8" s="518"/>
      <c r="FW8" s="519"/>
      <c r="FX8" s="519"/>
      <c r="FY8" s="519"/>
      <c r="FZ8" s="519"/>
      <c r="GA8" s="519"/>
      <c r="GB8" s="519"/>
      <c r="GC8" s="519"/>
      <c r="GD8" s="519"/>
      <c r="GE8" s="520"/>
      <c r="GF8" s="492"/>
      <c r="GG8" s="476"/>
      <c r="GH8" s="476"/>
      <c r="GI8" s="476"/>
      <c r="GJ8" s="521" t="s">
        <v>429</v>
      </c>
      <c r="GK8" s="521"/>
      <c r="GL8" s="522"/>
      <c r="GM8" s="523"/>
      <c r="GN8" s="522"/>
      <c r="GO8" s="523"/>
      <c r="GP8" s="522"/>
      <c r="GQ8" s="522"/>
      <c r="GR8" s="522"/>
      <c r="GS8" s="522"/>
      <c r="GT8" s="521" t="s">
        <v>428</v>
      </c>
      <c r="GU8" s="521"/>
      <c r="GV8" s="410"/>
      <c r="GW8" s="476"/>
      <c r="GX8" s="479"/>
      <c r="GY8" s="476"/>
      <c r="GZ8" s="479"/>
      <c r="HA8" s="523"/>
      <c r="HB8" s="523"/>
      <c r="HC8" s="523"/>
      <c r="HD8" s="434"/>
      <c r="HE8" s="434"/>
      <c r="HF8" s="1468"/>
      <c r="HG8" s="1468"/>
    </row>
    <row r="9" spans="1:353" ht="22.5" customHeight="1">
      <c r="A9" s="525" t="s">
        <v>262</v>
      </c>
      <c r="B9" s="526" t="s">
        <v>263</v>
      </c>
      <c r="C9" s="527" t="s">
        <v>264</v>
      </c>
      <c r="D9" s="527" t="s">
        <v>265</v>
      </c>
      <c r="E9" s="528" t="s">
        <v>266</v>
      </c>
      <c r="F9" s="529" t="s">
        <v>267</v>
      </c>
      <c r="G9" s="530" t="s">
        <v>268</v>
      </c>
      <c r="H9" s="531" t="s">
        <v>269</v>
      </c>
      <c r="I9" s="532" t="s">
        <v>270</v>
      </c>
      <c r="J9" s="531" t="s">
        <v>269</v>
      </c>
      <c r="K9" s="532" t="s">
        <v>270</v>
      </c>
      <c r="L9" s="531" t="s">
        <v>269</v>
      </c>
      <c r="M9" s="532" t="s">
        <v>270</v>
      </c>
      <c r="N9" s="531" t="s">
        <v>269</v>
      </c>
      <c r="O9" s="532" t="s">
        <v>270</v>
      </c>
      <c r="P9" s="531" t="s">
        <v>269</v>
      </c>
      <c r="Q9" s="532" t="s">
        <v>270</v>
      </c>
      <c r="R9" s="531" t="s">
        <v>269</v>
      </c>
      <c r="S9" s="532" t="s">
        <v>270</v>
      </c>
      <c r="T9" s="531" t="s">
        <v>269</v>
      </c>
      <c r="U9" s="532" t="s">
        <v>270</v>
      </c>
      <c r="V9" s="531" t="s">
        <v>269</v>
      </c>
      <c r="W9" s="532" t="s">
        <v>270</v>
      </c>
      <c r="X9" s="531" t="s">
        <v>269</v>
      </c>
      <c r="Y9" s="532" t="s">
        <v>270</v>
      </c>
      <c r="Z9" s="531" t="s">
        <v>269</v>
      </c>
      <c r="AA9" s="532" t="s">
        <v>270</v>
      </c>
      <c r="AB9" s="531" t="s">
        <v>269</v>
      </c>
      <c r="AC9" s="532" t="s">
        <v>270</v>
      </c>
      <c r="AD9" s="531" t="s">
        <v>269</v>
      </c>
      <c r="AE9" s="532" t="s">
        <v>270</v>
      </c>
      <c r="AF9" s="531" t="s">
        <v>269</v>
      </c>
      <c r="AG9" s="532" t="s">
        <v>270</v>
      </c>
      <c r="AH9" s="531" t="s">
        <v>269</v>
      </c>
      <c r="AI9" s="532" t="s">
        <v>270</v>
      </c>
      <c r="AJ9" s="531" t="s">
        <v>269</v>
      </c>
      <c r="AK9" s="532" t="s">
        <v>270</v>
      </c>
      <c r="AL9" s="531" t="s">
        <v>269</v>
      </c>
      <c r="AM9" s="532" t="s">
        <v>270</v>
      </c>
      <c r="AN9" s="531" t="s">
        <v>269</v>
      </c>
      <c r="AO9" s="532" t="s">
        <v>270</v>
      </c>
      <c r="AP9" s="531" t="s">
        <v>269</v>
      </c>
      <c r="AQ9" s="532" t="s">
        <v>270</v>
      </c>
      <c r="AR9" s="531" t="s">
        <v>269</v>
      </c>
      <c r="AS9" s="532" t="s">
        <v>270</v>
      </c>
      <c r="AT9" s="531" t="s">
        <v>269</v>
      </c>
      <c r="AU9" s="532" t="s">
        <v>270</v>
      </c>
      <c r="AV9" s="531" t="s">
        <v>269</v>
      </c>
      <c r="AW9" s="532" t="s">
        <v>270</v>
      </c>
      <c r="AX9" s="531" t="s">
        <v>269</v>
      </c>
      <c r="AY9" s="532" t="s">
        <v>270</v>
      </c>
      <c r="AZ9" s="531" t="s">
        <v>269</v>
      </c>
      <c r="BA9" s="532" t="s">
        <v>270</v>
      </c>
      <c r="BB9" s="533" t="s">
        <v>271</v>
      </c>
      <c r="BC9" s="496"/>
      <c r="BD9" s="525" t="s">
        <v>262</v>
      </c>
      <c r="BE9" s="526" t="s">
        <v>263</v>
      </c>
      <c r="BF9" s="527" t="s">
        <v>264</v>
      </c>
      <c r="BG9" s="527" t="s">
        <v>265</v>
      </c>
      <c r="BH9" s="528" t="s">
        <v>266</v>
      </c>
      <c r="BI9" s="529" t="s">
        <v>267</v>
      </c>
      <c r="BJ9" s="530" t="s">
        <v>268</v>
      </c>
      <c r="BK9" s="531" t="s">
        <v>269</v>
      </c>
      <c r="BL9" s="532" t="s">
        <v>270</v>
      </c>
      <c r="BM9" s="531" t="s">
        <v>269</v>
      </c>
      <c r="BN9" s="532" t="s">
        <v>270</v>
      </c>
      <c r="BO9" s="531" t="s">
        <v>269</v>
      </c>
      <c r="BP9" s="532" t="s">
        <v>270</v>
      </c>
      <c r="BQ9" s="531" t="s">
        <v>269</v>
      </c>
      <c r="BR9" s="532" t="s">
        <v>270</v>
      </c>
      <c r="BS9" s="531" t="s">
        <v>269</v>
      </c>
      <c r="BT9" s="532" t="s">
        <v>270</v>
      </c>
      <c r="BU9" s="531" t="s">
        <v>269</v>
      </c>
      <c r="BV9" s="532" t="s">
        <v>270</v>
      </c>
      <c r="BW9" s="531" t="s">
        <v>269</v>
      </c>
      <c r="BX9" s="532" t="s">
        <v>270</v>
      </c>
      <c r="BY9" s="531" t="s">
        <v>269</v>
      </c>
      <c r="BZ9" s="532" t="s">
        <v>270</v>
      </c>
      <c r="CA9" s="531" t="s">
        <v>269</v>
      </c>
      <c r="CB9" s="532" t="s">
        <v>270</v>
      </c>
      <c r="CC9" s="531" t="s">
        <v>269</v>
      </c>
      <c r="CD9" s="532" t="s">
        <v>270</v>
      </c>
      <c r="CE9" s="531" t="s">
        <v>269</v>
      </c>
      <c r="CF9" s="532" t="s">
        <v>270</v>
      </c>
      <c r="CG9" s="531" t="s">
        <v>269</v>
      </c>
      <c r="CH9" s="532" t="s">
        <v>270</v>
      </c>
      <c r="CI9" s="531" t="s">
        <v>269</v>
      </c>
      <c r="CJ9" s="532" t="s">
        <v>270</v>
      </c>
      <c r="CK9" s="531" t="s">
        <v>269</v>
      </c>
      <c r="CL9" s="532" t="s">
        <v>270</v>
      </c>
      <c r="CM9" s="531" t="s">
        <v>269</v>
      </c>
      <c r="CN9" s="532" t="s">
        <v>270</v>
      </c>
      <c r="CO9" s="531" t="s">
        <v>269</v>
      </c>
      <c r="CP9" s="532" t="s">
        <v>270</v>
      </c>
      <c r="CQ9" s="531" t="s">
        <v>269</v>
      </c>
      <c r="CR9" s="532" t="s">
        <v>270</v>
      </c>
      <c r="CS9" s="531" t="s">
        <v>269</v>
      </c>
      <c r="CT9" s="532" t="s">
        <v>270</v>
      </c>
      <c r="CU9" s="531" t="s">
        <v>269</v>
      </c>
      <c r="CV9" s="532" t="s">
        <v>270</v>
      </c>
      <c r="CW9" s="531" t="s">
        <v>269</v>
      </c>
      <c r="CX9" s="532" t="s">
        <v>270</v>
      </c>
      <c r="CY9" s="531" t="s">
        <v>269</v>
      </c>
      <c r="CZ9" s="532" t="s">
        <v>270</v>
      </c>
      <c r="DA9" s="531" t="s">
        <v>269</v>
      </c>
      <c r="DB9" s="532" t="s">
        <v>270</v>
      </c>
      <c r="DC9" s="531" t="s">
        <v>269</v>
      </c>
      <c r="DD9" s="532" t="s">
        <v>270</v>
      </c>
      <c r="DE9" s="533" t="s">
        <v>271</v>
      </c>
      <c r="DF9" s="496"/>
      <c r="DG9" s="525" t="s">
        <v>262</v>
      </c>
      <c r="DH9" s="526" t="s">
        <v>263</v>
      </c>
      <c r="DI9" s="527" t="s">
        <v>264</v>
      </c>
      <c r="DJ9" s="527" t="s">
        <v>265</v>
      </c>
      <c r="DK9" s="528" t="s">
        <v>266</v>
      </c>
      <c r="DL9" s="529" t="s">
        <v>267</v>
      </c>
      <c r="DM9" s="530" t="s">
        <v>268</v>
      </c>
      <c r="DN9" s="531" t="s">
        <v>269</v>
      </c>
      <c r="DO9" s="532" t="s">
        <v>270</v>
      </c>
      <c r="DP9" s="531" t="s">
        <v>269</v>
      </c>
      <c r="DQ9" s="532" t="s">
        <v>270</v>
      </c>
      <c r="DR9" s="531" t="s">
        <v>269</v>
      </c>
      <c r="DS9" s="532" t="s">
        <v>270</v>
      </c>
      <c r="DT9" s="531" t="s">
        <v>269</v>
      </c>
      <c r="DU9" s="532" t="s">
        <v>270</v>
      </c>
      <c r="DV9" s="531" t="s">
        <v>269</v>
      </c>
      <c r="DW9" s="532" t="s">
        <v>270</v>
      </c>
      <c r="DX9" s="531" t="s">
        <v>269</v>
      </c>
      <c r="DY9" s="532" t="s">
        <v>270</v>
      </c>
      <c r="DZ9" s="531" t="s">
        <v>269</v>
      </c>
      <c r="EA9" s="532" t="s">
        <v>270</v>
      </c>
      <c r="EB9" s="531" t="s">
        <v>269</v>
      </c>
      <c r="EC9" s="532" t="s">
        <v>270</v>
      </c>
      <c r="ED9" s="531" t="s">
        <v>269</v>
      </c>
      <c r="EE9" s="532" t="s">
        <v>270</v>
      </c>
      <c r="EF9" s="531" t="s">
        <v>269</v>
      </c>
      <c r="EG9" s="532" t="s">
        <v>270</v>
      </c>
      <c r="EH9" s="531" t="s">
        <v>269</v>
      </c>
      <c r="EI9" s="532" t="s">
        <v>270</v>
      </c>
      <c r="EJ9" s="531" t="s">
        <v>269</v>
      </c>
      <c r="EK9" s="532" t="s">
        <v>270</v>
      </c>
      <c r="EL9" s="531" t="s">
        <v>269</v>
      </c>
      <c r="EM9" s="532" t="s">
        <v>270</v>
      </c>
      <c r="EN9" s="531" t="s">
        <v>269</v>
      </c>
      <c r="EO9" s="532" t="s">
        <v>270</v>
      </c>
      <c r="EP9" s="531" t="s">
        <v>269</v>
      </c>
      <c r="EQ9" s="532" t="s">
        <v>270</v>
      </c>
      <c r="ER9" s="531" t="s">
        <v>269</v>
      </c>
      <c r="ES9" s="532" t="s">
        <v>270</v>
      </c>
      <c r="ET9" s="531" t="s">
        <v>269</v>
      </c>
      <c r="EU9" s="532" t="s">
        <v>270</v>
      </c>
      <c r="EV9" s="531" t="s">
        <v>269</v>
      </c>
      <c r="EW9" s="532" t="s">
        <v>270</v>
      </c>
      <c r="EX9" s="531" t="s">
        <v>269</v>
      </c>
      <c r="EY9" s="532" t="s">
        <v>270</v>
      </c>
      <c r="EZ9" s="531" t="s">
        <v>269</v>
      </c>
      <c r="FA9" s="532" t="s">
        <v>270</v>
      </c>
      <c r="FB9" s="531" t="s">
        <v>269</v>
      </c>
      <c r="FC9" s="532" t="s">
        <v>270</v>
      </c>
      <c r="FD9" s="531" t="s">
        <v>269</v>
      </c>
      <c r="FE9" s="532" t="s">
        <v>270</v>
      </c>
      <c r="FF9" s="531" t="s">
        <v>269</v>
      </c>
      <c r="FG9" s="532" t="s">
        <v>270</v>
      </c>
      <c r="FH9" s="533" t="s">
        <v>271</v>
      </c>
      <c r="FI9" s="534"/>
      <c r="FJ9" s="535" t="s">
        <v>262</v>
      </c>
      <c r="FK9" s="526" t="s">
        <v>263</v>
      </c>
      <c r="FL9" s="527" t="s">
        <v>264</v>
      </c>
      <c r="FM9" s="527" t="s">
        <v>265</v>
      </c>
      <c r="FN9" s="528" t="s">
        <v>266</v>
      </c>
      <c r="FO9" s="529" t="s">
        <v>267</v>
      </c>
      <c r="FP9" s="536" t="s">
        <v>272</v>
      </c>
      <c r="FQ9" s="537" t="s">
        <v>270</v>
      </c>
      <c r="FR9" s="531" t="s">
        <v>271</v>
      </c>
      <c r="FS9" s="538" t="s">
        <v>272</v>
      </c>
      <c r="FT9" s="537" t="s">
        <v>270</v>
      </c>
      <c r="FU9" s="531" t="s">
        <v>271</v>
      </c>
      <c r="FV9" s="518"/>
      <c r="FW9" s="519"/>
      <c r="FX9" s="519"/>
      <c r="FY9" s="519"/>
      <c r="FZ9" s="519"/>
      <c r="GA9" s="519"/>
      <c r="GB9" s="519"/>
      <c r="GC9" s="519"/>
      <c r="GD9" s="539"/>
      <c r="GE9" s="540"/>
      <c r="GF9" s="492"/>
      <c r="GG9" s="541"/>
      <c r="GH9" s="541"/>
      <c r="GI9" s="541"/>
      <c r="GJ9" s="522"/>
      <c r="GK9" s="523" t="s">
        <v>458</v>
      </c>
      <c r="GL9" s="522"/>
      <c r="GM9" s="523"/>
      <c r="GN9" s="522"/>
      <c r="GO9" s="542">
        <v>0.92</v>
      </c>
      <c r="GP9" s="522"/>
      <c r="GQ9" s="522"/>
      <c r="GR9" s="522"/>
      <c r="GS9" s="522"/>
      <c r="GT9" s="543"/>
      <c r="GU9" s="476" t="s">
        <v>459</v>
      </c>
      <c r="GV9" s="410"/>
      <c r="GW9" s="476"/>
      <c r="GX9" s="544">
        <v>1</v>
      </c>
      <c r="GY9" s="476"/>
      <c r="GZ9" s="479"/>
      <c r="HA9" s="523"/>
      <c r="HB9" s="523"/>
      <c r="HC9" s="523"/>
      <c r="HD9" s="434"/>
      <c r="HE9" s="434"/>
      <c r="HF9" s="1472"/>
      <c r="HG9" s="1472"/>
    </row>
    <row r="10" spans="1:353" ht="20.100000000000001" customHeight="1">
      <c r="A10" s="545"/>
      <c r="B10" s="546"/>
      <c r="C10" s="547"/>
      <c r="D10" s="548"/>
      <c r="E10" s="546"/>
      <c r="F10" s="547"/>
      <c r="G10" s="549"/>
      <c r="H10" s="550"/>
      <c r="I10" s="551"/>
      <c r="J10" s="552"/>
      <c r="K10" s="553"/>
      <c r="L10" s="552"/>
      <c r="M10" s="553"/>
      <c r="N10" s="552"/>
      <c r="O10" s="553"/>
      <c r="P10" s="552"/>
      <c r="Q10" s="553"/>
      <c r="R10" s="552"/>
      <c r="S10" s="553"/>
      <c r="T10" s="552"/>
      <c r="U10" s="553"/>
      <c r="V10" s="552"/>
      <c r="W10" s="553"/>
      <c r="X10" s="552"/>
      <c r="Y10" s="553"/>
      <c r="Z10" s="552"/>
      <c r="AA10" s="553"/>
      <c r="AB10" s="552"/>
      <c r="AC10" s="553"/>
      <c r="AD10" s="552"/>
      <c r="AE10" s="553"/>
      <c r="AF10" s="552"/>
      <c r="AG10" s="553"/>
      <c r="AH10" s="552"/>
      <c r="AI10" s="553"/>
      <c r="AJ10" s="552"/>
      <c r="AK10" s="553"/>
      <c r="AL10" s="552"/>
      <c r="AM10" s="553"/>
      <c r="AN10" s="552"/>
      <c r="AO10" s="553"/>
      <c r="AP10" s="552"/>
      <c r="AQ10" s="553"/>
      <c r="AR10" s="552"/>
      <c r="AS10" s="553"/>
      <c r="AT10" s="552"/>
      <c r="AU10" s="553"/>
      <c r="AV10" s="552"/>
      <c r="AW10" s="553"/>
      <c r="AX10" s="552"/>
      <c r="AY10" s="553"/>
      <c r="AZ10" s="552"/>
      <c r="BA10" s="553"/>
      <c r="BB10" s="554"/>
      <c r="BC10" s="555"/>
      <c r="BD10" s="545"/>
      <c r="BE10" s="546"/>
      <c r="BF10" s="547"/>
      <c r="BG10" s="548"/>
      <c r="BH10" s="546"/>
      <c r="BI10" s="547"/>
      <c r="BJ10" s="549"/>
      <c r="BK10" s="550"/>
      <c r="BL10" s="551"/>
      <c r="BM10" s="552"/>
      <c r="BN10" s="553"/>
      <c r="BO10" s="552"/>
      <c r="BP10" s="553"/>
      <c r="BQ10" s="552"/>
      <c r="BR10" s="553"/>
      <c r="BS10" s="552"/>
      <c r="BT10" s="553"/>
      <c r="BU10" s="552"/>
      <c r="BV10" s="553"/>
      <c r="BW10" s="552"/>
      <c r="BX10" s="553"/>
      <c r="BY10" s="552"/>
      <c r="BZ10" s="553"/>
      <c r="CA10" s="552"/>
      <c r="CB10" s="553"/>
      <c r="CC10" s="552"/>
      <c r="CD10" s="553"/>
      <c r="CE10" s="552"/>
      <c r="CF10" s="553"/>
      <c r="CG10" s="552"/>
      <c r="CH10" s="553"/>
      <c r="CI10" s="552"/>
      <c r="CJ10" s="553"/>
      <c r="CK10" s="552"/>
      <c r="CL10" s="553"/>
      <c r="CM10" s="552"/>
      <c r="CN10" s="553"/>
      <c r="CO10" s="552"/>
      <c r="CP10" s="553"/>
      <c r="CQ10" s="552"/>
      <c r="CR10" s="553"/>
      <c r="CS10" s="552"/>
      <c r="CT10" s="553"/>
      <c r="CU10" s="552"/>
      <c r="CV10" s="553"/>
      <c r="CW10" s="552"/>
      <c r="CX10" s="553"/>
      <c r="CY10" s="552"/>
      <c r="CZ10" s="553"/>
      <c r="DA10" s="552"/>
      <c r="DB10" s="553"/>
      <c r="DC10" s="552"/>
      <c r="DD10" s="553"/>
      <c r="DE10" s="554"/>
      <c r="DF10" s="555"/>
      <c r="DG10" s="545"/>
      <c r="DH10" s="546"/>
      <c r="DI10" s="547"/>
      <c r="DJ10" s="548"/>
      <c r="DK10" s="546"/>
      <c r="DL10" s="547"/>
      <c r="DM10" s="549"/>
      <c r="DN10" s="550"/>
      <c r="DO10" s="551"/>
      <c r="DP10" s="552"/>
      <c r="DQ10" s="553"/>
      <c r="DR10" s="552"/>
      <c r="DS10" s="553"/>
      <c r="DT10" s="552"/>
      <c r="DU10" s="553"/>
      <c r="DV10" s="552"/>
      <c r="DW10" s="553"/>
      <c r="DX10" s="552"/>
      <c r="DY10" s="553"/>
      <c r="DZ10" s="552"/>
      <c r="EA10" s="553"/>
      <c r="EB10" s="552"/>
      <c r="EC10" s="553"/>
      <c r="ED10" s="552"/>
      <c r="EE10" s="553"/>
      <c r="EF10" s="552"/>
      <c r="EG10" s="553"/>
      <c r="EH10" s="552"/>
      <c r="EI10" s="553"/>
      <c r="EJ10" s="552"/>
      <c r="EK10" s="553"/>
      <c r="EL10" s="552"/>
      <c r="EM10" s="553"/>
      <c r="EN10" s="552"/>
      <c r="EO10" s="553"/>
      <c r="EP10" s="552"/>
      <c r="EQ10" s="553"/>
      <c r="ER10" s="552"/>
      <c r="ES10" s="553"/>
      <c r="ET10" s="552"/>
      <c r="EU10" s="553"/>
      <c r="EV10" s="552"/>
      <c r="EW10" s="553"/>
      <c r="EX10" s="552"/>
      <c r="EY10" s="553"/>
      <c r="EZ10" s="552"/>
      <c r="FA10" s="553"/>
      <c r="FB10" s="552"/>
      <c r="FC10" s="553"/>
      <c r="FD10" s="552"/>
      <c r="FE10" s="553"/>
      <c r="FF10" s="552"/>
      <c r="FG10" s="553"/>
      <c r="FH10" s="554"/>
      <c r="FI10" s="556"/>
      <c r="FJ10" s="557"/>
      <c r="FK10" s="546"/>
      <c r="FL10" s="547"/>
      <c r="FM10" s="548"/>
      <c r="FN10" s="546"/>
      <c r="FO10" s="547"/>
      <c r="FP10" s="558"/>
      <c r="FQ10" s="551"/>
      <c r="FR10" s="550" t="s">
        <v>273</v>
      </c>
      <c r="FS10" s="559"/>
      <c r="FT10" s="551"/>
      <c r="FU10" s="560" t="s">
        <v>273</v>
      </c>
      <c r="FV10" s="561" t="s">
        <v>274</v>
      </c>
      <c r="FW10" s="562"/>
      <c r="FX10" s="563" t="s">
        <v>275</v>
      </c>
      <c r="FY10" s="564"/>
      <c r="FZ10" s="565" t="s">
        <v>276</v>
      </c>
      <c r="GA10" s="566"/>
      <c r="GB10" s="567" t="s">
        <v>338</v>
      </c>
      <c r="GC10" s="568"/>
      <c r="GD10" s="569" t="s">
        <v>340</v>
      </c>
      <c r="GE10" s="570"/>
      <c r="GF10" s="492"/>
      <c r="GG10" s="541"/>
      <c r="GH10" s="541"/>
      <c r="GI10" s="541"/>
      <c r="GJ10" s="571"/>
      <c r="GK10" s="493"/>
      <c r="GL10" s="493"/>
      <c r="GM10" s="572"/>
      <c r="GN10" s="572"/>
      <c r="GO10" s="571"/>
      <c r="GP10" s="493"/>
      <c r="GQ10" s="493"/>
      <c r="GR10" s="493"/>
      <c r="GS10" s="493"/>
      <c r="GT10" s="493"/>
      <c r="GU10" s="493"/>
      <c r="GV10" s="493"/>
      <c r="GW10" s="572"/>
      <c r="GX10" s="572"/>
      <c r="GY10" s="572"/>
      <c r="GZ10" s="571"/>
      <c r="HA10" s="493"/>
      <c r="HB10" s="493"/>
      <c r="HC10" s="573"/>
      <c r="HD10" s="792"/>
      <c r="HE10" s="434"/>
      <c r="HF10" s="1472"/>
      <c r="HG10" s="1472"/>
    </row>
    <row r="11" spans="1:353" ht="20.100000000000001" customHeight="1">
      <c r="A11" s="545"/>
      <c r="B11" s="574"/>
      <c r="C11" s="575"/>
      <c r="D11" s="576"/>
      <c r="E11" s="574"/>
      <c r="F11" s="575"/>
      <c r="G11" s="577"/>
      <c r="H11" s="578"/>
      <c r="I11" s="579"/>
      <c r="J11" s="580"/>
      <c r="K11" s="581"/>
      <c r="L11" s="580"/>
      <c r="M11" s="581"/>
      <c r="N11" s="580"/>
      <c r="O11" s="581"/>
      <c r="P11" s="580"/>
      <c r="Q11" s="581"/>
      <c r="R11" s="580"/>
      <c r="S11" s="581"/>
      <c r="T11" s="580"/>
      <c r="U11" s="581"/>
      <c r="V11" s="580"/>
      <c r="W11" s="581"/>
      <c r="X11" s="580"/>
      <c r="Y11" s="581"/>
      <c r="Z11" s="580"/>
      <c r="AA11" s="581"/>
      <c r="AB11" s="580"/>
      <c r="AC11" s="581"/>
      <c r="AD11" s="580"/>
      <c r="AE11" s="581"/>
      <c r="AF11" s="580"/>
      <c r="AG11" s="581"/>
      <c r="AH11" s="580"/>
      <c r="AI11" s="581"/>
      <c r="AJ11" s="580"/>
      <c r="AK11" s="581"/>
      <c r="AL11" s="580"/>
      <c r="AM11" s="581"/>
      <c r="AN11" s="580"/>
      <c r="AO11" s="581"/>
      <c r="AP11" s="580"/>
      <c r="AQ11" s="581"/>
      <c r="AR11" s="580"/>
      <c r="AS11" s="581"/>
      <c r="AT11" s="580"/>
      <c r="AU11" s="581"/>
      <c r="AV11" s="580"/>
      <c r="AW11" s="581"/>
      <c r="AX11" s="580"/>
      <c r="AY11" s="581"/>
      <c r="AZ11" s="580"/>
      <c r="BA11" s="581"/>
      <c r="BB11" s="582"/>
      <c r="BC11" s="555"/>
      <c r="BD11" s="545"/>
      <c r="BE11" s="574"/>
      <c r="BF11" s="575"/>
      <c r="BG11" s="576"/>
      <c r="BH11" s="574"/>
      <c r="BI11" s="575"/>
      <c r="BJ11" s="577"/>
      <c r="BK11" s="578"/>
      <c r="BL11" s="579"/>
      <c r="BM11" s="580"/>
      <c r="BN11" s="581"/>
      <c r="BO11" s="580"/>
      <c r="BP11" s="581"/>
      <c r="BQ11" s="580"/>
      <c r="BR11" s="581"/>
      <c r="BS11" s="580"/>
      <c r="BT11" s="581"/>
      <c r="BU11" s="580"/>
      <c r="BV11" s="581"/>
      <c r="BW11" s="580"/>
      <c r="BX11" s="581"/>
      <c r="BY11" s="580"/>
      <c r="BZ11" s="581"/>
      <c r="CA11" s="580"/>
      <c r="CB11" s="581"/>
      <c r="CC11" s="580"/>
      <c r="CD11" s="581"/>
      <c r="CE11" s="580"/>
      <c r="CF11" s="581"/>
      <c r="CG11" s="580"/>
      <c r="CH11" s="581"/>
      <c r="CI11" s="580"/>
      <c r="CJ11" s="581"/>
      <c r="CK11" s="580"/>
      <c r="CL11" s="581"/>
      <c r="CM11" s="580"/>
      <c r="CN11" s="581"/>
      <c r="CO11" s="580"/>
      <c r="CP11" s="581"/>
      <c r="CQ11" s="580"/>
      <c r="CR11" s="581"/>
      <c r="CS11" s="580"/>
      <c r="CT11" s="581"/>
      <c r="CU11" s="580"/>
      <c r="CV11" s="581"/>
      <c r="CW11" s="580"/>
      <c r="CX11" s="581"/>
      <c r="CY11" s="580"/>
      <c r="CZ11" s="581"/>
      <c r="DA11" s="580"/>
      <c r="DB11" s="581"/>
      <c r="DC11" s="580"/>
      <c r="DD11" s="581"/>
      <c r="DE11" s="582"/>
      <c r="DF11" s="555"/>
      <c r="DG11" s="545"/>
      <c r="DH11" s="574"/>
      <c r="DI11" s="575"/>
      <c r="DJ11" s="576"/>
      <c r="DK11" s="574"/>
      <c r="DL11" s="575"/>
      <c r="DM11" s="577"/>
      <c r="DN11" s="578"/>
      <c r="DO11" s="579"/>
      <c r="DP11" s="580"/>
      <c r="DQ11" s="581"/>
      <c r="DR11" s="580"/>
      <c r="DS11" s="581"/>
      <c r="DT11" s="580"/>
      <c r="DU11" s="581"/>
      <c r="DV11" s="580"/>
      <c r="DW11" s="581"/>
      <c r="DX11" s="580"/>
      <c r="DY11" s="581"/>
      <c r="DZ11" s="580"/>
      <c r="EA11" s="581"/>
      <c r="EB11" s="580"/>
      <c r="EC11" s="581"/>
      <c r="ED11" s="580"/>
      <c r="EE11" s="581"/>
      <c r="EF11" s="580"/>
      <c r="EG11" s="581"/>
      <c r="EH11" s="580"/>
      <c r="EI11" s="581"/>
      <c r="EJ11" s="580"/>
      <c r="EK11" s="581"/>
      <c r="EL11" s="580"/>
      <c r="EM11" s="581"/>
      <c r="EN11" s="580"/>
      <c r="EO11" s="581"/>
      <c r="EP11" s="580"/>
      <c r="EQ11" s="581"/>
      <c r="ER11" s="580"/>
      <c r="ES11" s="581"/>
      <c r="ET11" s="580"/>
      <c r="EU11" s="581"/>
      <c r="EV11" s="580"/>
      <c r="EW11" s="581"/>
      <c r="EX11" s="580"/>
      <c r="EY11" s="581"/>
      <c r="EZ11" s="580"/>
      <c r="FA11" s="581"/>
      <c r="FB11" s="580"/>
      <c r="FC11" s="581"/>
      <c r="FD11" s="580"/>
      <c r="FE11" s="581"/>
      <c r="FF11" s="580"/>
      <c r="FG11" s="581"/>
      <c r="FH11" s="582"/>
      <c r="FI11" s="556"/>
      <c r="FJ11" s="557"/>
      <c r="FK11" s="574"/>
      <c r="FL11" s="575"/>
      <c r="FM11" s="576"/>
      <c r="FN11" s="574"/>
      <c r="FO11" s="575"/>
      <c r="FP11" s="583"/>
      <c r="FQ11" s="579"/>
      <c r="FR11" s="578" t="s">
        <v>273</v>
      </c>
      <c r="FS11" s="584"/>
      <c r="FT11" s="579"/>
      <c r="FU11" s="585" t="s">
        <v>273</v>
      </c>
      <c r="FV11" s="586"/>
      <c r="FW11" s="587"/>
      <c r="FX11" s="588"/>
      <c r="FY11" s="589"/>
      <c r="FZ11" s="590"/>
      <c r="GA11" s="591"/>
      <c r="GB11" s="592"/>
      <c r="GC11" s="593"/>
      <c r="GD11" s="592"/>
      <c r="GE11" s="594"/>
      <c r="GF11" s="492"/>
      <c r="GG11" s="595"/>
      <c r="GH11" s="595"/>
      <c r="GI11" s="595"/>
      <c r="GJ11" s="522"/>
      <c r="GK11" s="573" t="s">
        <v>460</v>
      </c>
      <c r="GL11" s="410"/>
      <c r="GM11" s="476"/>
      <c r="GN11" s="479"/>
      <c r="GO11" s="476"/>
      <c r="GP11" s="410"/>
      <c r="GQ11" s="522"/>
      <c r="GR11" s="522"/>
      <c r="GS11" s="522"/>
      <c r="GT11" s="541"/>
      <c r="GU11" s="573" t="s">
        <v>461</v>
      </c>
      <c r="GV11" s="410"/>
      <c r="GW11" s="476"/>
      <c r="GX11" s="479"/>
      <c r="GY11" s="476"/>
      <c r="GZ11" s="410"/>
      <c r="HA11" s="523"/>
      <c r="HB11" s="523"/>
      <c r="HC11" s="406"/>
      <c r="HD11" s="792"/>
      <c r="HE11" s="434"/>
      <c r="HF11" s="1472"/>
      <c r="HG11" s="1472"/>
    </row>
    <row r="12" spans="1:353" ht="20.100000000000001" customHeight="1">
      <c r="A12" s="545"/>
      <c r="B12" s="574"/>
      <c r="C12" s="575"/>
      <c r="D12" s="576"/>
      <c r="E12" s="574"/>
      <c r="F12" s="575"/>
      <c r="G12" s="577"/>
      <c r="H12" s="578"/>
      <c r="I12" s="579"/>
      <c r="J12" s="580"/>
      <c r="K12" s="581"/>
      <c r="L12" s="580"/>
      <c r="M12" s="581"/>
      <c r="N12" s="580"/>
      <c r="O12" s="581"/>
      <c r="P12" s="580"/>
      <c r="Q12" s="581"/>
      <c r="R12" s="580"/>
      <c r="S12" s="581"/>
      <c r="T12" s="580"/>
      <c r="U12" s="581"/>
      <c r="V12" s="580"/>
      <c r="W12" s="581"/>
      <c r="X12" s="580"/>
      <c r="Y12" s="581"/>
      <c r="Z12" s="580"/>
      <c r="AA12" s="581"/>
      <c r="AB12" s="580"/>
      <c r="AC12" s="581"/>
      <c r="AD12" s="580"/>
      <c r="AE12" s="581"/>
      <c r="AF12" s="580"/>
      <c r="AG12" s="581"/>
      <c r="AH12" s="580"/>
      <c r="AI12" s="581"/>
      <c r="AJ12" s="580"/>
      <c r="AK12" s="581"/>
      <c r="AL12" s="580"/>
      <c r="AM12" s="581"/>
      <c r="AN12" s="580"/>
      <c r="AO12" s="581"/>
      <c r="AP12" s="580"/>
      <c r="AQ12" s="581"/>
      <c r="AR12" s="580"/>
      <c r="AS12" s="581"/>
      <c r="AT12" s="580"/>
      <c r="AU12" s="581"/>
      <c r="AV12" s="580"/>
      <c r="AW12" s="581"/>
      <c r="AX12" s="580"/>
      <c r="AY12" s="581"/>
      <c r="AZ12" s="580"/>
      <c r="BA12" s="581"/>
      <c r="BB12" s="582"/>
      <c r="BC12" s="555"/>
      <c r="BD12" s="545"/>
      <c r="BE12" s="574"/>
      <c r="BF12" s="575"/>
      <c r="BG12" s="576"/>
      <c r="BH12" s="574"/>
      <c r="BI12" s="575"/>
      <c r="BJ12" s="577"/>
      <c r="BK12" s="578"/>
      <c r="BL12" s="579"/>
      <c r="BM12" s="580"/>
      <c r="BN12" s="581"/>
      <c r="BO12" s="580"/>
      <c r="BP12" s="581"/>
      <c r="BQ12" s="580"/>
      <c r="BR12" s="581"/>
      <c r="BS12" s="580"/>
      <c r="BT12" s="581"/>
      <c r="BU12" s="580"/>
      <c r="BV12" s="581"/>
      <c r="BW12" s="580"/>
      <c r="BX12" s="581"/>
      <c r="BY12" s="580"/>
      <c r="BZ12" s="581"/>
      <c r="CA12" s="580"/>
      <c r="CB12" s="581"/>
      <c r="CC12" s="580"/>
      <c r="CD12" s="581"/>
      <c r="CE12" s="580"/>
      <c r="CF12" s="581"/>
      <c r="CG12" s="580"/>
      <c r="CH12" s="581"/>
      <c r="CI12" s="580"/>
      <c r="CJ12" s="581"/>
      <c r="CK12" s="580"/>
      <c r="CL12" s="581"/>
      <c r="CM12" s="580"/>
      <c r="CN12" s="581"/>
      <c r="CO12" s="580"/>
      <c r="CP12" s="581"/>
      <c r="CQ12" s="580"/>
      <c r="CR12" s="581"/>
      <c r="CS12" s="580"/>
      <c r="CT12" s="581"/>
      <c r="CU12" s="580"/>
      <c r="CV12" s="581"/>
      <c r="CW12" s="580"/>
      <c r="CX12" s="581"/>
      <c r="CY12" s="580"/>
      <c r="CZ12" s="581"/>
      <c r="DA12" s="580"/>
      <c r="DB12" s="581"/>
      <c r="DC12" s="580"/>
      <c r="DD12" s="581"/>
      <c r="DE12" s="582"/>
      <c r="DF12" s="555"/>
      <c r="DG12" s="545"/>
      <c r="DH12" s="574"/>
      <c r="DI12" s="575"/>
      <c r="DJ12" s="576"/>
      <c r="DK12" s="574"/>
      <c r="DL12" s="575"/>
      <c r="DM12" s="577"/>
      <c r="DN12" s="578"/>
      <c r="DO12" s="579"/>
      <c r="DP12" s="580"/>
      <c r="DQ12" s="581"/>
      <c r="DR12" s="580"/>
      <c r="DS12" s="581"/>
      <c r="DT12" s="580"/>
      <c r="DU12" s="581"/>
      <c r="DV12" s="580"/>
      <c r="DW12" s="581"/>
      <c r="DX12" s="580"/>
      <c r="DY12" s="581"/>
      <c r="DZ12" s="580"/>
      <c r="EA12" s="581"/>
      <c r="EB12" s="580"/>
      <c r="EC12" s="581"/>
      <c r="ED12" s="580"/>
      <c r="EE12" s="581"/>
      <c r="EF12" s="580"/>
      <c r="EG12" s="581"/>
      <c r="EH12" s="580"/>
      <c r="EI12" s="581"/>
      <c r="EJ12" s="580"/>
      <c r="EK12" s="581"/>
      <c r="EL12" s="580"/>
      <c r="EM12" s="581"/>
      <c r="EN12" s="580"/>
      <c r="EO12" s="581"/>
      <c r="EP12" s="580"/>
      <c r="EQ12" s="581"/>
      <c r="ER12" s="580"/>
      <c r="ES12" s="581"/>
      <c r="ET12" s="580"/>
      <c r="EU12" s="581"/>
      <c r="EV12" s="580"/>
      <c r="EW12" s="581"/>
      <c r="EX12" s="580"/>
      <c r="EY12" s="581"/>
      <c r="EZ12" s="580"/>
      <c r="FA12" s="581"/>
      <c r="FB12" s="580"/>
      <c r="FC12" s="581"/>
      <c r="FD12" s="580"/>
      <c r="FE12" s="581"/>
      <c r="FF12" s="580"/>
      <c r="FG12" s="581"/>
      <c r="FH12" s="582"/>
      <c r="FI12" s="556"/>
      <c r="FJ12" s="557"/>
      <c r="FK12" s="574"/>
      <c r="FL12" s="575"/>
      <c r="FM12" s="576"/>
      <c r="FN12" s="574"/>
      <c r="FO12" s="575"/>
      <c r="FP12" s="583"/>
      <c r="FQ12" s="579"/>
      <c r="FR12" s="578" t="s">
        <v>273</v>
      </c>
      <c r="FS12" s="584"/>
      <c r="FT12" s="579"/>
      <c r="FU12" s="585" t="s">
        <v>273</v>
      </c>
      <c r="FV12" s="586"/>
      <c r="FW12" s="587"/>
      <c r="FX12" s="588"/>
      <c r="FY12" s="589"/>
      <c r="FZ12" s="590"/>
      <c r="GA12" s="591"/>
      <c r="GB12" s="592"/>
      <c r="GC12" s="593"/>
      <c r="GD12" s="592"/>
      <c r="GE12" s="594"/>
      <c r="GF12" s="492"/>
      <c r="GG12" s="595"/>
      <c r="GH12" s="595"/>
      <c r="GI12" s="595"/>
      <c r="GJ12" s="410"/>
      <c r="GK12" s="596" t="s">
        <v>349</v>
      </c>
      <c r="GL12" s="597"/>
      <c r="GM12" s="598" t="s">
        <v>462</v>
      </c>
      <c r="GN12" s="599" t="s">
        <v>463</v>
      </c>
      <c r="GO12" s="600" t="s">
        <v>464</v>
      </c>
      <c r="GP12" s="601" t="s">
        <v>465</v>
      </c>
      <c r="GQ12" s="600" t="s">
        <v>466</v>
      </c>
      <c r="GR12" s="600" t="s">
        <v>467</v>
      </c>
      <c r="GS12" s="602"/>
      <c r="GT12" s="541"/>
      <c r="GU12" s="596" t="s">
        <v>353</v>
      </c>
      <c r="GV12" s="597"/>
      <c r="GW12" s="598" t="s">
        <v>468</v>
      </c>
      <c r="GX12" s="603" t="s">
        <v>469</v>
      </c>
      <c r="GY12" s="604"/>
      <c r="GZ12" s="605" t="s">
        <v>464</v>
      </c>
      <c r="HA12" s="606" t="s">
        <v>470</v>
      </c>
      <c r="HB12" s="607"/>
      <c r="HC12" s="608"/>
      <c r="HD12" s="792"/>
      <c r="HE12" s="434"/>
      <c r="HF12" s="1472"/>
      <c r="HG12" s="1472"/>
    </row>
    <row r="13" spans="1:353" ht="20.100000000000001" customHeight="1">
      <c r="A13" s="545"/>
      <c r="B13" s="609"/>
      <c r="C13" s="610"/>
      <c r="D13" s="611"/>
      <c r="E13" s="609"/>
      <c r="F13" s="610"/>
      <c r="G13" s="612"/>
      <c r="H13" s="613"/>
      <c r="I13" s="614"/>
      <c r="J13" s="615"/>
      <c r="K13" s="616"/>
      <c r="L13" s="615"/>
      <c r="M13" s="616"/>
      <c r="N13" s="615"/>
      <c r="O13" s="616"/>
      <c r="P13" s="615"/>
      <c r="Q13" s="616"/>
      <c r="R13" s="615"/>
      <c r="S13" s="616"/>
      <c r="T13" s="615"/>
      <c r="U13" s="616"/>
      <c r="V13" s="615"/>
      <c r="W13" s="616"/>
      <c r="X13" s="615"/>
      <c r="Y13" s="616"/>
      <c r="Z13" s="615"/>
      <c r="AA13" s="616"/>
      <c r="AB13" s="615"/>
      <c r="AC13" s="616"/>
      <c r="AD13" s="615"/>
      <c r="AE13" s="616"/>
      <c r="AF13" s="615"/>
      <c r="AG13" s="616"/>
      <c r="AH13" s="615"/>
      <c r="AI13" s="616"/>
      <c r="AJ13" s="615"/>
      <c r="AK13" s="616"/>
      <c r="AL13" s="615"/>
      <c r="AM13" s="616"/>
      <c r="AN13" s="615"/>
      <c r="AO13" s="616"/>
      <c r="AP13" s="615"/>
      <c r="AQ13" s="616"/>
      <c r="AR13" s="615"/>
      <c r="AS13" s="616"/>
      <c r="AT13" s="615"/>
      <c r="AU13" s="616"/>
      <c r="AV13" s="615"/>
      <c r="AW13" s="616"/>
      <c r="AX13" s="615"/>
      <c r="AY13" s="616"/>
      <c r="AZ13" s="615"/>
      <c r="BA13" s="616"/>
      <c r="BB13" s="617"/>
      <c r="BC13" s="555"/>
      <c r="BD13" s="545"/>
      <c r="BE13" s="609"/>
      <c r="BF13" s="610"/>
      <c r="BG13" s="611"/>
      <c r="BH13" s="609"/>
      <c r="BI13" s="610"/>
      <c r="BJ13" s="612"/>
      <c r="BK13" s="613"/>
      <c r="BL13" s="614"/>
      <c r="BM13" s="615"/>
      <c r="BN13" s="616"/>
      <c r="BO13" s="615"/>
      <c r="BP13" s="616"/>
      <c r="BQ13" s="615"/>
      <c r="BR13" s="616"/>
      <c r="BS13" s="615"/>
      <c r="BT13" s="616"/>
      <c r="BU13" s="615"/>
      <c r="BV13" s="616"/>
      <c r="BW13" s="615"/>
      <c r="BX13" s="616"/>
      <c r="BY13" s="615"/>
      <c r="BZ13" s="616"/>
      <c r="CA13" s="615"/>
      <c r="CB13" s="616"/>
      <c r="CC13" s="615"/>
      <c r="CD13" s="616"/>
      <c r="CE13" s="615"/>
      <c r="CF13" s="616"/>
      <c r="CG13" s="615"/>
      <c r="CH13" s="616"/>
      <c r="CI13" s="615"/>
      <c r="CJ13" s="616"/>
      <c r="CK13" s="615"/>
      <c r="CL13" s="616"/>
      <c r="CM13" s="615"/>
      <c r="CN13" s="616"/>
      <c r="CO13" s="615"/>
      <c r="CP13" s="616"/>
      <c r="CQ13" s="615"/>
      <c r="CR13" s="616"/>
      <c r="CS13" s="615"/>
      <c r="CT13" s="616"/>
      <c r="CU13" s="615"/>
      <c r="CV13" s="616"/>
      <c r="CW13" s="615"/>
      <c r="CX13" s="616"/>
      <c r="CY13" s="615"/>
      <c r="CZ13" s="616"/>
      <c r="DA13" s="615"/>
      <c r="DB13" s="616"/>
      <c r="DC13" s="615"/>
      <c r="DD13" s="616"/>
      <c r="DE13" s="617"/>
      <c r="DF13" s="555"/>
      <c r="DG13" s="545"/>
      <c r="DH13" s="609"/>
      <c r="DI13" s="610"/>
      <c r="DJ13" s="611"/>
      <c r="DK13" s="609"/>
      <c r="DL13" s="610"/>
      <c r="DM13" s="612"/>
      <c r="DN13" s="613"/>
      <c r="DO13" s="614"/>
      <c r="DP13" s="615"/>
      <c r="DQ13" s="616"/>
      <c r="DR13" s="615"/>
      <c r="DS13" s="616"/>
      <c r="DT13" s="615"/>
      <c r="DU13" s="616"/>
      <c r="DV13" s="615"/>
      <c r="DW13" s="616"/>
      <c r="DX13" s="615"/>
      <c r="DY13" s="616"/>
      <c r="DZ13" s="615"/>
      <c r="EA13" s="616"/>
      <c r="EB13" s="615"/>
      <c r="EC13" s="616"/>
      <c r="ED13" s="615"/>
      <c r="EE13" s="616"/>
      <c r="EF13" s="615"/>
      <c r="EG13" s="616"/>
      <c r="EH13" s="615"/>
      <c r="EI13" s="616"/>
      <c r="EJ13" s="615"/>
      <c r="EK13" s="616"/>
      <c r="EL13" s="615"/>
      <c r="EM13" s="616"/>
      <c r="EN13" s="615"/>
      <c r="EO13" s="616"/>
      <c r="EP13" s="615"/>
      <c r="EQ13" s="616"/>
      <c r="ER13" s="615"/>
      <c r="ES13" s="616"/>
      <c r="ET13" s="615"/>
      <c r="EU13" s="616"/>
      <c r="EV13" s="615"/>
      <c r="EW13" s="616"/>
      <c r="EX13" s="615"/>
      <c r="EY13" s="616"/>
      <c r="EZ13" s="615"/>
      <c r="FA13" s="616"/>
      <c r="FB13" s="615"/>
      <c r="FC13" s="616"/>
      <c r="FD13" s="615"/>
      <c r="FE13" s="616"/>
      <c r="FF13" s="615"/>
      <c r="FG13" s="616"/>
      <c r="FH13" s="617"/>
      <c r="FI13" s="556"/>
      <c r="FJ13" s="557"/>
      <c r="FK13" s="609"/>
      <c r="FL13" s="610"/>
      <c r="FM13" s="611"/>
      <c r="FN13" s="609"/>
      <c r="FO13" s="610"/>
      <c r="FP13" s="618"/>
      <c r="FQ13" s="614"/>
      <c r="FR13" s="613" t="s">
        <v>273</v>
      </c>
      <c r="FS13" s="619"/>
      <c r="FT13" s="614"/>
      <c r="FU13" s="620" t="s">
        <v>273</v>
      </c>
      <c r="FV13" s="586"/>
      <c r="FW13" s="587"/>
      <c r="FX13" s="588"/>
      <c r="FY13" s="589"/>
      <c r="FZ13" s="590"/>
      <c r="GA13" s="591"/>
      <c r="GB13" s="592"/>
      <c r="GC13" s="593"/>
      <c r="GD13" s="592"/>
      <c r="GE13" s="594"/>
      <c r="GF13" s="492"/>
      <c r="GG13" s="595"/>
      <c r="GH13" s="595"/>
      <c r="GI13" s="595"/>
      <c r="GJ13" s="410"/>
      <c r="GK13" s="621"/>
      <c r="GL13" s="622"/>
      <c r="GM13" s="623"/>
      <c r="GN13" s="624"/>
      <c r="GO13" s="625"/>
      <c r="GP13" s="625"/>
      <c r="GQ13" s="626">
        <v>0</v>
      </c>
      <c r="GR13" s="627">
        <v>0</v>
      </c>
      <c r="GS13" s="571"/>
      <c r="GT13" s="410"/>
      <c r="GU13" s="621"/>
      <c r="GV13" s="622"/>
      <c r="GW13" s="628"/>
      <c r="GX13" s="629"/>
      <c r="GY13" s="630"/>
      <c r="GZ13" s="631"/>
      <c r="HA13" s="632">
        <v>0</v>
      </c>
      <c r="HB13" s="633"/>
      <c r="HC13" s="523"/>
      <c r="HD13" s="792"/>
      <c r="HE13" s="434"/>
      <c r="HF13" s="383"/>
      <c r="HG13" s="383"/>
    </row>
    <row r="14" spans="1:353" ht="20.100000000000001" customHeight="1">
      <c r="A14" s="634"/>
      <c r="B14" s="635"/>
      <c r="C14" s="635"/>
      <c r="D14" s="636" t="s">
        <v>277</v>
      </c>
      <c r="E14" s="635"/>
      <c r="F14" s="635"/>
      <c r="G14" s="637"/>
      <c r="H14" s="638">
        <f>SUM(H10:H13)</f>
        <v>0</v>
      </c>
      <c r="I14" s="639"/>
      <c r="J14" s="638">
        <f>SUM(J10:J13)</f>
        <v>0</v>
      </c>
      <c r="K14" s="639"/>
      <c r="L14" s="638">
        <f>SUM(L10:L13)</f>
        <v>0</v>
      </c>
      <c r="M14" s="639"/>
      <c r="N14" s="638">
        <f>SUM(N10:N13)</f>
        <v>0</v>
      </c>
      <c r="O14" s="639"/>
      <c r="P14" s="638">
        <f>SUM(P10:P13)</f>
        <v>0</v>
      </c>
      <c r="Q14" s="639"/>
      <c r="R14" s="638">
        <f>SUM(R10:R13)</f>
        <v>0</v>
      </c>
      <c r="S14" s="639"/>
      <c r="T14" s="638">
        <f>SUM(T10:T13)</f>
        <v>0</v>
      </c>
      <c r="U14" s="639"/>
      <c r="V14" s="638">
        <f>SUM(V10:V13)</f>
        <v>0</v>
      </c>
      <c r="W14" s="639"/>
      <c r="X14" s="638">
        <f>SUM(X10:X13)</f>
        <v>0</v>
      </c>
      <c r="Y14" s="639"/>
      <c r="Z14" s="638">
        <f>SUM(Z10:Z13)</f>
        <v>0</v>
      </c>
      <c r="AA14" s="639"/>
      <c r="AB14" s="638">
        <f>SUM(AB10:AB13)</f>
        <v>0</v>
      </c>
      <c r="AC14" s="639"/>
      <c r="AD14" s="638">
        <f>SUM(AD10:AD13)</f>
        <v>0</v>
      </c>
      <c r="AE14" s="639"/>
      <c r="AF14" s="638">
        <f>SUM(AF10:AF13)</f>
        <v>0</v>
      </c>
      <c r="AG14" s="639"/>
      <c r="AH14" s="638">
        <f>SUM(AH10:AH13)</f>
        <v>0</v>
      </c>
      <c r="AI14" s="639"/>
      <c r="AJ14" s="638">
        <f>SUM(AJ10:AJ13)</f>
        <v>0</v>
      </c>
      <c r="AK14" s="639"/>
      <c r="AL14" s="638">
        <f>SUM(AL10:AL13)</f>
        <v>0</v>
      </c>
      <c r="AM14" s="639"/>
      <c r="AN14" s="638">
        <f>SUM(AN10:AN13)</f>
        <v>0</v>
      </c>
      <c r="AO14" s="639"/>
      <c r="AP14" s="638">
        <f>SUM(AP10:AP13)</f>
        <v>0</v>
      </c>
      <c r="AQ14" s="639"/>
      <c r="AR14" s="638">
        <f>SUM(AR10:AR13)</f>
        <v>0</v>
      </c>
      <c r="AS14" s="639"/>
      <c r="AT14" s="638">
        <f>SUM(AT10:AT13)</f>
        <v>0</v>
      </c>
      <c r="AU14" s="639"/>
      <c r="AV14" s="638">
        <f>SUM(AV10:AV13)</f>
        <v>0</v>
      </c>
      <c r="AW14" s="639"/>
      <c r="AX14" s="638">
        <f>SUM(AX10:AX13)</f>
        <v>0</v>
      </c>
      <c r="AY14" s="639"/>
      <c r="AZ14" s="638">
        <f>SUM(AZ10:AZ13)</f>
        <v>0</v>
      </c>
      <c r="BA14" s="639"/>
      <c r="BB14" s="640">
        <f>SUM(BB10:BB13)</f>
        <v>0</v>
      </c>
      <c r="BC14" s="641"/>
      <c r="BD14" s="634"/>
      <c r="BE14" s="635"/>
      <c r="BF14" s="635"/>
      <c r="BG14" s="636" t="s">
        <v>277</v>
      </c>
      <c r="BH14" s="635"/>
      <c r="BI14" s="635"/>
      <c r="BJ14" s="637"/>
      <c r="BK14" s="638">
        <f>SUM(BK10:BK13)</f>
        <v>0</v>
      </c>
      <c r="BL14" s="639"/>
      <c r="BM14" s="638">
        <f>SUM(BM10:BM13)</f>
        <v>0</v>
      </c>
      <c r="BN14" s="639"/>
      <c r="BO14" s="638">
        <f>SUM(BO10:BO13)</f>
        <v>0</v>
      </c>
      <c r="BP14" s="639"/>
      <c r="BQ14" s="638">
        <f>SUM(BQ10:BQ13)</f>
        <v>0</v>
      </c>
      <c r="BR14" s="639"/>
      <c r="BS14" s="638">
        <f>SUM(BS10:BS13)</f>
        <v>0</v>
      </c>
      <c r="BT14" s="639"/>
      <c r="BU14" s="638">
        <f>SUM(BU10:BU13)</f>
        <v>0</v>
      </c>
      <c r="BV14" s="639"/>
      <c r="BW14" s="638">
        <f>SUM(BW10:BW13)</f>
        <v>0</v>
      </c>
      <c r="BX14" s="639"/>
      <c r="BY14" s="638">
        <f>SUM(BY10:BY13)</f>
        <v>0</v>
      </c>
      <c r="BZ14" s="639"/>
      <c r="CA14" s="638">
        <f>SUM(CA10:CA13)</f>
        <v>0</v>
      </c>
      <c r="CB14" s="639"/>
      <c r="CC14" s="638">
        <f>SUM(CC10:CC13)</f>
        <v>0</v>
      </c>
      <c r="CD14" s="639"/>
      <c r="CE14" s="638">
        <f>SUM(CE10:CE13)</f>
        <v>0</v>
      </c>
      <c r="CF14" s="639"/>
      <c r="CG14" s="638">
        <f>SUM(CG10:CG13)</f>
        <v>0</v>
      </c>
      <c r="CH14" s="639"/>
      <c r="CI14" s="638">
        <f>SUM(CI10:CI13)</f>
        <v>0</v>
      </c>
      <c r="CJ14" s="639"/>
      <c r="CK14" s="638">
        <f>SUM(CK10:CK13)</f>
        <v>0</v>
      </c>
      <c r="CL14" s="639"/>
      <c r="CM14" s="638">
        <f>SUM(CM10:CM13)</f>
        <v>0</v>
      </c>
      <c r="CN14" s="639"/>
      <c r="CO14" s="638">
        <f>SUM(CO10:CO13)</f>
        <v>0</v>
      </c>
      <c r="CP14" s="639"/>
      <c r="CQ14" s="638">
        <f>SUM(CQ10:CQ13)</f>
        <v>0</v>
      </c>
      <c r="CR14" s="639"/>
      <c r="CS14" s="638">
        <f>SUM(CS10:CS13)</f>
        <v>0</v>
      </c>
      <c r="CT14" s="639"/>
      <c r="CU14" s="638">
        <f>SUM(CU10:CU13)</f>
        <v>0</v>
      </c>
      <c r="CV14" s="639"/>
      <c r="CW14" s="638">
        <f>SUM(CW10:CW13)</f>
        <v>0</v>
      </c>
      <c r="CX14" s="639"/>
      <c r="CY14" s="638">
        <f>SUM(CY10:CY13)</f>
        <v>0</v>
      </c>
      <c r="CZ14" s="639"/>
      <c r="DA14" s="638">
        <f>SUM(DA10:DA13)</f>
        <v>0</v>
      </c>
      <c r="DB14" s="639"/>
      <c r="DC14" s="638">
        <f>SUM(DC10:DC13)</f>
        <v>0</v>
      </c>
      <c r="DD14" s="639"/>
      <c r="DE14" s="640">
        <f>SUM(DE10:DE13)</f>
        <v>0</v>
      </c>
      <c r="DF14" s="641"/>
      <c r="DG14" s="634"/>
      <c r="DH14" s="635"/>
      <c r="DI14" s="635"/>
      <c r="DJ14" s="636" t="s">
        <v>277</v>
      </c>
      <c r="DK14" s="635"/>
      <c r="DL14" s="635"/>
      <c r="DM14" s="637"/>
      <c r="DN14" s="638">
        <f>SUM(DN10:DN13)</f>
        <v>0</v>
      </c>
      <c r="DO14" s="639"/>
      <c r="DP14" s="638">
        <f>SUM(DP10:DP13)</f>
        <v>0</v>
      </c>
      <c r="DQ14" s="639"/>
      <c r="DR14" s="638">
        <f>SUM(DR10:DR13)</f>
        <v>0</v>
      </c>
      <c r="DS14" s="639"/>
      <c r="DT14" s="638">
        <f>SUM(DT10:DT13)</f>
        <v>0</v>
      </c>
      <c r="DU14" s="639"/>
      <c r="DV14" s="638">
        <f>SUM(DV10:DV13)</f>
        <v>0</v>
      </c>
      <c r="DW14" s="639"/>
      <c r="DX14" s="638">
        <f>SUM(DX10:DX13)</f>
        <v>0</v>
      </c>
      <c r="DY14" s="639"/>
      <c r="DZ14" s="638">
        <f>SUM(DZ10:DZ13)</f>
        <v>0</v>
      </c>
      <c r="EA14" s="639"/>
      <c r="EB14" s="638">
        <f>SUM(EB10:EB13)</f>
        <v>0</v>
      </c>
      <c r="EC14" s="639"/>
      <c r="ED14" s="638">
        <f>SUM(ED10:ED13)</f>
        <v>0</v>
      </c>
      <c r="EE14" s="639"/>
      <c r="EF14" s="638">
        <f>SUM(EF10:EF13)</f>
        <v>0</v>
      </c>
      <c r="EG14" s="639"/>
      <c r="EH14" s="638">
        <f>SUM(EH10:EH13)</f>
        <v>0</v>
      </c>
      <c r="EI14" s="639"/>
      <c r="EJ14" s="638">
        <f>SUM(EJ10:EJ13)</f>
        <v>0</v>
      </c>
      <c r="EK14" s="639"/>
      <c r="EL14" s="638">
        <f>SUM(EL10:EL13)</f>
        <v>0</v>
      </c>
      <c r="EM14" s="639"/>
      <c r="EN14" s="638">
        <f>SUM(EN10:EN13)</f>
        <v>0</v>
      </c>
      <c r="EO14" s="639"/>
      <c r="EP14" s="638">
        <f>SUM(EP10:EP13)</f>
        <v>0</v>
      </c>
      <c r="EQ14" s="639"/>
      <c r="ER14" s="638">
        <f>SUM(ER10:ER13)</f>
        <v>0</v>
      </c>
      <c r="ES14" s="639"/>
      <c r="ET14" s="638">
        <f>SUM(ET10:ET13)</f>
        <v>0</v>
      </c>
      <c r="EU14" s="639"/>
      <c r="EV14" s="638">
        <f>SUM(EV10:EV13)</f>
        <v>0</v>
      </c>
      <c r="EW14" s="639"/>
      <c r="EX14" s="638">
        <f>SUM(EX10:EX13)</f>
        <v>0</v>
      </c>
      <c r="EY14" s="639"/>
      <c r="EZ14" s="638">
        <f>SUM(EZ10:EZ13)</f>
        <v>0</v>
      </c>
      <c r="FA14" s="639"/>
      <c r="FB14" s="638">
        <f>SUM(FB10:FB13)</f>
        <v>0</v>
      </c>
      <c r="FC14" s="639"/>
      <c r="FD14" s="638">
        <f>SUM(FD10:FD13)</f>
        <v>0</v>
      </c>
      <c r="FE14" s="639"/>
      <c r="FF14" s="638">
        <f>SUM(FF10:FF13)</f>
        <v>0</v>
      </c>
      <c r="FG14" s="639"/>
      <c r="FH14" s="640">
        <f>SUM(FH10:FH13)</f>
        <v>0</v>
      </c>
      <c r="FI14" s="642"/>
      <c r="FJ14" s="557"/>
      <c r="FK14" s="635"/>
      <c r="FL14" s="635"/>
      <c r="FM14" s="636" t="s">
        <v>277</v>
      </c>
      <c r="FN14" s="635"/>
      <c r="FO14" s="635"/>
      <c r="FP14" s="643"/>
      <c r="FQ14" s="644"/>
      <c r="FR14" s="638">
        <f>SUM(FR10:FR13)</f>
        <v>0</v>
      </c>
      <c r="FS14" s="645"/>
      <c r="FT14" s="644"/>
      <c r="FU14" s="646">
        <f>SUM(FU10:FU13)</f>
        <v>0</v>
      </c>
      <c r="FV14" s="586"/>
      <c r="FW14" s="587"/>
      <c r="FX14" s="588"/>
      <c r="FY14" s="589"/>
      <c r="FZ14" s="590"/>
      <c r="GA14" s="591"/>
      <c r="GB14" s="592"/>
      <c r="GC14" s="593"/>
      <c r="GD14" s="592"/>
      <c r="GE14" s="594"/>
      <c r="GF14" s="647"/>
      <c r="GG14" s="648"/>
      <c r="GH14" s="648"/>
      <c r="GI14" s="648"/>
      <c r="GJ14" s="608"/>
      <c r="GK14" s="621"/>
      <c r="GL14" s="622"/>
      <c r="GM14" s="623"/>
      <c r="GN14" s="624"/>
      <c r="GO14" s="625"/>
      <c r="GP14" s="649"/>
      <c r="GQ14" s="626">
        <v>0</v>
      </c>
      <c r="GR14" s="627">
        <v>0</v>
      </c>
      <c r="GS14" s="608"/>
      <c r="GT14" s="650"/>
      <c r="GU14" s="621"/>
      <c r="GV14" s="622"/>
      <c r="GW14" s="628"/>
      <c r="GX14" s="629"/>
      <c r="GY14" s="630"/>
      <c r="GZ14" s="631"/>
      <c r="HA14" s="632">
        <v>0</v>
      </c>
      <c r="HB14" s="633"/>
      <c r="HC14" s="523"/>
      <c r="HD14" s="1471"/>
      <c r="HE14" s="412"/>
      <c r="HF14" s="412"/>
      <c r="HG14" s="412"/>
    </row>
    <row r="15" spans="1:353" ht="24" customHeight="1">
      <c r="A15" s="525" t="s">
        <v>278</v>
      </c>
      <c r="B15" s="651" t="s">
        <v>263</v>
      </c>
      <c r="C15" s="652" t="s">
        <v>264</v>
      </c>
      <c r="D15" s="653" t="s">
        <v>279</v>
      </c>
      <c r="E15" s="653" t="s">
        <v>280</v>
      </c>
      <c r="F15" s="654" t="s">
        <v>281</v>
      </c>
      <c r="G15" s="655" t="s">
        <v>282</v>
      </c>
      <c r="H15" s="656" t="s">
        <v>283</v>
      </c>
      <c r="I15" s="657" t="s">
        <v>284</v>
      </c>
      <c r="J15" s="656" t="s">
        <v>283</v>
      </c>
      <c r="K15" s="657" t="s">
        <v>284</v>
      </c>
      <c r="L15" s="656" t="s">
        <v>283</v>
      </c>
      <c r="M15" s="657" t="s">
        <v>284</v>
      </c>
      <c r="N15" s="656" t="s">
        <v>283</v>
      </c>
      <c r="O15" s="657" t="s">
        <v>284</v>
      </c>
      <c r="P15" s="656" t="s">
        <v>283</v>
      </c>
      <c r="Q15" s="657" t="s">
        <v>284</v>
      </c>
      <c r="R15" s="656" t="s">
        <v>283</v>
      </c>
      <c r="S15" s="657" t="s">
        <v>284</v>
      </c>
      <c r="T15" s="656" t="s">
        <v>283</v>
      </c>
      <c r="U15" s="657" t="s">
        <v>284</v>
      </c>
      <c r="V15" s="656" t="s">
        <v>283</v>
      </c>
      <c r="W15" s="657" t="s">
        <v>284</v>
      </c>
      <c r="X15" s="656" t="s">
        <v>283</v>
      </c>
      <c r="Y15" s="657" t="s">
        <v>284</v>
      </c>
      <c r="Z15" s="656" t="s">
        <v>283</v>
      </c>
      <c r="AA15" s="657" t="s">
        <v>284</v>
      </c>
      <c r="AB15" s="656" t="s">
        <v>283</v>
      </c>
      <c r="AC15" s="657" t="s">
        <v>284</v>
      </c>
      <c r="AD15" s="656" t="s">
        <v>283</v>
      </c>
      <c r="AE15" s="657" t="s">
        <v>284</v>
      </c>
      <c r="AF15" s="656" t="s">
        <v>285</v>
      </c>
      <c r="AG15" s="657" t="s">
        <v>284</v>
      </c>
      <c r="AH15" s="656" t="s">
        <v>283</v>
      </c>
      <c r="AI15" s="657" t="s">
        <v>284</v>
      </c>
      <c r="AJ15" s="656" t="s">
        <v>283</v>
      </c>
      <c r="AK15" s="657" t="s">
        <v>284</v>
      </c>
      <c r="AL15" s="656" t="s">
        <v>283</v>
      </c>
      <c r="AM15" s="657" t="s">
        <v>284</v>
      </c>
      <c r="AN15" s="656" t="s">
        <v>283</v>
      </c>
      <c r="AO15" s="657" t="s">
        <v>284</v>
      </c>
      <c r="AP15" s="656" t="s">
        <v>283</v>
      </c>
      <c r="AQ15" s="657" t="s">
        <v>284</v>
      </c>
      <c r="AR15" s="656" t="s">
        <v>283</v>
      </c>
      <c r="AS15" s="657" t="s">
        <v>284</v>
      </c>
      <c r="AT15" s="656" t="s">
        <v>283</v>
      </c>
      <c r="AU15" s="657" t="s">
        <v>284</v>
      </c>
      <c r="AV15" s="656" t="s">
        <v>283</v>
      </c>
      <c r="AW15" s="657" t="s">
        <v>284</v>
      </c>
      <c r="AX15" s="656" t="s">
        <v>283</v>
      </c>
      <c r="AY15" s="657" t="s">
        <v>284</v>
      </c>
      <c r="AZ15" s="656" t="s">
        <v>283</v>
      </c>
      <c r="BA15" s="657" t="s">
        <v>284</v>
      </c>
      <c r="BB15" s="658" t="s">
        <v>286</v>
      </c>
      <c r="BC15" s="659"/>
      <c r="BD15" s="525" t="s">
        <v>278</v>
      </c>
      <c r="BE15" s="651" t="s">
        <v>263</v>
      </c>
      <c r="BF15" s="652" t="s">
        <v>264</v>
      </c>
      <c r="BG15" s="653" t="s">
        <v>265</v>
      </c>
      <c r="BH15" s="653" t="s">
        <v>280</v>
      </c>
      <c r="BI15" s="654" t="s">
        <v>281</v>
      </c>
      <c r="BJ15" s="655" t="s">
        <v>282</v>
      </c>
      <c r="BK15" s="656" t="s">
        <v>283</v>
      </c>
      <c r="BL15" s="657" t="s">
        <v>284</v>
      </c>
      <c r="BM15" s="656" t="s">
        <v>283</v>
      </c>
      <c r="BN15" s="657" t="s">
        <v>284</v>
      </c>
      <c r="BO15" s="656" t="s">
        <v>285</v>
      </c>
      <c r="BP15" s="657" t="s">
        <v>284</v>
      </c>
      <c r="BQ15" s="656" t="s">
        <v>283</v>
      </c>
      <c r="BR15" s="657" t="s">
        <v>284</v>
      </c>
      <c r="BS15" s="656" t="s">
        <v>283</v>
      </c>
      <c r="BT15" s="657" t="s">
        <v>284</v>
      </c>
      <c r="BU15" s="656" t="s">
        <v>283</v>
      </c>
      <c r="BV15" s="657" t="s">
        <v>284</v>
      </c>
      <c r="BW15" s="656" t="s">
        <v>283</v>
      </c>
      <c r="BX15" s="657" t="s">
        <v>284</v>
      </c>
      <c r="BY15" s="656" t="s">
        <v>283</v>
      </c>
      <c r="BZ15" s="657" t="s">
        <v>284</v>
      </c>
      <c r="CA15" s="656" t="s">
        <v>283</v>
      </c>
      <c r="CB15" s="657" t="s">
        <v>284</v>
      </c>
      <c r="CC15" s="656" t="s">
        <v>283</v>
      </c>
      <c r="CD15" s="657" t="s">
        <v>284</v>
      </c>
      <c r="CE15" s="656" t="s">
        <v>283</v>
      </c>
      <c r="CF15" s="657" t="s">
        <v>284</v>
      </c>
      <c r="CG15" s="656" t="s">
        <v>285</v>
      </c>
      <c r="CH15" s="657" t="s">
        <v>284</v>
      </c>
      <c r="CI15" s="656" t="s">
        <v>283</v>
      </c>
      <c r="CJ15" s="657" t="s">
        <v>284</v>
      </c>
      <c r="CK15" s="656" t="s">
        <v>283</v>
      </c>
      <c r="CL15" s="657" t="s">
        <v>284</v>
      </c>
      <c r="CM15" s="656" t="s">
        <v>283</v>
      </c>
      <c r="CN15" s="657" t="s">
        <v>284</v>
      </c>
      <c r="CO15" s="656" t="s">
        <v>283</v>
      </c>
      <c r="CP15" s="657" t="s">
        <v>284</v>
      </c>
      <c r="CQ15" s="656" t="s">
        <v>283</v>
      </c>
      <c r="CR15" s="657" t="s">
        <v>284</v>
      </c>
      <c r="CS15" s="656" t="s">
        <v>283</v>
      </c>
      <c r="CT15" s="657" t="s">
        <v>284</v>
      </c>
      <c r="CU15" s="656" t="s">
        <v>283</v>
      </c>
      <c r="CV15" s="657" t="s">
        <v>284</v>
      </c>
      <c r="CW15" s="656" t="s">
        <v>283</v>
      </c>
      <c r="CX15" s="657" t="s">
        <v>284</v>
      </c>
      <c r="CY15" s="656" t="s">
        <v>283</v>
      </c>
      <c r="CZ15" s="657" t="s">
        <v>284</v>
      </c>
      <c r="DA15" s="656" t="s">
        <v>283</v>
      </c>
      <c r="DB15" s="657" t="s">
        <v>284</v>
      </c>
      <c r="DC15" s="656" t="s">
        <v>283</v>
      </c>
      <c r="DD15" s="657" t="s">
        <v>284</v>
      </c>
      <c r="DE15" s="658" t="s">
        <v>286</v>
      </c>
      <c r="DF15" s="659"/>
      <c r="DG15" s="525" t="s">
        <v>278</v>
      </c>
      <c r="DH15" s="660" t="s">
        <v>263</v>
      </c>
      <c r="DI15" s="661" t="s">
        <v>264</v>
      </c>
      <c r="DJ15" s="662" t="s">
        <v>265</v>
      </c>
      <c r="DK15" s="662" t="s">
        <v>280</v>
      </c>
      <c r="DL15" s="663" t="s">
        <v>281</v>
      </c>
      <c r="DM15" s="655" t="s">
        <v>282</v>
      </c>
      <c r="DN15" s="656" t="s">
        <v>283</v>
      </c>
      <c r="DO15" s="657" t="s">
        <v>284</v>
      </c>
      <c r="DP15" s="656" t="s">
        <v>285</v>
      </c>
      <c r="DQ15" s="657" t="s">
        <v>284</v>
      </c>
      <c r="DR15" s="656" t="s">
        <v>283</v>
      </c>
      <c r="DS15" s="657" t="s">
        <v>284</v>
      </c>
      <c r="DT15" s="656" t="s">
        <v>283</v>
      </c>
      <c r="DU15" s="657" t="s">
        <v>284</v>
      </c>
      <c r="DV15" s="656" t="s">
        <v>283</v>
      </c>
      <c r="DW15" s="657" t="s">
        <v>284</v>
      </c>
      <c r="DX15" s="656" t="s">
        <v>285</v>
      </c>
      <c r="DY15" s="657" t="s">
        <v>284</v>
      </c>
      <c r="DZ15" s="656" t="s">
        <v>283</v>
      </c>
      <c r="EA15" s="657" t="s">
        <v>284</v>
      </c>
      <c r="EB15" s="656" t="s">
        <v>283</v>
      </c>
      <c r="EC15" s="657" t="s">
        <v>284</v>
      </c>
      <c r="ED15" s="656" t="s">
        <v>283</v>
      </c>
      <c r="EE15" s="657" t="s">
        <v>284</v>
      </c>
      <c r="EF15" s="656" t="s">
        <v>283</v>
      </c>
      <c r="EG15" s="657" t="s">
        <v>284</v>
      </c>
      <c r="EH15" s="656" t="s">
        <v>283</v>
      </c>
      <c r="EI15" s="657" t="s">
        <v>284</v>
      </c>
      <c r="EJ15" s="656" t="s">
        <v>283</v>
      </c>
      <c r="EK15" s="657" t="s">
        <v>284</v>
      </c>
      <c r="EL15" s="656" t="s">
        <v>283</v>
      </c>
      <c r="EM15" s="657" t="s">
        <v>284</v>
      </c>
      <c r="EN15" s="656" t="s">
        <v>283</v>
      </c>
      <c r="EO15" s="657" t="s">
        <v>284</v>
      </c>
      <c r="EP15" s="656" t="s">
        <v>283</v>
      </c>
      <c r="EQ15" s="657" t="s">
        <v>284</v>
      </c>
      <c r="ER15" s="656" t="s">
        <v>283</v>
      </c>
      <c r="ES15" s="657" t="s">
        <v>284</v>
      </c>
      <c r="ET15" s="656" t="s">
        <v>283</v>
      </c>
      <c r="EU15" s="657" t="s">
        <v>284</v>
      </c>
      <c r="EV15" s="656" t="s">
        <v>283</v>
      </c>
      <c r="EW15" s="657" t="s">
        <v>284</v>
      </c>
      <c r="EX15" s="656" t="s">
        <v>283</v>
      </c>
      <c r="EY15" s="657" t="s">
        <v>284</v>
      </c>
      <c r="EZ15" s="656" t="s">
        <v>283</v>
      </c>
      <c r="FA15" s="657" t="s">
        <v>284</v>
      </c>
      <c r="FB15" s="656" t="s">
        <v>283</v>
      </c>
      <c r="FC15" s="657" t="s">
        <v>284</v>
      </c>
      <c r="FD15" s="656" t="s">
        <v>283</v>
      </c>
      <c r="FE15" s="657" t="s">
        <v>284</v>
      </c>
      <c r="FF15" s="656" t="s">
        <v>283</v>
      </c>
      <c r="FG15" s="657" t="s">
        <v>284</v>
      </c>
      <c r="FH15" s="658" t="s">
        <v>286</v>
      </c>
      <c r="FI15" s="664"/>
      <c r="FJ15" s="535" t="s">
        <v>278</v>
      </c>
      <c r="FK15" s="651" t="s">
        <v>263</v>
      </c>
      <c r="FL15" s="652" t="s">
        <v>264</v>
      </c>
      <c r="FM15" s="653" t="s">
        <v>265</v>
      </c>
      <c r="FN15" s="653" t="s">
        <v>280</v>
      </c>
      <c r="FO15" s="654" t="s">
        <v>281</v>
      </c>
      <c r="FP15" s="665" t="s">
        <v>272</v>
      </c>
      <c r="FQ15" s="666" t="s">
        <v>284</v>
      </c>
      <c r="FR15" s="656" t="s">
        <v>286</v>
      </c>
      <c r="FS15" s="667" t="s">
        <v>272</v>
      </c>
      <c r="FT15" s="666" t="s">
        <v>284</v>
      </c>
      <c r="FU15" s="668" t="s">
        <v>286</v>
      </c>
      <c r="FV15" s="586"/>
      <c r="FW15" s="587"/>
      <c r="FX15" s="588"/>
      <c r="FY15" s="589"/>
      <c r="FZ15" s="590"/>
      <c r="GA15" s="591"/>
      <c r="GB15" s="592"/>
      <c r="GC15" s="593"/>
      <c r="GD15" s="592"/>
      <c r="GE15" s="594"/>
      <c r="GF15" s="669"/>
      <c r="GG15" s="670"/>
      <c r="GH15" s="670"/>
      <c r="GI15" s="670"/>
      <c r="GJ15" s="522"/>
      <c r="GK15" s="621"/>
      <c r="GL15" s="622"/>
      <c r="GM15" s="623"/>
      <c r="GN15" s="624"/>
      <c r="GO15" s="625"/>
      <c r="GP15" s="649"/>
      <c r="GQ15" s="626">
        <v>0</v>
      </c>
      <c r="GR15" s="627">
        <v>0</v>
      </c>
      <c r="GS15" s="522"/>
      <c r="GT15" s="670"/>
      <c r="GU15" s="621"/>
      <c r="GV15" s="622"/>
      <c r="GW15" s="628"/>
      <c r="GX15" s="629"/>
      <c r="GY15" s="630"/>
      <c r="GZ15" s="631"/>
      <c r="HA15" s="632">
        <v>0</v>
      </c>
      <c r="HB15" s="633"/>
      <c r="HC15" s="671"/>
      <c r="HD15" s="659"/>
      <c r="HE15" s="412"/>
      <c r="HF15" s="412"/>
      <c r="HG15" s="412"/>
    </row>
    <row r="16" spans="1:353" ht="20.100000000000001" customHeight="1">
      <c r="A16" s="545"/>
      <c r="B16" s="547" t="s">
        <v>200</v>
      </c>
      <c r="C16" s="672" t="s">
        <v>70</v>
      </c>
      <c r="D16" s="548">
        <v>90.75</v>
      </c>
      <c r="E16" s="673">
        <v>0.38</v>
      </c>
      <c r="F16" s="674"/>
      <c r="G16" s="675">
        <v>4.2</v>
      </c>
      <c r="H16" s="552">
        <f>ROUND(90.75*0.38*4.2,0)</f>
        <v>145</v>
      </c>
      <c r="I16" s="676">
        <v>3.5</v>
      </c>
      <c r="J16" s="552">
        <f>ROUND(90.75*0.38*3.5,0)</f>
        <v>121</v>
      </c>
      <c r="K16" s="676">
        <v>2.8</v>
      </c>
      <c r="L16" s="552">
        <f>ROUND(90.75*0.38*2.8,0)</f>
        <v>97</v>
      </c>
      <c r="M16" s="676">
        <v>2.2999999999999998</v>
      </c>
      <c r="N16" s="552">
        <f>ROUND(90.75*0.38*2.3,0)</f>
        <v>79</v>
      </c>
      <c r="O16" s="676">
        <v>1.7</v>
      </c>
      <c r="P16" s="552">
        <f>ROUND(90.75*0.38*1.7,0)</f>
        <v>59</v>
      </c>
      <c r="Q16" s="676">
        <v>1.3</v>
      </c>
      <c r="R16" s="552">
        <f>ROUND(90.75*0.38*1.3,0)</f>
        <v>45</v>
      </c>
      <c r="S16" s="676">
        <v>1.3</v>
      </c>
      <c r="T16" s="552">
        <f>ROUND(90.75*0.38*1.3,0)</f>
        <v>45</v>
      </c>
      <c r="U16" s="676">
        <v>1.7</v>
      </c>
      <c r="V16" s="552">
        <f>ROUND(90.75*0.38*1.7,0)</f>
        <v>59</v>
      </c>
      <c r="W16" s="676">
        <v>2.4</v>
      </c>
      <c r="X16" s="552">
        <f>ROUND(90.75*0.38*2.4,0)</f>
        <v>83</v>
      </c>
      <c r="Y16" s="676">
        <v>3.3</v>
      </c>
      <c r="Z16" s="552">
        <f>ROUND(90.75*0.38*3.3,0)</f>
        <v>114</v>
      </c>
      <c r="AA16" s="676">
        <v>4.2</v>
      </c>
      <c r="AB16" s="552">
        <f>ROUND(90.75*0.38*4.2,0)</f>
        <v>145</v>
      </c>
      <c r="AC16" s="676">
        <v>5.2</v>
      </c>
      <c r="AD16" s="552">
        <f>ROUND(90.75*0.38*5.2,0)</f>
        <v>179</v>
      </c>
      <c r="AE16" s="676">
        <v>6.2</v>
      </c>
      <c r="AF16" s="552">
        <f>ROUND(90.75*0.38*6.2,0)</f>
        <v>214</v>
      </c>
      <c r="AG16" s="676">
        <v>7.2</v>
      </c>
      <c r="AH16" s="552">
        <f>ROUND(90.75*0.38*7.2,0)</f>
        <v>248</v>
      </c>
      <c r="AI16" s="676">
        <v>8.1</v>
      </c>
      <c r="AJ16" s="552">
        <f>ROUND(90.75*0.38*8.1,0)</f>
        <v>279</v>
      </c>
      <c r="AK16" s="676">
        <v>8.9</v>
      </c>
      <c r="AL16" s="552">
        <f>ROUND(90.75*0.38*8.9,0)</f>
        <v>307</v>
      </c>
      <c r="AM16" s="676">
        <v>9.3000000000000007</v>
      </c>
      <c r="AN16" s="552">
        <f>ROUND(90.75*0.38*9.3,0)</f>
        <v>321</v>
      </c>
      <c r="AO16" s="676">
        <v>9.4</v>
      </c>
      <c r="AP16" s="552">
        <f>ROUND(90.75*0.38*9.4,0)</f>
        <v>324</v>
      </c>
      <c r="AQ16" s="676">
        <v>9.1</v>
      </c>
      <c r="AR16" s="552">
        <f>ROUND(90.75*0.38*9.1,0)</f>
        <v>314</v>
      </c>
      <c r="AS16" s="676">
        <v>8.5</v>
      </c>
      <c r="AT16" s="552">
        <f>ROUND(90.75*0.38*8.5,0)</f>
        <v>293</v>
      </c>
      <c r="AU16" s="676">
        <v>7.6</v>
      </c>
      <c r="AV16" s="552">
        <f>ROUND(90.75*0.38*7.6,0)</f>
        <v>262</v>
      </c>
      <c r="AW16" s="676">
        <v>6.7</v>
      </c>
      <c r="AX16" s="552">
        <f>ROUND(90.75*0.38*6.7,0)</f>
        <v>231</v>
      </c>
      <c r="AY16" s="676">
        <v>5.8</v>
      </c>
      <c r="AZ16" s="552">
        <f>ROUND(90.75*0.38*5.8,0)</f>
        <v>200</v>
      </c>
      <c r="BA16" s="676">
        <v>5</v>
      </c>
      <c r="BB16" s="677">
        <f>ROUND(90.75*0.38*5,0)</f>
        <v>172</v>
      </c>
      <c r="BC16" s="555"/>
      <c r="BD16" s="545"/>
      <c r="BE16" s="547" t="s">
        <v>200</v>
      </c>
      <c r="BF16" s="672" t="s">
        <v>70</v>
      </c>
      <c r="BG16" s="548">
        <v>90.75</v>
      </c>
      <c r="BH16" s="673">
        <v>0.38</v>
      </c>
      <c r="BI16" s="674"/>
      <c r="BJ16" s="675">
        <v>4.3</v>
      </c>
      <c r="BK16" s="552">
        <f>ROUND(90.75*0.38*4.3,0)</f>
        <v>148</v>
      </c>
      <c r="BL16" s="676">
        <v>3.4</v>
      </c>
      <c r="BM16" s="552">
        <f>ROUND(90.75*0.38*3.4,0)</f>
        <v>117</v>
      </c>
      <c r="BN16" s="676">
        <v>2.7</v>
      </c>
      <c r="BO16" s="552">
        <f>ROUND(90.75*0.38*2.7,0)</f>
        <v>93</v>
      </c>
      <c r="BP16" s="676">
        <v>2</v>
      </c>
      <c r="BQ16" s="552">
        <f>ROUND(90.75*0.38*2,0)</f>
        <v>69</v>
      </c>
      <c r="BR16" s="676">
        <v>1.5</v>
      </c>
      <c r="BS16" s="552">
        <f>ROUND(90.75*0.38*1.5,0)</f>
        <v>52</v>
      </c>
      <c r="BT16" s="676">
        <v>1</v>
      </c>
      <c r="BU16" s="552">
        <f>ROUND(90.75*0.38*1,0)</f>
        <v>34</v>
      </c>
      <c r="BV16" s="676">
        <v>1.1000000000000001</v>
      </c>
      <c r="BW16" s="552">
        <f>ROUND(90.75*0.38*1.1,0)</f>
        <v>38</v>
      </c>
      <c r="BX16" s="676">
        <v>1.8</v>
      </c>
      <c r="BY16" s="552">
        <f>ROUND(90.75*0.38*1.8,0)</f>
        <v>62</v>
      </c>
      <c r="BZ16" s="676">
        <v>2.9</v>
      </c>
      <c r="CA16" s="552">
        <f>ROUND(90.75*0.38*2.9,0)</f>
        <v>100</v>
      </c>
      <c r="CB16" s="676">
        <v>3.9</v>
      </c>
      <c r="CC16" s="552">
        <f>ROUND(90.75*0.38*3.9,0)</f>
        <v>134</v>
      </c>
      <c r="CD16" s="676">
        <v>4.9000000000000004</v>
      </c>
      <c r="CE16" s="552">
        <f>ROUND(90.75*0.38*4.9,0)</f>
        <v>169</v>
      </c>
      <c r="CF16" s="676">
        <v>5.9</v>
      </c>
      <c r="CG16" s="552">
        <f>ROUND(90.75*0.38*5.9,0)</f>
        <v>203</v>
      </c>
      <c r="CH16" s="676">
        <v>6.9</v>
      </c>
      <c r="CI16" s="552">
        <f>ROUND(90.75*0.38*6.9,0)</f>
        <v>238</v>
      </c>
      <c r="CJ16" s="676">
        <v>7.9</v>
      </c>
      <c r="CK16" s="552">
        <f>ROUND(90.75*0.38*7.9,0)</f>
        <v>272</v>
      </c>
      <c r="CL16" s="676">
        <v>8.6999999999999993</v>
      </c>
      <c r="CM16" s="552">
        <f>ROUND(90.75*0.38*8.7,0)</f>
        <v>300</v>
      </c>
      <c r="CN16" s="676">
        <v>9.4</v>
      </c>
      <c r="CO16" s="552">
        <f>ROUND(90.75*0.38*9.4,0)</f>
        <v>324</v>
      </c>
      <c r="CP16" s="676">
        <v>9.9</v>
      </c>
      <c r="CQ16" s="552">
        <f>ROUND(90.75*0.38*9.9,0)</f>
        <v>341</v>
      </c>
      <c r="CR16" s="676">
        <v>10</v>
      </c>
      <c r="CS16" s="552">
        <f>ROUND(90.75*0.38*10,0)</f>
        <v>345</v>
      </c>
      <c r="CT16" s="676">
        <v>9.8000000000000007</v>
      </c>
      <c r="CU16" s="552">
        <f>ROUND(90.75*0.38*9.8,0)</f>
        <v>338</v>
      </c>
      <c r="CV16" s="676">
        <v>9.1</v>
      </c>
      <c r="CW16" s="552">
        <f>ROUND(90.75*0.38*9.1,0)</f>
        <v>314</v>
      </c>
      <c r="CX16" s="676">
        <v>8.1999999999999993</v>
      </c>
      <c r="CY16" s="552">
        <f>ROUND(90.75*0.38*8.2,0)</f>
        <v>283</v>
      </c>
      <c r="CZ16" s="676">
        <v>7.2</v>
      </c>
      <c r="DA16" s="552">
        <f>ROUND(90.75*0.38*7.2,0)</f>
        <v>248</v>
      </c>
      <c r="DB16" s="676">
        <v>6.1</v>
      </c>
      <c r="DC16" s="552">
        <f>ROUND(90.75*0.38*6.1,0)</f>
        <v>210</v>
      </c>
      <c r="DD16" s="676">
        <v>5.2</v>
      </c>
      <c r="DE16" s="677">
        <f>ROUND(90.75*0.38*5.2,0)</f>
        <v>179</v>
      </c>
      <c r="DF16" s="555"/>
      <c r="DG16" s="545"/>
      <c r="DH16" s="547" t="s">
        <v>200</v>
      </c>
      <c r="DI16" s="672" t="s">
        <v>70</v>
      </c>
      <c r="DJ16" s="548">
        <v>90.75</v>
      </c>
      <c r="DK16" s="673">
        <v>0.38</v>
      </c>
      <c r="DL16" s="674"/>
      <c r="DM16" s="675">
        <v>0</v>
      </c>
      <c r="DN16" s="552">
        <f>ROUND(90.75*0.38*0,0)</f>
        <v>0</v>
      </c>
      <c r="DO16" s="676">
        <v>0</v>
      </c>
      <c r="DP16" s="552">
        <f>ROUND(90.75*0.38*0,0)</f>
        <v>0</v>
      </c>
      <c r="DQ16" s="676">
        <v>0</v>
      </c>
      <c r="DR16" s="552">
        <f>ROUND(90.75*0.38*0,0)</f>
        <v>0</v>
      </c>
      <c r="DS16" s="676">
        <v>0</v>
      </c>
      <c r="DT16" s="552">
        <f>ROUND(90.75*0.38*0,0)</f>
        <v>0</v>
      </c>
      <c r="DU16" s="676">
        <v>0</v>
      </c>
      <c r="DV16" s="552">
        <f>ROUND(90.75*0.38*0,0)</f>
        <v>0</v>
      </c>
      <c r="DW16" s="676">
        <v>0</v>
      </c>
      <c r="DX16" s="552">
        <f>ROUND(90.75*0.38*0,0)</f>
        <v>0</v>
      </c>
      <c r="DY16" s="676">
        <v>0</v>
      </c>
      <c r="DZ16" s="552">
        <f>ROUND(90.75*0.38*0,0)</f>
        <v>0</v>
      </c>
      <c r="EA16" s="676">
        <v>0</v>
      </c>
      <c r="EB16" s="552">
        <f>ROUND(90.75*0.38*0,0)</f>
        <v>0</v>
      </c>
      <c r="EC16" s="676">
        <v>0</v>
      </c>
      <c r="ED16" s="552">
        <f>ROUND(90.75*0.38*0,0)</f>
        <v>0</v>
      </c>
      <c r="EE16" s="676">
        <v>0</v>
      </c>
      <c r="EF16" s="552">
        <f>ROUND(90.75*0.38*0,0)</f>
        <v>0</v>
      </c>
      <c r="EG16" s="676">
        <v>0</v>
      </c>
      <c r="EH16" s="552">
        <f>ROUND(90.75*0.38*0,0)</f>
        <v>0</v>
      </c>
      <c r="EI16" s="676">
        <v>0</v>
      </c>
      <c r="EJ16" s="552">
        <f>ROUND(90.75*0.38*0,0)</f>
        <v>0</v>
      </c>
      <c r="EK16" s="676">
        <v>0.4</v>
      </c>
      <c r="EL16" s="552">
        <f>ROUND(90.75*0.38*0.4,0)</f>
        <v>14</v>
      </c>
      <c r="EM16" s="676">
        <v>1.5</v>
      </c>
      <c r="EN16" s="552">
        <f>ROUND(90.75*0.38*1.5,0)</f>
        <v>52</v>
      </c>
      <c r="EO16" s="676">
        <v>2.4</v>
      </c>
      <c r="EP16" s="552">
        <f>ROUND(90.75*0.38*2.4,0)</f>
        <v>83</v>
      </c>
      <c r="EQ16" s="676">
        <v>3.1</v>
      </c>
      <c r="ER16" s="552">
        <f>ROUND(90.75*0.38*3.1,0)</f>
        <v>107</v>
      </c>
      <c r="ES16" s="676">
        <v>3.6</v>
      </c>
      <c r="ET16" s="552">
        <f>ROUND(90.75*0.38*3.6,0)</f>
        <v>124</v>
      </c>
      <c r="EU16" s="676">
        <v>3.6</v>
      </c>
      <c r="EV16" s="552">
        <f>ROUND(90.75*0.38*3.6,0)</f>
        <v>124</v>
      </c>
      <c r="EW16" s="676">
        <v>3.2</v>
      </c>
      <c r="EX16" s="552">
        <f>ROUND(90.75*0.38*3.2,0)</f>
        <v>110</v>
      </c>
      <c r="EY16" s="676">
        <v>2.4</v>
      </c>
      <c r="EZ16" s="552">
        <f>ROUND(90.75*0.38*2.4,0)</f>
        <v>83</v>
      </c>
      <c r="FA16" s="676">
        <v>1.5</v>
      </c>
      <c r="FB16" s="552">
        <f>ROUND(90.75*0.38*1.5,0)</f>
        <v>52</v>
      </c>
      <c r="FC16" s="676">
        <v>0.6</v>
      </c>
      <c r="FD16" s="552">
        <f>ROUND(90.75*0.38*0.6,0)</f>
        <v>21</v>
      </c>
      <c r="FE16" s="676">
        <v>0</v>
      </c>
      <c r="FF16" s="552">
        <f>ROUND(90.75*0.38*0,0)</f>
        <v>0</v>
      </c>
      <c r="FG16" s="676">
        <v>0</v>
      </c>
      <c r="FH16" s="677">
        <f>ROUND(90.75*0.38*0,0)</f>
        <v>0</v>
      </c>
      <c r="FI16" s="556"/>
      <c r="FJ16" s="557"/>
      <c r="FK16" s="547" t="s">
        <v>200</v>
      </c>
      <c r="FL16" s="672" t="s">
        <v>70</v>
      </c>
      <c r="FM16" s="548">
        <v>90.75</v>
      </c>
      <c r="FN16" s="673">
        <v>0.38</v>
      </c>
      <c r="FO16" s="674"/>
      <c r="FP16" s="678">
        <v>6</v>
      </c>
      <c r="FQ16" s="679">
        <v>30.9</v>
      </c>
      <c r="FR16" s="552">
        <f>ROUND(90.75*0.38*30.9,0)</f>
        <v>1066</v>
      </c>
      <c r="FS16" s="680">
        <v>4</v>
      </c>
      <c r="FT16" s="679">
        <v>29.8</v>
      </c>
      <c r="FU16" s="560">
        <f>ROUND(90.75*0.38*29.8,0)</f>
        <v>1028</v>
      </c>
      <c r="FV16" s="586"/>
      <c r="FW16" s="587"/>
      <c r="FX16" s="588"/>
      <c r="FY16" s="589"/>
      <c r="FZ16" s="590"/>
      <c r="GA16" s="591"/>
      <c r="GB16" s="592"/>
      <c r="GC16" s="593"/>
      <c r="GD16" s="592"/>
      <c r="GE16" s="594"/>
      <c r="GF16" s="681"/>
      <c r="GG16" s="670"/>
      <c r="GH16" s="670"/>
      <c r="GI16" s="670"/>
      <c r="GJ16" s="410"/>
      <c r="GK16" s="621"/>
      <c r="GL16" s="622"/>
      <c r="GM16" s="623"/>
      <c r="GN16" s="624"/>
      <c r="GO16" s="625"/>
      <c r="GP16" s="649"/>
      <c r="GQ16" s="626">
        <v>0</v>
      </c>
      <c r="GR16" s="627">
        <v>0</v>
      </c>
      <c r="GS16" s="406"/>
      <c r="GT16" s="682"/>
      <c r="GU16" s="621"/>
      <c r="GV16" s="622"/>
      <c r="GW16" s="628"/>
      <c r="GX16" s="629"/>
      <c r="GY16" s="630"/>
      <c r="GZ16" s="631"/>
      <c r="HA16" s="632">
        <v>0</v>
      </c>
      <c r="HB16" s="633"/>
      <c r="HC16" s="683"/>
      <c r="HD16" s="412"/>
      <c r="HE16" s="412"/>
      <c r="HF16" s="412"/>
      <c r="HG16" s="412"/>
    </row>
    <row r="17" spans="1:218" ht="20.100000000000001" customHeight="1">
      <c r="A17" s="545"/>
      <c r="B17" s="575" t="s">
        <v>235</v>
      </c>
      <c r="C17" s="684"/>
      <c r="D17" s="576">
        <v>111.6</v>
      </c>
      <c r="E17" s="685">
        <v>0.51</v>
      </c>
      <c r="F17" s="686"/>
      <c r="G17" s="687">
        <v>0</v>
      </c>
      <c r="H17" s="580">
        <f>ROUND(111.6*0.51*0,0)</f>
        <v>0</v>
      </c>
      <c r="I17" s="688">
        <v>0</v>
      </c>
      <c r="J17" s="580">
        <f>ROUND(111.6*0.51*0,0)</f>
        <v>0</v>
      </c>
      <c r="K17" s="688">
        <v>0</v>
      </c>
      <c r="L17" s="580">
        <f>ROUND(111.6*0.51*0,0)</f>
        <v>0</v>
      </c>
      <c r="M17" s="688">
        <v>0</v>
      </c>
      <c r="N17" s="580">
        <f>ROUND(111.6*0.51*0,0)</f>
        <v>0</v>
      </c>
      <c r="O17" s="688">
        <v>0</v>
      </c>
      <c r="P17" s="580">
        <f>ROUND(111.6*0.51*0,0)</f>
        <v>0</v>
      </c>
      <c r="Q17" s="688">
        <v>0</v>
      </c>
      <c r="R17" s="580">
        <f>ROUND(111.6*0.51*0,0)</f>
        <v>0</v>
      </c>
      <c r="S17" s="688">
        <v>0.2</v>
      </c>
      <c r="T17" s="580">
        <f>ROUND(111.6*0.51*0.2,0)</f>
        <v>11</v>
      </c>
      <c r="U17" s="688">
        <v>0.6</v>
      </c>
      <c r="V17" s="580">
        <f>ROUND(111.6*0.51*0.6,0)</f>
        <v>34</v>
      </c>
      <c r="W17" s="688">
        <v>1.1000000000000001</v>
      </c>
      <c r="X17" s="580">
        <f>ROUND(111.6*0.51*1.1,0)</f>
        <v>63</v>
      </c>
      <c r="Y17" s="688">
        <v>1.5</v>
      </c>
      <c r="Z17" s="580">
        <f>ROUND(111.6*0.51*1.5,0)</f>
        <v>85</v>
      </c>
      <c r="AA17" s="688">
        <v>1.8</v>
      </c>
      <c r="AB17" s="580">
        <f>ROUND(111.6*0.51*1.8,0)</f>
        <v>102</v>
      </c>
      <c r="AC17" s="688">
        <v>2</v>
      </c>
      <c r="AD17" s="580">
        <f>ROUND(111.6*0.51*2,0)</f>
        <v>114</v>
      </c>
      <c r="AE17" s="688">
        <v>2.2999999999999998</v>
      </c>
      <c r="AF17" s="580">
        <f>ROUND(111.6*0.51*2.3,0)</f>
        <v>131</v>
      </c>
      <c r="AG17" s="688">
        <v>2.2999999999999998</v>
      </c>
      <c r="AH17" s="580">
        <f>ROUND(111.6*0.51*2.3,0)</f>
        <v>131</v>
      </c>
      <c r="AI17" s="688">
        <v>2.2999999999999998</v>
      </c>
      <c r="AJ17" s="580">
        <f>ROUND(111.6*0.51*2.3,0)</f>
        <v>131</v>
      </c>
      <c r="AK17" s="688">
        <v>2.1</v>
      </c>
      <c r="AL17" s="580">
        <f>ROUND(111.6*0.51*2.1,0)</f>
        <v>120</v>
      </c>
      <c r="AM17" s="688">
        <v>1.7</v>
      </c>
      <c r="AN17" s="580">
        <f>ROUND(111.6*0.51*1.7,0)</f>
        <v>97</v>
      </c>
      <c r="AO17" s="688">
        <v>1.4</v>
      </c>
      <c r="AP17" s="580">
        <f>ROUND(111.6*0.51*1.4,0)</f>
        <v>80</v>
      </c>
      <c r="AQ17" s="688">
        <v>1</v>
      </c>
      <c r="AR17" s="580">
        <f>ROUND(111.6*0.51*1,0)</f>
        <v>57</v>
      </c>
      <c r="AS17" s="688">
        <v>0.8</v>
      </c>
      <c r="AT17" s="580">
        <f>ROUND(111.6*0.51*0.8,0)</f>
        <v>46</v>
      </c>
      <c r="AU17" s="688">
        <v>0.6</v>
      </c>
      <c r="AV17" s="580">
        <f>ROUND(111.6*0.51*0.6,0)</f>
        <v>34</v>
      </c>
      <c r="AW17" s="688">
        <v>0.4</v>
      </c>
      <c r="AX17" s="580">
        <f>ROUND(111.6*0.51*0.4,0)</f>
        <v>23</v>
      </c>
      <c r="AY17" s="688">
        <v>0.2</v>
      </c>
      <c r="AZ17" s="580">
        <f>ROUND(111.6*0.51*0.2,0)</f>
        <v>11</v>
      </c>
      <c r="BA17" s="688">
        <v>0.1</v>
      </c>
      <c r="BB17" s="582">
        <f>ROUND(111.6*0.51*0.1,0)</f>
        <v>6</v>
      </c>
      <c r="BC17" s="555"/>
      <c r="BD17" s="545"/>
      <c r="BE17" s="575" t="s">
        <v>235</v>
      </c>
      <c r="BF17" s="684"/>
      <c r="BG17" s="576">
        <v>111.6</v>
      </c>
      <c r="BH17" s="685">
        <v>0.51</v>
      </c>
      <c r="BI17" s="686"/>
      <c r="BJ17" s="687">
        <v>0</v>
      </c>
      <c r="BK17" s="580">
        <f>ROUND(111.6*0.51*0,0)</f>
        <v>0</v>
      </c>
      <c r="BL17" s="688">
        <v>0</v>
      </c>
      <c r="BM17" s="580">
        <f>ROUND(111.6*0.51*0,0)</f>
        <v>0</v>
      </c>
      <c r="BN17" s="688">
        <v>0</v>
      </c>
      <c r="BO17" s="580">
        <f>ROUND(111.6*0.51*0,0)</f>
        <v>0</v>
      </c>
      <c r="BP17" s="688">
        <v>0</v>
      </c>
      <c r="BQ17" s="580">
        <f>ROUND(111.6*0.51*0,0)</f>
        <v>0</v>
      </c>
      <c r="BR17" s="688">
        <v>0</v>
      </c>
      <c r="BS17" s="580">
        <f>ROUND(111.6*0.51*0,0)</f>
        <v>0</v>
      </c>
      <c r="BT17" s="688">
        <v>0</v>
      </c>
      <c r="BU17" s="580">
        <f>ROUND(111.6*0.51*0,0)</f>
        <v>0</v>
      </c>
      <c r="BV17" s="688">
        <v>0.3</v>
      </c>
      <c r="BW17" s="580">
        <f>ROUND(111.6*0.51*0.3,0)</f>
        <v>17</v>
      </c>
      <c r="BX17" s="688">
        <v>0.8</v>
      </c>
      <c r="BY17" s="580">
        <f>ROUND(111.6*0.51*0.8,0)</f>
        <v>46</v>
      </c>
      <c r="BZ17" s="688">
        <v>1.4</v>
      </c>
      <c r="CA17" s="580">
        <f>ROUND(111.6*0.51*1.4,0)</f>
        <v>80</v>
      </c>
      <c r="CB17" s="688">
        <v>1.8</v>
      </c>
      <c r="CC17" s="580">
        <f>ROUND(111.6*0.51*1.8,0)</f>
        <v>102</v>
      </c>
      <c r="CD17" s="688">
        <v>2.1</v>
      </c>
      <c r="CE17" s="580">
        <f>ROUND(111.6*0.51*2.1,0)</f>
        <v>120</v>
      </c>
      <c r="CF17" s="688">
        <v>2.2999999999999998</v>
      </c>
      <c r="CG17" s="580">
        <f>ROUND(111.6*0.51*2.3,0)</f>
        <v>131</v>
      </c>
      <c r="CH17" s="688">
        <v>2.5</v>
      </c>
      <c r="CI17" s="580">
        <f>ROUND(111.6*0.51*2.5,0)</f>
        <v>142</v>
      </c>
      <c r="CJ17" s="688">
        <v>2.6</v>
      </c>
      <c r="CK17" s="580">
        <f>ROUND(111.6*0.51*2.6,0)</f>
        <v>148</v>
      </c>
      <c r="CL17" s="688">
        <v>2.5</v>
      </c>
      <c r="CM17" s="580">
        <f>ROUND(111.6*0.51*2.5,0)</f>
        <v>142</v>
      </c>
      <c r="CN17" s="688">
        <v>2.4</v>
      </c>
      <c r="CO17" s="580">
        <f>ROUND(111.6*0.51*2.4,0)</f>
        <v>137</v>
      </c>
      <c r="CP17" s="688">
        <v>2.1</v>
      </c>
      <c r="CQ17" s="580">
        <f>ROUND(111.6*0.51*2.1,0)</f>
        <v>120</v>
      </c>
      <c r="CR17" s="688">
        <v>1.6</v>
      </c>
      <c r="CS17" s="580">
        <f>ROUND(111.6*0.51*1.6,0)</f>
        <v>91</v>
      </c>
      <c r="CT17" s="688">
        <v>1.1000000000000001</v>
      </c>
      <c r="CU17" s="580">
        <f>ROUND(111.6*0.51*1.1,0)</f>
        <v>63</v>
      </c>
      <c r="CV17" s="688">
        <v>0.7</v>
      </c>
      <c r="CW17" s="580">
        <f>ROUND(111.6*0.51*0.7,0)</f>
        <v>40</v>
      </c>
      <c r="CX17" s="688">
        <v>0.5</v>
      </c>
      <c r="CY17" s="580">
        <f>ROUND(111.6*0.51*0.5,0)</f>
        <v>28</v>
      </c>
      <c r="CZ17" s="688">
        <v>0.3</v>
      </c>
      <c r="DA17" s="580">
        <f>ROUND(111.6*0.51*0.3,0)</f>
        <v>17</v>
      </c>
      <c r="DB17" s="688">
        <v>0.1</v>
      </c>
      <c r="DC17" s="580">
        <f>ROUND(111.6*0.51*0.1,0)</f>
        <v>6</v>
      </c>
      <c r="DD17" s="688">
        <v>0</v>
      </c>
      <c r="DE17" s="582">
        <f>ROUND(111.6*0.51*0,0)</f>
        <v>0</v>
      </c>
      <c r="DF17" s="555"/>
      <c r="DG17" s="545"/>
      <c r="DH17" s="575" t="s">
        <v>235</v>
      </c>
      <c r="DI17" s="684"/>
      <c r="DJ17" s="576">
        <v>111.6</v>
      </c>
      <c r="DK17" s="685">
        <v>0.51</v>
      </c>
      <c r="DL17" s="686"/>
      <c r="DM17" s="687">
        <v>0</v>
      </c>
      <c r="DN17" s="580">
        <f>ROUND(111.6*0.51*0,0)</f>
        <v>0</v>
      </c>
      <c r="DO17" s="688">
        <v>0</v>
      </c>
      <c r="DP17" s="580">
        <f>ROUND(111.6*0.51*0,0)</f>
        <v>0</v>
      </c>
      <c r="DQ17" s="688">
        <v>0</v>
      </c>
      <c r="DR17" s="580">
        <f>ROUND(111.6*0.51*0,0)</f>
        <v>0</v>
      </c>
      <c r="DS17" s="688">
        <v>0</v>
      </c>
      <c r="DT17" s="580">
        <f>ROUND(111.6*0.51*0,0)</f>
        <v>0</v>
      </c>
      <c r="DU17" s="688">
        <v>0</v>
      </c>
      <c r="DV17" s="580">
        <f>ROUND(111.6*0.51*0,0)</f>
        <v>0</v>
      </c>
      <c r="DW17" s="688">
        <v>0</v>
      </c>
      <c r="DX17" s="580">
        <f>ROUND(111.6*0.51*0,0)</f>
        <v>0</v>
      </c>
      <c r="DY17" s="688">
        <v>0</v>
      </c>
      <c r="DZ17" s="580">
        <f>ROUND(111.6*0.51*0,0)</f>
        <v>0</v>
      </c>
      <c r="EA17" s="688">
        <v>0</v>
      </c>
      <c r="EB17" s="580">
        <f>ROUND(111.6*0.51*0,0)</f>
        <v>0</v>
      </c>
      <c r="EC17" s="688">
        <v>0</v>
      </c>
      <c r="ED17" s="580">
        <f>ROUND(111.6*0.51*0,0)</f>
        <v>0</v>
      </c>
      <c r="EE17" s="688">
        <v>0.2</v>
      </c>
      <c r="EF17" s="580">
        <f>ROUND(111.6*0.51*0.2,0)</f>
        <v>11</v>
      </c>
      <c r="EG17" s="688">
        <v>0.5</v>
      </c>
      <c r="EH17" s="580">
        <f>ROUND(111.6*0.51*0.5,0)</f>
        <v>28</v>
      </c>
      <c r="EI17" s="688">
        <v>0.8</v>
      </c>
      <c r="EJ17" s="580">
        <f>ROUND(111.6*0.51*0.8,0)</f>
        <v>46</v>
      </c>
      <c r="EK17" s="688">
        <v>0.9</v>
      </c>
      <c r="EL17" s="580">
        <f>ROUND(111.6*0.51*0.9,0)</f>
        <v>51</v>
      </c>
      <c r="EM17" s="688">
        <v>0.9</v>
      </c>
      <c r="EN17" s="580">
        <f>ROUND(111.6*0.51*0.9,0)</f>
        <v>51</v>
      </c>
      <c r="EO17" s="688">
        <v>0.8</v>
      </c>
      <c r="EP17" s="580">
        <f>ROUND(111.6*0.51*0.8,0)</f>
        <v>46</v>
      </c>
      <c r="EQ17" s="688">
        <v>0.5</v>
      </c>
      <c r="ER17" s="580">
        <f>ROUND(111.6*0.51*0.5,0)</f>
        <v>28</v>
      </c>
      <c r="ES17" s="688">
        <v>0.1</v>
      </c>
      <c r="ET17" s="580">
        <f>ROUND(111.6*0.51*0.1,0)</f>
        <v>6</v>
      </c>
      <c r="EU17" s="688">
        <v>0</v>
      </c>
      <c r="EV17" s="580">
        <f>ROUND(111.6*0.51*0,0)</f>
        <v>0</v>
      </c>
      <c r="EW17" s="688">
        <v>0</v>
      </c>
      <c r="EX17" s="580">
        <f>ROUND(111.6*0.51*0,0)</f>
        <v>0</v>
      </c>
      <c r="EY17" s="688">
        <v>0</v>
      </c>
      <c r="EZ17" s="580">
        <f>ROUND(111.6*0.51*0,0)</f>
        <v>0</v>
      </c>
      <c r="FA17" s="688">
        <v>0</v>
      </c>
      <c r="FB17" s="580">
        <f>ROUND(111.6*0.51*0,0)</f>
        <v>0</v>
      </c>
      <c r="FC17" s="688">
        <v>0</v>
      </c>
      <c r="FD17" s="580">
        <f>ROUND(111.6*0.51*0,0)</f>
        <v>0</v>
      </c>
      <c r="FE17" s="688">
        <v>0</v>
      </c>
      <c r="FF17" s="580">
        <f>ROUND(111.6*0.51*0,0)</f>
        <v>0</v>
      </c>
      <c r="FG17" s="688">
        <v>0</v>
      </c>
      <c r="FH17" s="582">
        <f>ROUND(111.6*0.51*0,0)</f>
        <v>0</v>
      </c>
      <c r="FI17" s="556"/>
      <c r="FJ17" s="557"/>
      <c r="FK17" s="575" t="s">
        <v>235</v>
      </c>
      <c r="FL17" s="684"/>
      <c r="FM17" s="576">
        <v>111.6</v>
      </c>
      <c r="FN17" s="685">
        <v>0.51</v>
      </c>
      <c r="FO17" s="686"/>
      <c r="FP17" s="689">
        <v>6</v>
      </c>
      <c r="FQ17" s="690">
        <v>9.3000000000000007</v>
      </c>
      <c r="FR17" s="580">
        <f>ROUND(111.6*0.51*9.3,0)</f>
        <v>529</v>
      </c>
      <c r="FS17" s="691">
        <v>4</v>
      </c>
      <c r="FT17" s="690">
        <v>8.9</v>
      </c>
      <c r="FU17" s="585">
        <f>ROUND(111.6*0.51*8.9,0)</f>
        <v>507</v>
      </c>
      <c r="FV17" s="586"/>
      <c r="FW17" s="587"/>
      <c r="FX17" s="588"/>
      <c r="FY17" s="589"/>
      <c r="FZ17" s="590"/>
      <c r="GA17" s="591"/>
      <c r="GB17" s="592"/>
      <c r="GC17" s="593"/>
      <c r="GD17" s="592"/>
      <c r="GE17" s="594"/>
      <c r="GF17" s="681"/>
      <c r="GG17" s="595"/>
      <c r="GH17" s="595"/>
      <c r="GI17" s="595"/>
      <c r="GJ17" s="573"/>
      <c r="GK17" s="621"/>
      <c r="GL17" s="622"/>
      <c r="GM17" s="623"/>
      <c r="GN17" s="624"/>
      <c r="GO17" s="625"/>
      <c r="GP17" s="649"/>
      <c r="GQ17" s="626">
        <v>0</v>
      </c>
      <c r="GR17" s="627">
        <v>0</v>
      </c>
      <c r="GS17" s="692"/>
      <c r="GT17" s="682"/>
      <c r="GU17" s="621"/>
      <c r="GV17" s="622"/>
      <c r="GW17" s="628"/>
      <c r="GX17" s="629"/>
      <c r="GY17" s="630"/>
      <c r="GZ17" s="631"/>
      <c r="HA17" s="632">
        <v>0</v>
      </c>
      <c r="HB17" s="633"/>
      <c r="HC17" s="523"/>
      <c r="HD17" s="412"/>
      <c r="HE17" s="412"/>
      <c r="HF17" s="412"/>
      <c r="HG17" s="412"/>
    </row>
    <row r="18" spans="1:218" ht="20.100000000000001" customHeight="1">
      <c r="A18" s="545"/>
      <c r="B18" s="693" t="s">
        <v>240</v>
      </c>
      <c r="C18" s="684"/>
      <c r="D18" s="576">
        <v>123.42</v>
      </c>
      <c r="E18" s="685">
        <v>0.46</v>
      </c>
      <c r="F18" s="686"/>
      <c r="G18" s="687">
        <v>0</v>
      </c>
      <c r="H18" s="580">
        <f>ROUND(123.42*0.46*0,0)</f>
        <v>0</v>
      </c>
      <c r="I18" s="688">
        <v>0</v>
      </c>
      <c r="J18" s="580">
        <f>ROUND(123.42*0.46*0,0)</f>
        <v>0</v>
      </c>
      <c r="K18" s="688">
        <v>0</v>
      </c>
      <c r="L18" s="580">
        <f>ROUND(123.42*0.46*0,0)</f>
        <v>0</v>
      </c>
      <c r="M18" s="688">
        <v>0</v>
      </c>
      <c r="N18" s="580">
        <f>ROUND(123.42*0.46*0,0)</f>
        <v>0</v>
      </c>
      <c r="O18" s="688">
        <v>0</v>
      </c>
      <c r="P18" s="580">
        <f>ROUND(123.42*0.46*0,0)</f>
        <v>0</v>
      </c>
      <c r="Q18" s="688">
        <v>0</v>
      </c>
      <c r="R18" s="580">
        <f>ROUND(123.42*0.46*0,0)</f>
        <v>0</v>
      </c>
      <c r="S18" s="688">
        <v>0.2</v>
      </c>
      <c r="T18" s="580">
        <f>ROUND(123.42*0.46*0.2,0)</f>
        <v>11</v>
      </c>
      <c r="U18" s="688">
        <v>0.6</v>
      </c>
      <c r="V18" s="580">
        <f>ROUND(123.42*0.46*0.6,0)</f>
        <v>34</v>
      </c>
      <c r="W18" s="688">
        <v>4</v>
      </c>
      <c r="X18" s="580">
        <f>ROUND(123.42*0.46*4,0)</f>
        <v>227</v>
      </c>
      <c r="Y18" s="688">
        <v>4</v>
      </c>
      <c r="Z18" s="580">
        <f>ROUND(123.42*0.46*4,0)</f>
        <v>227</v>
      </c>
      <c r="AA18" s="688">
        <v>4</v>
      </c>
      <c r="AB18" s="580">
        <f>ROUND(123.42*0.46*4,0)</f>
        <v>227</v>
      </c>
      <c r="AC18" s="688">
        <v>4</v>
      </c>
      <c r="AD18" s="580">
        <f>ROUND(123.42*0.46*4,0)</f>
        <v>227</v>
      </c>
      <c r="AE18" s="688">
        <v>4</v>
      </c>
      <c r="AF18" s="580">
        <f>ROUND(123.42*0.46*4,0)</f>
        <v>227</v>
      </c>
      <c r="AG18" s="688">
        <v>4</v>
      </c>
      <c r="AH18" s="580">
        <f>ROUND(123.42*0.46*4,0)</f>
        <v>227</v>
      </c>
      <c r="AI18" s="688">
        <v>4</v>
      </c>
      <c r="AJ18" s="580">
        <f>ROUND(123.42*0.46*4,0)</f>
        <v>227</v>
      </c>
      <c r="AK18" s="688">
        <v>4</v>
      </c>
      <c r="AL18" s="580">
        <f>ROUND(123.42*0.46*4,0)</f>
        <v>227</v>
      </c>
      <c r="AM18" s="688">
        <v>4</v>
      </c>
      <c r="AN18" s="580">
        <f>ROUND(123.42*0.46*4,0)</f>
        <v>227</v>
      </c>
      <c r="AO18" s="688">
        <v>4</v>
      </c>
      <c r="AP18" s="580">
        <f>ROUND(123.42*0.46*4,0)</f>
        <v>227</v>
      </c>
      <c r="AQ18" s="688">
        <v>1</v>
      </c>
      <c r="AR18" s="580">
        <f>ROUND(123.42*0.46*1,0)</f>
        <v>57</v>
      </c>
      <c r="AS18" s="688">
        <v>0.8</v>
      </c>
      <c r="AT18" s="580">
        <f>ROUND(123.42*0.46*0.8,0)</f>
        <v>45</v>
      </c>
      <c r="AU18" s="688">
        <v>0.6</v>
      </c>
      <c r="AV18" s="580">
        <f>ROUND(123.42*0.46*0.6,0)</f>
        <v>34</v>
      </c>
      <c r="AW18" s="688">
        <v>0.4</v>
      </c>
      <c r="AX18" s="580">
        <f>ROUND(123.42*0.46*0.4,0)</f>
        <v>23</v>
      </c>
      <c r="AY18" s="688">
        <v>0.2</v>
      </c>
      <c r="AZ18" s="580">
        <f>ROUND(123.42*0.46*0.2,0)</f>
        <v>11</v>
      </c>
      <c r="BA18" s="688">
        <v>0.1</v>
      </c>
      <c r="BB18" s="582">
        <f>ROUND(123.42*0.46*0.1,0)</f>
        <v>6</v>
      </c>
      <c r="BC18" s="555"/>
      <c r="BD18" s="545"/>
      <c r="BE18" s="693" t="s">
        <v>240</v>
      </c>
      <c r="BF18" s="684"/>
      <c r="BG18" s="576">
        <v>123.42</v>
      </c>
      <c r="BH18" s="685">
        <v>0.46</v>
      </c>
      <c r="BI18" s="686"/>
      <c r="BJ18" s="687">
        <v>0</v>
      </c>
      <c r="BK18" s="580">
        <f>ROUND(123.42*0.46*0,0)</f>
        <v>0</v>
      </c>
      <c r="BL18" s="688">
        <v>0</v>
      </c>
      <c r="BM18" s="580">
        <f>ROUND(123.42*0.46*0,0)</f>
        <v>0</v>
      </c>
      <c r="BN18" s="688">
        <v>0</v>
      </c>
      <c r="BO18" s="580">
        <f>ROUND(123.42*0.46*0,0)</f>
        <v>0</v>
      </c>
      <c r="BP18" s="688">
        <v>0</v>
      </c>
      <c r="BQ18" s="580">
        <f>ROUND(123.42*0.46*0,0)</f>
        <v>0</v>
      </c>
      <c r="BR18" s="688">
        <v>0</v>
      </c>
      <c r="BS18" s="580">
        <f>ROUND(123.42*0.46*0,0)</f>
        <v>0</v>
      </c>
      <c r="BT18" s="688">
        <v>0</v>
      </c>
      <c r="BU18" s="580">
        <f>ROUND(123.42*0.46*0,0)</f>
        <v>0</v>
      </c>
      <c r="BV18" s="688">
        <v>0.3</v>
      </c>
      <c r="BW18" s="580">
        <f>ROUND(123.42*0.46*0.3,0)</f>
        <v>17</v>
      </c>
      <c r="BX18" s="688">
        <v>0.8</v>
      </c>
      <c r="BY18" s="580">
        <f>ROUND(123.42*0.46*0.8,0)</f>
        <v>45</v>
      </c>
      <c r="BZ18" s="688">
        <v>4</v>
      </c>
      <c r="CA18" s="580">
        <f>ROUND(123.42*0.46*4,0)</f>
        <v>227</v>
      </c>
      <c r="CB18" s="688">
        <v>4</v>
      </c>
      <c r="CC18" s="580">
        <f>ROUND(123.42*0.46*4,0)</f>
        <v>227</v>
      </c>
      <c r="CD18" s="688">
        <v>4</v>
      </c>
      <c r="CE18" s="580">
        <f>ROUND(123.42*0.46*4,0)</f>
        <v>227</v>
      </c>
      <c r="CF18" s="688">
        <v>4</v>
      </c>
      <c r="CG18" s="580">
        <f>ROUND(123.42*0.46*4,0)</f>
        <v>227</v>
      </c>
      <c r="CH18" s="688">
        <v>4</v>
      </c>
      <c r="CI18" s="580">
        <f>ROUND(123.42*0.46*4,0)</f>
        <v>227</v>
      </c>
      <c r="CJ18" s="688">
        <v>4</v>
      </c>
      <c r="CK18" s="580">
        <f>ROUND(123.42*0.46*4,0)</f>
        <v>227</v>
      </c>
      <c r="CL18" s="688">
        <v>4</v>
      </c>
      <c r="CM18" s="580">
        <f>ROUND(123.42*0.46*4,0)</f>
        <v>227</v>
      </c>
      <c r="CN18" s="688">
        <v>4</v>
      </c>
      <c r="CO18" s="580">
        <f>ROUND(123.42*0.46*4,0)</f>
        <v>227</v>
      </c>
      <c r="CP18" s="688">
        <v>4</v>
      </c>
      <c r="CQ18" s="580">
        <f>ROUND(123.42*0.46*4,0)</f>
        <v>227</v>
      </c>
      <c r="CR18" s="688">
        <v>4</v>
      </c>
      <c r="CS18" s="580">
        <f>ROUND(123.42*0.46*4,0)</f>
        <v>227</v>
      </c>
      <c r="CT18" s="688">
        <v>1.1000000000000001</v>
      </c>
      <c r="CU18" s="580">
        <f>ROUND(123.42*0.46*1.1,0)</f>
        <v>62</v>
      </c>
      <c r="CV18" s="688">
        <v>0.7</v>
      </c>
      <c r="CW18" s="580">
        <f>ROUND(123.42*0.46*0.7,0)</f>
        <v>40</v>
      </c>
      <c r="CX18" s="688">
        <v>0.5</v>
      </c>
      <c r="CY18" s="580">
        <f>ROUND(123.42*0.46*0.5,0)</f>
        <v>28</v>
      </c>
      <c r="CZ18" s="688">
        <v>0.3</v>
      </c>
      <c r="DA18" s="580">
        <f>ROUND(123.42*0.46*0.3,0)</f>
        <v>17</v>
      </c>
      <c r="DB18" s="688">
        <v>0.1</v>
      </c>
      <c r="DC18" s="580">
        <f>ROUND(123.42*0.46*0.1,0)</f>
        <v>6</v>
      </c>
      <c r="DD18" s="688">
        <v>0</v>
      </c>
      <c r="DE18" s="582">
        <f>ROUND(123.42*0.46*0,0)</f>
        <v>0</v>
      </c>
      <c r="DF18" s="555"/>
      <c r="DG18" s="545"/>
      <c r="DH18" s="693" t="s">
        <v>240</v>
      </c>
      <c r="DI18" s="684"/>
      <c r="DJ18" s="576">
        <v>123.42</v>
      </c>
      <c r="DK18" s="685">
        <v>0.46</v>
      </c>
      <c r="DL18" s="686"/>
      <c r="DM18" s="687">
        <v>0</v>
      </c>
      <c r="DN18" s="580">
        <f>ROUND(123.42*0.46*0,0)</f>
        <v>0</v>
      </c>
      <c r="DO18" s="688">
        <v>0</v>
      </c>
      <c r="DP18" s="580">
        <f>ROUND(123.42*0.46*0,0)</f>
        <v>0</v>
      </c>
      <c r="DQ18" s="688">
        <v>0</v>
      </c>
      <c r="DR18" s="580">
        <f>ROUND(123.42*0.46*0,0)</f>
        <v>0</v>
      </c>
      <c r="DS18" s="688">
        <v>0</v>
      </c>
      <c r="DT18" s="580">
        <f>ROUND(123.42*0.46*0,0)</f>
        <v>0</v>
      </c>
      <c r="DU18" s="688">
        <v>0</v>
      </c>
      <c r="DV18" s="580">
        <f>ROUND(123.42*0.46*0,0)</f>
        <v>0</v>
      </c>
      <c r="DW18" s="688">
        <v>0</v>
      </c>
      <c r="DX18" s="580">
        <f>ROUND(123.42*0.46*0,0)</f>
        <v>0</v>
      </c>
      <c r="DY18" s="688">
        <v>0</v>
      </c>
      <c r="DZ18" s="580">
        <f>ROUND(123.42*0.46*0,0)</f>
        <v>0</v>
      </c>
      <c r="EA18" s="688">
        <v>0</v>
      </c>
      <c r="EB18" s="580">
        <f>ROUND(123.42*0.46*0,0)</f>
        <v>0</v>
      </c>
      <c r="EC18" s="688">
        <v>4</v>
      </c>
      <c r="ED18" s="580">
        <f>ROUND(123.42*0.46*4,0)</f>
        <v>227</v>
      </c>
      <c r="EE18" s="688">
        <v>4</v>
      </c>
      <c r="EF18" s="580">
        <f>ROUND(123.42*0.46*4,0)</f>
        <v>227</v>
      </c>
      <c r="EG18" s="688">
        <v>4</v>
      </c>
      <c r="EH18" s="580">
        <f>ROUND(123.42*0.46*4,0)</f>
        <v>227</v>
      </c>
      <c r="EI18" s="688">
        <v>4</v>
      </c>
      <c r="EJ18" s="580">
        <f>ROUND(123.42*0.46*4,0)</f>
        <v>227</v>
      </c>
      <c r="EK18" s="688">
        <v>4</v>
      </c>
      <c r="EL18" s="580">
        <f>ROUND(123.42*0.46*4,0)</f>
        <v>227</v>
      </c>
      <c r="EM18" s="688">
        <v>4</v>
      </c>
      <c r="EN18" s="580">
        <f>ROUND(123.42*0.46*4,0)</f>
        <v>227</v>
      </c>
      <c r="EO18" s="688">
        <v>4</v>
      </c>
      <c r="EP18" s="580">
        <f>ROUND(123.42*0.46*4,0)</f>
        <v>227</v>
      </c>
      <c r="EQ18" s="688">
        <v>4</v>
      </c>
      <c r="ER18" s="580">
        <f>ROUND(123.42*0.46*4,0)</f>
        <v>227</v>
      </c>
      <c r="ES18" s="688">
        <v>4</v>
      </c>
      <c r="ET18" s="580">
        <f>ROUND(123.42*0.46*4,0)</f>
        <v>227</v>
      </c>
      <c r="EU18" s="688">
        <v>4</v>
      </c>
      <c r="EV18" s="580">
        <f>ROUND(123.42*0.46*4,0)</f>
        <v>227</v>
      </c>
      <c r="EW18" s="688">
        <v>0</v>
      </c>
      <c r="EX18" s="580">
        <f>ROUND(123.42*0.46*0,0)</f>
        <v>0</v>
      </c>
      <c r="EY18" s="688">
        <v>0</v>
      </c>
      <c r="EZ18" s="580">
        <f>ROUND(123.42*0.46*0,0)</f>
        <v>0</v>
      </c>
      <c r="FA18" s="688">
        <v>0</v>
      </c>
      <c r="FB18" s="580">
        <f>ROUND(123.42*0.46*0,0)</f>
        <v>0</v>
      </c>
      <c r="FC18" s="688">
        <v>0</v>
      </c>
      <c r="FD18" s="580">
        <f>ROUND(123.42*0.46*0,0)</f>
        <v>0</v>
      </c>
      <c r="FE18" s="688">
        <v>0</v>
      </c>
      <c r="FF18" s="580">
        <f>ROUND(123.42*0.46*0,0)</f>
        <v>0</v>
      </c>
      <c r="FG18" s="688">
        <v>0</v>
      </c>
      <c r="FH18" s="582">
        <f>ROUND(123.42*0.46*0,0)</f>
        <v>0</v>
      </c>
      <c r="FI18" s="556"/>
      <c r="FJ18" s="557"/>
      <c r="FK18" s="693" t="s">
        <v>240</v>
      </c>
      <c r="FL18" s="684"/>
      <c r="FM18" s="576">
        <v>123.42</v>
      </c>
      <c r="FN18" s="685">
        <v>0.46</v>
      </c>
      <c r="FO18" s="686"/>
      <c r="FP18" s="689">
        <v>6</v>
      </c>
      <c r="FQ18" s="690">
        <v>9.3000000000000007</v>
      </c>
      <c r="FR18" s="580">
        <f>ROUND(123.42*0.46*9.3,0)</f>
        <v>528</v>
      </c>
      <c r="FS18" s="691">
        <v>4</v>
      </c>
      <c r="FT18" s="690">
        <v>8.9</v>
      </c>
      <c r="FU18" s="585">
        <f>ROUND(123.42*0.46*8.9,0)</f>
        <v>505</v>
      </c>
      <c r="FV18" s="586"/>
      <c r="FW18" s="587"/>
      <c r="FX18" s="588"/>
      <c r="FY18" s="589"/>
      <c r="FZ18" s="590"/>
      <c r="GA18" s="591"/>
      <c r="GB18" s="592"/>
      <c r="GC18" s="593"/>
      <c r="GD18" s="592"/>
      <c r="GE18" s="594"/>
      <c r="GF18" s="681"/>
      <c r="GG18" s="595"/>
      <c r="GH18" s="595"/>
      <c r="GI18" s="595"/>
      <c r="GJ18" s="406"/>
      <c r="GK18" s="621"/>
      <c r="GL18" s="622"/>
      <c r="GM18" s="623"/>
      <c r="GN18" s="624"/>
      <c r="GO18" s="625"/>
      <c r="GP18" s="649"/>
      <c r="GQ18" s="626">
        <v>0</v>
      </c>
      <c r="GR18" s="627">
        <v>0</v>
      </c>
      <c r="GS18" s="406"/>
      <c r="GT18" s="410"/>
      <c r="GU18" s="621"/>
      <c r="GV18" s="622"/>
      <c r="GW18" s="628"/>
      <c r="GX18" s="629"/>
      <c r="GY18" s="630"/>
      <c r="GZ18" s="631"/>
      <c r="HA18" s="632">
        <v>0</v>
      </c>
      <c r="HB18" s="633"/>
      <c r="HC18" s="572"/>
      <c r="HD18" s="555"/>
      <c r="HE18" s="412"/>
      <c r="HF18" s="412"/>
      <c r="HG18" s="412"/>
    </row>
    <row r="19" spans="1:218" ht="20.100000000000001" customHeight="1">
      <c r="A19" s="545"/>
      <c r="B19" s="693" t="s">
        <v>240</v>
      </c>
      <c r="C19" s="684"/>
      <c r="D19" s="576">
        <v>30.25</v>
      </c>
      <c r="E19" s="685">
        <v>0.46</v>
      </c>
      <c r="F19" s="686"/>
      <c r="G19" s="687">
        <v>0</v>
      </c>
      <c r="H19" s="580">
        <f>ROUND(30.25*0.46*0,0)</f>
        <v>0</v>
      </c>
      <c r="I19" s="688">
        <v>0</v>
      </c>
      <c r="J19" s="580">
        <f>ROUND(30.25*0.46*0,0)</f>
        <v>0</v>
      </c>
      <c r="K19" s="688">
        <v>0</v>
      </c>
      <c r="L19" s="580">
        <f>ROUND(30.25*0.46*0,0)</f>
        <v>0</v>
      </c>
      <c r="M19" s="688">
        <v>0</v>
      </c>
      <c r="N19" s="580">
        <f>ROUND(30.25*0.46*0,0)</f>
        <v>0</v>
      </c>
      <c r="O19" s="688">
        <v>0</v>
      </c>
      <c r="P19" s="580">
        <f>ROUND(30.25*0.46*0,0)</f>
        <v>0</v>
      </c>
      <c r="Q19" s="688">
        <v>0</v>
      </c>
      <c r="R19" s="580">
        <f>ROUND(30.25*0.46*0,0)</f>
        <v>0</v>
      </c>
      <c r="S19" s="688">
        <v>0.2</v>
      </c>
      <c r="T19" s="580">
        <f>ROUND(30.25*0.46*0.2,0)</f>
        <v>3</v>
      </c>
      <c r="U19" s="688">
        <v>0.6</v>
      </c>
      <c r="V19" s="580">
        <f>ROUND(30.25*0.46*0.6,0)</f>
        <v>8</v>
      </c>
      <c r="W19" s="688">
        <v>1.1000000000000001</v>
      </c>
      <c r="X19" s="580">
        <f>ROUND(30.25*0.46*1.1,0)</f>
        <v>15</v>
      </c>
      <c r="Y19" s="688">
        <v>1.5</v>
      </c>
      <c r="Z19" s="580">
        <f>ROUND(30.25*0.46*1.5,0)</f>
        <v>21</v>
      </c>
      <c r="AA19" s="688">
        <v>1.8</v>
      </c>
      <c r="AB19" s="580">
        <f>ROUND(30.25*0.46*1.8,0)</f>
        <v>25</v>
      </c>
      <c r="AC19" s="688">
        <v>2</v>
      </c>
      <c r="AD19" s="580">
        <f>ROUND(30.25*0.46*2,0)</f>
        <v>28</v>
      </c>
      <c r="AE19" s="688">
        <v>2.2999999999999998</v>
      </c>
      <c r="AF19" s="580">
        <f>ROUND(30.25*0.46*2.3,0)</f>
        <v>32</v>
      </c>
      <c r="AG19" s="688">
        <v>2.2999999999999998</v>
      </c>
      <c r="AH19" s="580">
        <f>ROUND(30.25*0.46*2.3,0)</f>
        <v>32</v>
      </c>
      <c r="AI19" s="688">
        <v>2.2999999999999998</v>
      </c>
      <c r="AJ19" s="580">
        <f>ROUND(30.25*0.46*2.3,0)</f>
        <v>32</v>
      </c>
      <c r="AK19" s="688">
        <v>2.1</v>
      </c>
      <c r="AL19" s="580">
        <f>ROUND(30.25*0.46*2.1,0)</f>
        <v>29</v>
      </c>
      <c r="AM19" s="688">
        <v>1.7</v>
      </c>
      <c r="AN19" s="580">
        <f>ROUND(30.25*0.46*1.7,0)</f>
        <v>24</v>
      </c>
      <c r="AO19" s="688">
        <v>1.4</v>
      </c>
      <c r="AP19" s="580">
        <f>ROUND(30.25*0.46*1.4,0)</f>
        <v>19</v>
      </c>
      <c r="AQ19" s="688">
        <v>1</v>
      </c>
      <c r="AR19" s="580">
        <f>ROUND(30.25*0.46*1,0)</f>
        <v>14</v>
      </c>
      <c r="AS19" s="688">
        <v>0.8</v>
      </c>
      <c r="AT19" s="580">
        <f>ROUND(30.25*0.46*0.8,0)</f>
        <v>11</v>
      </c>
      <c r="AU19" s="688">
        <v>0.6</v>
      </c>
      <c r="AV19" s="580">
        <f>ROUND(30.25*0.46*0.6,0)</f>
        <v>8</v>
      </c>
      <c r="AW19" s="688">
        <v>0.4</v>
      </c>
      <c r="AX19" s="580">
        <f>ROUND(30.25*0.46*0.4,0)</f>
        <v>6</v>
      </c>
      <c r="AY19" s="688">
        <v>0.2</v>
      </c>
      <c r="AZ19" s="580">
        <f>ROUND(30.25*0.46*0.2,0)</f>
        <v>3</v>
      </c>
      <c r="BA19" s="688">
        <v>0.1</v>
      </c>
      <c r="BB19" s="582">
        <f>ROUND(30.25*0.46*0.1,0)</f>
        <v>1</v>
      </c>
      <c r="BC19" s="555"/>
      <c r="BD19" s="545"/>
      <c r="BE19" s="693" t="s">
        <v>240</v>
      </c>
      <c r="BF19" s="684"/>
      <c r="BG19" s="576">
        <v>30.25</v>
      </c>
      <c r="BH19" s="685">
        <v>0.46</v>
      </c>
      <c r="BI19" s="686"/>
      <c r="BJ19" s="687">
        <v>0</v>
      </c>
      <c r="BK19" s="580">
        <f>ROUND(30.25*0.46*0,0)</f>
        <v>0</v>
      </c>
      <c r="BL19" s="688">
        <v>0</v>
      </c>
      <c r="BM19" s="580">
        <f>ROUND(30.25*0.46*0,0)</f>
        <v>0</v>
      </c>
      <c r="BN19" s="688">
        <v>0</v>
      </c>
      <c r="BO19" s="580">
        <f>ROUND(30.25*0.46*0,0)</f>
        <v>0</v>
      </c>
      <c r="BP19" s="688">
        <v>0</v>
      </c>
      <c r="BQ19" s="580">
        <f>ROUND(30.25*0.46*0,0)</f>
        <v>0</v>
      </c>
      <c r="BR19" s="688">
        <v>0</v>
      </c>
      <c r="BS19" s="580">
        <f>ROUND(30.25*0.46*0,0)</f>
        <v>0</v>
      </c>
      <c r="BT19" s="688">
        <v>0</v>
      </c>
      <c r="BU19" s="580">
        <f>ROUND(30.25*0.46*0,0)</f>
        <v>0</v>
      </c>
      <c r="BV19" s="688">
        <v>0.3</v>
      </c>
      <c r="BW19" s="580">
        <f>ROUND(30.25*0.46*0.3,0)</f>
        <v>4</v>
      </c>
      <c r="BX19" s="688">
        <v>0.8</v>
      </c>
      <c r="BY19" s="580">
        <f>ROUND(30.25*0.46*0.8,0)</f>
        <v>11</v>
      </c>
      <c r="BZ19" s="688">
        <v>1.4</v>
      </c>
      <c r="CA19" s="580">
        <f>ROUND(30.25*0.46*1.4,0)</f>
        <v>19</v>
      </c>
      <c r="CB19" s="688">
        <v>1.8</v>
      </c>
      <c r="CC19" s="580">
        <f>ROUND(30.25*0.46*1.8,0)</f>
        <v>25</v>
      </c>
      <c r="CD19" s="688">
        <v>2.1</v>
      </c>
      <c r="CE19" s="580">
        <f>ROUND(30.25*0.46*2.1,0)</f>
        <v>29</v>
      </c>
      <c r="CF19" s="688">
        <v>2.2999999999999998</v>
      </c>
      <c r="CG19" s="580">
        <f>ROUND(30.25*0.46*2.3,0)</f>
        <v>32</v>
      </c>
      <c r="CH19" s="688">
        <v>2.5</v>
      </c>
      <c r="CI19" s="580">
        <f>ROUND(30.25*0.46*2.5,0)</f>
        <v>35</v>
      </c>
      <c r="CJ19" s="688">
        <v>2.6</v>
      </c>
      <c r="CK19" s="580">
        <f>ROUND(30.25*0.46*2.6,0)</f>
        <v>36</v>
      </c>
      <c r="CL19" s="688">
        <v>2.5</v>
      </c>
      <c r="CM19" s="580">
        <f>ROUND(30.25*0.46*2.5,0)</f>
        <v>35</v>
      </c>
      <c r="CN19" s="688">
        <v>2.4</v>
      </c>
      <c r="CO19" s="580">
        <f>ROUND(30.25*0.46*2.4,0)</f>
        <v>33</v>
      </c>
      <c r="CP19" s="688">
        <v>2.1</v>
      </c>
      <c r="CQ19" s="580">
        <f>ROUND(30.25*0.46*2.1,0)</f>
        <v>29</v>
      </c>
      <c r="CR19" s="688">
        <v>1.6</v>
      </c>
      <c r="CS19" s="580">
        <f>ROUND(30.25*0.46*1.6,0)</f>
        <v>22</v>
      </c>
      <c r="CT19" s="688">
        <v>1.1000000000000001</v>
      </c>
      <c r="CU19" s="580">
        <f>ROUND(30.25*0.46*1.1,0)</f>
        <v>15</v>
      </c>
      <c r="CV19" s="688">
        <v>0.7</v>
      </c>
      <c r="CW19" s="580">
        <f>ROUND(30.25*0.46*0.7,0)</f>
        <v>10</v>
      </c>
      <c r="CX19" s="688">
        <v>0.5</v>
      </c>
      <c r="CY19" s="580">
        <f>ROUND(30.25*0.46*0.5,0)</f>
        <v>7</v>
      </c>
      <c r="CZ19" s="688">
        <v>0.3</v>
      </c>
      <c r="DA19" s="580">
        <f>ROUND(30.25*0.46*0.3,0)</f>
        <v>4</v>
      </c>
      <c r="DB19" s="688">
        <v>0.1</v>
      </c>
      <c r="DC19" s="580">
        <f>ROUND(30.25*0.46*0.1,0)</f>
        <v>1</v>
      </c>
      <c r="DD19" s="688">
        <v>0</v>
      </c>
      <c r="DE19" s="582">
        <f>ROUND(30.25*0.46*0,0)</f>
        <v>0</v>
      </c>
      <c r="DF19" s="555"/>
      <c r="DG19" s="545"/>
      <c r="DH19" s="693" t="s">
        <v>240</v>
      </c>
      <c r="DI19" s="684"/>
      <c r="DJ19" s="576">
        <v>30.25</v>
      </c>
      <c r="DK19" s="685">
        <v>0.46</v>
      </c>
      <c r="DL19" s="686"/>
      <c r="DM19" s="687">
        <v>0</v>
      </c>
      <c r="DN19" s="580">
        <f>ROUND(30.25*0.46*0,0)</f>
        <v>0</v>
      </c>
      <c r="DO19" s="688">
        <v>0</v>
      </c>
      <c r="DP19" s="580">
        <f>ROUND(30.25*0.46*0,0)</f>
        <v>0</v>
      </c>
      <c r="DQ19" s="688">
        <v>0</v>
      </c>
      <c r="DR19" s="580">
        <f>ROUND(30.25*0.46*0,0)</f>
        <v>0</v>
      </c>
      <c r="DS19" s="688">
        <v>0</v>
      </c>
      <c r="DT19" s="580">
        <f>ROUND(30.25*0.46*0,0)</f>
        <v>0</v>
      </c>
      <c r="DU19" s="688">
        <v>0</v>
      </c>
      <c r="DV19" s="580">
        <f>ROUND(30.25*0.46*0,0)</f>
        <v>0</v>
      </c>
      <c r="DW19" s="688">
        <v>0</v>
      </c>
      <c r="DX19" s="580">
        <f>ROUND(30.25*0.46*0,0)</f>
        <v>0</v>
      </c>
      <c r="DY19" s="688">
        <v>0</v>
      </c>
      <c r="DZ19" s="580">
        <f>ROUND(30.25*0.46*0,0)</f>
        <v>0</v>
      </c>
      <c r="EA19" s="688">
        <v>0</v>
      </c>
      <c r="EB19" s="580">
        <f>ROUND(30.25*0.46*0,0)</f>
        <v>0</v>
      </c>
      <c r="EC19" s="688">
        <v>0</v>
      </c>
      <c r="ED19" s="580">
        <f>ROUND(30.25*0.46*0,0)</f>
        <v>0</v>
      </c>
      <c r="EE19" s="688">
        <v>0.2</v>
      </c>
      <c r="EF19" s="580">
        <f>ROUND(30.25*0.46*0.2,0)</f>
        <v>3</v>
      </c>
      <c r="EG19" s="688">
        <v>0.5</v>
      </c>
      <c r="EH19" s="580">
        <f>ROUND(30.25*0.46*0.5,0)</f>
        <v>7</v>
      </c>
      <c r="EI19" s="688">
        <v>0.8</v>
      </c>
      <c r="EJ19" s="580">
        <f>ROUND(30.25*0.46*0.8,0)</f>
        <v>11</v>
      </c>
      <c r="EK19" s="688">
        <v>0.9</v>
      </c>
      <c r="EL19" s="580">
        <f>ROUND(30.25*0.46*0.9,0)</f>
        <v>13</v>
      </c>
      <c r="EM19" s="688">
        <v>0.9</v>
      </c>
      <c r="EN19" s="580">
        <f>ROUND(30.25*0.46*0.9,0)</f>
        <v>13</v>
      </c>
      <c r="EO19" s="688">
        <v>0.8</v>
      </c>
      <c r="EP19" s="580">
        <f>ROUND(30.25*0.46*0.8,0)</f>
        <v>11</v>
      </c>
      <c r="EQ19" s="688">
        <v>0.5</v>
      </c>
      <c r="ER19" s="580">
        <f>ROUND(30.25*0.46*0.5,0)</f>
        <v>7</v>
      </c>
      <c r="ES19" s="688">
        <v>0.1</v>
      </c>
      <c r="ET19" s="580">
        <f>ROUND(30.25*0.46*0.1,0)</f>
        <v>1</v>
      </c>
      <c r="EU19" s="688">
        <v>0</v>
      </c>
      <c r="EV19" s="580">
        <f>ROUND(30.25*0.46*0,0)</f>
        <v>0</v>
      </c>
      <c r="EW19" s="688">
        <v>0</v>
      </c>
      <c r="EX19" s="580">
        <f>ROUND(30.25*0.46*0,0)</f>
        <v>0</v>
      </c>
      <c r="EY19" s="688">
        <v>0</v>
      </c>
      <c r="EZ19" s="580">
        <f>ROUND(30.25*0.46*0,0)</f>
        <v>0</v>
      </c>
      <c r="FA19" s="688">
        <v>0</v>
      </c>
      <c r="FB19" s="580">
        <f>ROUND(30.25*0.46*0,0)</f>
        <v>0</v>
      </c>
      <c r="FC19" s="688">
        <v>0</v>
      </c>
      <c r="FD19" s="580">
        <f>ROUND(30.25*0.46*0,0)</f>
        <v>0</v>
      </c>
      <c r="FE19" s="688">
        <v>0</v>
      </c>
      <c r="FF19" s="580">
        <f>ROUND(30.25*0.46*0,0)</f>
        <v>0</v>
      </c>
      <c r="FG19" s="688">
        <v>0</v>
      </c>
      <c r="FH19" s="582">
        <f>ROUND(30.25*0.46*0,0)</f>
        <v>0</v>
      </c>
      <c r="FI19" s="556"/>
      <c r="FJ19" s="557"/>
      <c r="FK19" s="693" t="s">
        <v>240</v>
      </c>
      <c r="FL19" s="684"/>
      <c r="FM19" s="576">
        <v>30.25</v>
      </c>
      <c r="FN19" s="685">
        <v>0.46</v>
      </c>
      <c r="FO19" s="686"/>
      <c r="FP19" s="689">
        <v>6</v>
      </c>
      <c r="FQ19" s="690">
        <v>9.3000000000000007</v>
      </c>
      <c r="FR19" s="580">
        <f>ROUND(30.25*0.46*9.3,0)</f>
        <v>129</v>
      </c>
      <c r="FS19" s="691">
        <v>4</v>
      </c>
      <c r="FT19" s="690">
        <v>8.9</v>
      </c>
      <c r="FU19" s="585">
        <f>ROUND(30.25*0.46*8.9,0)</f>
        <v>124</v>
      </c>
      <c r="FV19" s="586"/>
      <c r="FW19" s="587"/>
      <c r="FX19" s="588"/>
      <c r="FY19" s="589"/>
      <c r="FZ19" s="590"/>
      <c r="GA19" s="591"/>
      <c r="GB19" s="592"/>
      <c r="GC19" s="593"/>
      <c r="GD19" s="592"/>
      <c r="GE19" s="594"/>
      <c r="GF19" s="681"/>
      <c r="GG19" s="595"/>
      <c r="GH19" s="595"/>
      <c r="GI19" s="595"/>
      <c r="GJ19" s="406"/>
      <c r="GK19" s="621"/>
      <c r="GL19" s="622"/>
      <c r="GM19" s="623"/>
      <c r="GN19" s="624"/>
      <c r="GO19" s="625"/>
      <c r="GP19" s="649"/>
      <c r="GQ19" s="626">
        <v>0</v>
      </c>
      <c r="GR19" s="627">
        <v>0</v>
      </c>
      <c r="GS19" s="406"/>
      <c r="GT19" s="650"/>
      <c r="GU19" s="621"/>
      <c r="GV19" s="622"/>
      <c r="GW19" s="628"/>
      <c r="GX19" s="629"/>
      <c r="GY19" s="630"/>
      <c r="GZ19" s="631"/>
      <c r="HA19" s="632">
        <v>0</v>
      </c>
      <c r="HB19" s="633"/>
      <c r="HC19" s="522"/>
      <c r="HD19" s="555"/>
      <c r="HE19" s="412"/>
      <c r="HF19" s="412"/>
      <c r="HG19" s="412"/>
    </row>
    <row r="20" spans="1:218" ht="20.100000000000001" customHeight="1">
      <c r="A20" s="545"/>
      <c r="B20" s="693" t="s">
        <v>244</v>
      </c>
      <c r="C20" s="684"/>
      <c r="D20" s="576">
        <v>153.66999999999999</v>
      </c>
      <c r="E20" s="685">
        <v>2</v>
      </c>
      <c r="F20" s="686"/>
      <c r="G20" s="687">
        <v>0</v>
      </c>
      <c r="H20" s="580">
        <f>ROUND(153.67*2*0,0)</f>
        <v>0</v>
      </c>
      <c r="I20" s="688">
        <v>0</v>
      </c>
      <c r="J20" s="580">
        <f>ROUND(153.67*2*0,0)</f>
        <v>0</v>
      </c>
      <c r="K20" s="688">
        <v>0</v>
      </c>
      <c r="L20" s="580">
        <f>ROUND(153.67*2*0,0)</f>
        <v>0</v>
      </c>
      <c r="M20" s="688">
        <v>0</v>
      </c>
      <c r="N20" s="580">
        <f>ROUND(153.67*2*0,0)</f>
        <v>0</v>
      </c>
      <c r="O20" s="688">
        <v>0</v>
      </c>
      <c r="P20" s="580">
        <f>ROUND(153.67*2*0,0)</f>
        <v>0</v>
      </c>
      <c r="Q20" s="688">
        <v>0</v>
      </c>
      <c r="R20" s="580">
        <f>ROUND(153.67*2*0,0)</f>
        <v>0</v>
      </c>
      <c r="S20" s="688">
        <v>0.2</v>
      </c>
      <c r="T20" s="580">
        <f>ROUND(153.67*2*0.2,0)</f>
        <v>61</v>
      </c>
      <c r="U20" s="688">
        <v>0.6</v>
      </c>
      <c r="V20" s="580">
        <f>ROUND(153.67*2*0.6,0)</f>
        <v>184</v>
      </c>
      <c r="W20" s="688">
        <v>1.1000000000000001</v>
      </c>
      <c r="X20" s="580">
        <f>ROUND(153.67*2*1.1,0)</f>
        <v>338</v>
      </c>
      <c r="Y20" s="688">
        <v>1.5</v>
      </c>
      <c r="Z20" s="580">
        <f>ROUND(153.67*2*1.5,0)</f>
        <v>461</v>
      </c>
      <c r="AA20" s="688">
        <v>1.8</v>
      </c>
      <c r="AB20" s="580">
        <f>ROUND(153.67*2*1.8,0)</f>
        <v>553</v>
      </c>
      <c r="AC20" s="688">
        <v>2</v>
      </c>
      <c r="AD20" s="580">
        <f>ROUND(153.67*2*2,0)</f>
        <v>615</v>
      </c>
      <c r="AE20" s="688">
        <v>2.2999999999999998</v>
      </c>
      <c r="AF20" s="580">
        <f>ROUND(153.67*2*2.3,0)</f>
        <v>707</v>
      </c>
      <c r="AG20" s="688">
        <v>2.2999999999999998</v>
      </c>
      <c r="AH20" s="580">
        <f>ROUND(153.67*2*2.3,0)</f>
        <v>707</v>
      </c>
      <c r="AI20" s="688">
        <v>2.2999999999999998</v>
      </c>
      <c r="AJ20" s="580">
        <f>ROUND(153.67*2*2.3,0)</f>
        <v>707</v>
      </c>
      <c r="AK20" s="688">
        <v>2.1</v>
      </c>
      <c r="AL20" s="580">
        <f>ROUND(153.67*2*2.1,0)</f>
        <v>645</v>
      </c>
      <c r="AM20" s="688">
        <v>1.7</v>
      </c>
      <c r="AN20" s="580">
        <f>ROUND(153.67*2*1.7,0)</f>
        <v>522</v>
      </c>
      <c r="AO20" s="688">
        <v>1.4</v>
      </c>
      <c r="AP20" s="580">
        <f>ROUND(153.67*2*1.4,0)</f>
        <v>430</v>
      </c>
      <c r="AQ20" s="688">
        <v>1</v>
      </c>
      <c r="AR20" s="580">
        <f>ROUND(153.67*2*1,0)</f>
        <v>307</v>
      </c>
      <c r="AS20" s="688">
        <v>0.8</v>
      </c>
      <c r="AT20" s="580">
        <f>ROUND(153.67*2*0.8,0)</f>
        <v>246</v>
      </c>
      <c r="AU20" s="688">
        <v>0.6</v>
      </c>
      <c r="AV20" s="580">
        <f>ROUND(153.67*2*0.6,0)</f>
        <v>184</v>
      </c>
      <c r="AW20" s="688">
        <v>0.4</v>
      </c>
      <c r="AX20" s="580">
        <f>ROUND(153.67*2*0.4,0)</f>
        <v>123</v>
      </c>
      <c r="AY20" s="688">
        <v>0.2</v>
      </c>
      <c r="AZ20" s="580">
        <f>ROUND(153.67*2*0.2,0)</f>
        <v>61</v>
      </c>
      <c r="BA20" s="688">
        <v>0.1</v>
      </c>
      <c r="BB20" s="582">
        <f>ROUND(153.67*2*0.1,0)</f>
        <v>31</v>
      </c>
      <c r="BC20" s="555"/>
      <c r="BD20" s="545"/>
      <c r="BE20" s="693" t="s">
        <v>244</v>
      </c>
      <c r="BF20" s="684"/>
      <c r="BG20" s="576">
        <v>153.66999999999999</v>
      </c>
      <c r="BH20" s="685">
        <v>2</v>
      </c>
      <c r="BI20" s="686"/>
      <c r="BJ20" s="687">
        <v>0</v>
      </c>
      <c r="BK20" s="580">
        <f>ROUND(153.67*2*0,0)</f>
        <v>0</v>
      </c>
      <c r="BL20" s="688">
        <v>0</v>
      </c>
      <c r="BM20" s="580">
        <f>ROUND(153.67*2*0,0)</f>
        <v>0</v>
      </c>
      <c r="BN20" s="688">
        <v>0</v>
      </c>
      <c r="BO20" s="580">
        <f>ROUND(153.67*2*0,0)</f>
        <v>0</v>
      </c>
      <c r="BP20" s="688">
        <v>0</v>
      </c>
      <c r="BQ20" s="580">
        <f>ROUND(153.67*2*0,0)</f>
        <v>0</v>
      </c>
      <c r="BR20" s="688">
        <v>0</v>
      </c>
      <c r="BS20" s="580">
        <f>ROUND(153.67*2*0,0)</f>
        <v>0</v>
      </c>
      <c r="BT20" s="688">
        <v>0</v>
      </c>
      <c r="BU20" s="580">
        <f>ROUND(153.67*2*0,0)</f>
        <v>0</v>
      </c>
      <c r="BV20" s="688">
        <v>0.3</v>
      </c>
      <c r="BW20" s="580">
        <f>ROUND(153.67*2*0.3,0)</f>
        <v>92</v>
      </c>
      <c r="BX20" s="688">
        <v>0.8</v>
      </c>
      <c r="BY20" s="580">
        <f>ROUND(153.67*2*0.8,0)</f>
        <v>246</v>
      </c>
      <c r="BZ20" s="688">
        <v>1.4</v>
      </c>
      <c r="CA20" s="580">
        <f>ROUND(153.67*2*1.4,0)</f>
        <v>430</v>
      </c>
      <c r="CB20" s="688">
        <v>1.8</v>
      </c>
      <c r="CC20" s="580">
        <f>ROUND(153.67*2*1.8,0)</f>
        <v>553</v>
      </c>
      <c r="CD20" s="688">
        <v>2.1</v>
      </c>
      <c r="CE20" s="580">
        <f>ROUND(153.67*2*2.1,0)</f>
        <v>645</v>
      </c>
      <c r="CF20" s="688">
        <v>2.2999999999999998</v>
      </c>
      <c r="CG20" s="580">
        <f>ROUND(153.67*2*2.3,0)</f>
        <v>707</v>
      </c>
      <c r="CH20" s="688">
        <v>2.5</v>
      </c>
      <c r="CI20" s="580">
        <f>ROUND(153.67*2*2.5,0)</f>
        <v>768</v>
      </c>
      <c r="CJ20" s="688">
        <v>2.6</v>
      </c>
      <c r="CK20" s="580">
        <f>ROUND(153.67*2*2.6,0)</f>
        <v>799</v>
      </c>
      <c r="CL20" s="688">
        <v>2.5</v>
      </c>
      <c r="CM20" s="580">
        <f>ROUND(153.67*2*2.5,0)</f>
        <v>768</v>
      </c>
      <c r="CN20" s="688">
        <v>2.4</v>
      </c>
      <c r="CO20" s="580">
        <f>ROUND(153.67*2*2.4,0)</f>
        <v>738</v>
      </c>
      <c r="CP20" s="688">
        <v>2.1</v>
      </c>
      <c r="CQ20" s="580">
        <f>ROUND(153.67*2*2.1,0)</f>
        <v>645</v>
      </c>
      <c r="CR20" s="688">
        <v>1.6</v>
      </c>
      <c r="CS20" s="580">
        <f>ROUND(153.67*2*1.6,0)</f>
        <v>492</v>
      </c>
      <c r="CT20" s="688">
        <v>1.1000000000000001</v>
      </c>
      <c r="CU20" s="580">
        <f>ROUND(153.67*2*1.1,0)</f>
        <v>338</v>
      </c>
      <c r="CV20" s="688">
        <v>0.7</v>
      </c>
      <c r="CW20" s="580">
        <f>ROUND(153.67*2*0.7,0)</f>
        <v>215</v>
      </c>
      <c r="CX20" s="688">
        <v>0.5</v>
      </c>
      <c r="CY20" s="580">
        <f>ROUND(153.67*2*0.5,0)</f>
        <v>154</v>
      </c>
      <c r="CZ20" s="688">
        <v>0.3</v>
      </c>
      <c r="DA20" s="580">
        <f>ROUND(153.67*2*0.3,0)</f>
        <v>92</v>
      </c>
      <c r="DB20" s="688">
        <v>0.1</v>
      </c>
      <c r="DC20" s="580">
        <f>ROUND(153.67*2*0.1,0)</f>
        <v>31</v>
      </c>
      <c r="DD20" s="688">
        <v>0</v>
      </c>
      <c r="DE20" s="582">
        <f>ROUND(153.67*2*0,0)</f>
        <v>0</v>
      </c>
      <c r="DF20" s="555"/>
      <c r="DG20" s="545"/>
      <c r="DH20" s="693" t="s">
        <v>244</v>
      </c>
      <c r="DI20" s="684"/>
      <c r="DJ20" s="576">
        <v>153.66999999999999</v>
      </c>
      <c r="DK20" s="685">
        <v>2</v>
      </c>
      <c r="DL20" s="686"/>
      <c r="DM20" s="687">
        <v>0</v>
      </c>
      <c r="DN20" s="580">
        <f>ROUND(153.67*2*0,0)</f>
        <v>0</v>
      </c>
      <c r="DO20" s="688">
        <v>0</v>
      </c>
      <c r="DP20" s="580">
        <f>ROUND(153.67*2*0,0)</f>
        <v>0</v>
      </c>
      <c r="DQ20" s="688">
        <v>0</v>
      </c>
      <c r="DR20" s="580">
        <f>ROUND(153.67*2*0,0)</f>
        <v>0</v>
      </c>
      <c r="DS20" s="688">
        <v>0</v>
      </c>
      <c r="DT20" s="580">
        <f>ROUND(153.67*2*0,0)</f>
        <v>0</v>
      </c>
      <c r="DU20" s="688">
        <v>0</v>
      </c>
      <c r="DV20" s="580">
        <f>ROUND(153.67*2*0,0)</f>
        <v>0</v>
      </c>
      <c r="DW20" s="688">
        <v>0</v>
      </c>
      <c r="DX20" s="580">
        <f>ROUND(153.67*2*0,0)</f>
        <v>0</v>
      </c>
      <c r="DY20" s="688">
        <v>0</v>
      </c>
      <c r="DZ20" s="580">
        <f>ROUND(153.67*2*0,0)</f>
        <v>0</v>
      </c>
      <c r="EA20" s="688">
        <v>0</v>
      </c>
      <c r="EB20" s="580">
        <f>ROUND(153.67*2*0,0)</f>
        <v>0</v>
      </c>
      <c r="EC20" s="688">
        <v>0</v>
      </c>
      <c r="ED20" s="580">
        <f>ROUND(153.67*2*0,0)</f>
        <v>0</v>
      </c>
      <c r="EE20" s="688">
        <v>0.2</v>
      </c>
      <c r="EF20" s="580">
        <f>ROUND(153.67*2*0.2,0)</f>
        <v>61</v>
      </c>
      <c r="EG20" s="688">
        <v>0.5</v>
      </c>
      <c r="EH20" s="580">
        <f>ROUND(153.67*2*0.5,0)</f>
        <v>154</v>
      </c>
      <c r="EI20" s="688">
        <v>0.8</v>
      </c>
      <c r="EJ20" s="580">
        <f>ROUND(153.67*2*0.8,0)</f>
        <v>246</v>
      </c>
      <c r="EK20" s="688">
        <v>0.9</v>
      </c>
      <c r="EL20" s="580">
        <f>ROUND(153.67*2*0.9,0)</f>
        <v>277</v>
      </c>
      <c r="EM20" s="688">
        <v>0.9</v>
      </c>
      <c r="EN20" s="580">
        <f>ROUND(153.67*2*0.9,0)</f>
        <v>277</v>
      </c>
      <c r="EO20" s="688">
        <v>0.8</v>
      </c>
      <c r="EP20" s="580">
        <f>ROUND(153.67*2*0.8,0)</f>
        <v>246</v>
      </c>
      <c r="EQ20" s="688">
        <v>0.5</v>
      </c>
      <c r="ER20" s="580">
        <f>ROUND(153.67*2*0.5,0)</f>
        <v>154</v>
      </c>
      <c r="ES20" s="688">
        <v>0.1</v>
      </c>
      <c r="ET20" s="580">
        <f>ROUND(153.67*2*0.1,0)</f>
        <v>31</v>
      </c>
      <c r="EU20" s="688">
        <v>0</v>
      </c>
      <c r="EV20" s="580">
        <f>ROUND(153.67*2*0,0)</f>
        <v>0</v>
      </c>
      <c r="EW20" s="688">
        <v>0</v>
      </c>
      <c r="EX20" s="580">
        <f>ROUND(153.67*2*0,0)</f>
        <v>0</v>
      </c>
      <c r="EY20" s="688">
        <v>0</v>
      </c>
      <c r="EZ20" s="580">
        <f>ROUND(153.67*2*0,0)</f>
        <v>0</v>
      </c>
      <c r="FA20" s="688">
        <v>0</v>
      </c>
      <c r="FB20" s="580">
        <f>ROUND(153.67*2*0,0)</f>
        <v>0</v>
      </c>
      <c r="FC20" s="688">
        <v>0</v>
      </c>
      <c r="FD20" s="580">
        <f>ROUND(153.67*2*0,0)</f>
        <v>0</v>
      </c>
      <c r="FE20" s="688">
        <v>0</v>
      </c>
      <c r="FF20" s="580">
        <f>ROUND(153.67*2*0,0)</f>
        <v>0</v>
      </c>
      <c r="FG20" s="688">
        <v>0</v>
      </c>
      <c r="FH20" s="582">
        <f>ROUND(153.67*2*0,0)</f>
        <v>0</v>
      </c>
      <c r="FI20" s="556"/>
      <c r="FJ20" s="557"/>
      <c r="FK20" s="693" t="s">
        <v>244</v>
      </c>
      <c r="FL20" s="684"/>
      <c r="FM20" s="576">
        <v>153.66999999999999</v>
      </c>
      <c r="FN20" s="685">
        <v>2</v>
      </c>
      <c r="FO20" s="686"/>
      <c r="FP20" s="689">
        <v>6</v>
      </c>
      <c r="FQ20" s="690">
        <v>9.3000000000000007</v>
      </c>
      <c r="FR20" s="580">
        <f>ROUND(153.67*2*9.3,0)</f>
        <v>2858</v>
      </c>
      <c r="FS20" s="691">
        <v>4</v>
      </c>
      <c r="FT20" s="690">
        <v>8.9</v>
      </c>
      <c r="FU20" s="585">
        <f>ROUND(153.67*2*8.9,0)</f>
        <v>2735</v>
      </c>
      <c r="FV20" s="586"/>
      <c r="FW20" s="587"/>
      <c r="FX20" s="588"/>
      <c r="FY20" s="589"/>
      <c r="FZ20" s="590"/>
      <c r="GA20" s="591"/>
      <c r="GB20" s="592"/>
      <c r="GC20" s="593"/>
      <c r="GD20" s="592"/>
      <c r="GE20" s="594"/>
      <c r="GF20" s="681"/>
      <c r="GG20" s="595"/>
      <c r="GH20" s="595"/>
      <c r="GI20" s="595"/>
      <c r="GJ20" s="406"/>
      <c r="GK20" s="621"/>
      <c r="GL20" s="622"/>
      <c r="GM20" s="623"/>
      <c r="GN20" s="624"/>
      <c r="GO20" s="625"/>
      <c r="GP20" s="649"/>
      <c r="GQ20" s="626">
        <v>0</v>
      </c>
      <c r="GR20" s="627">
        <v>0</v>
      </c>
      <c r="GS20" s="410"/>
      <c r="GT20" s="650"/>
      <c r="GU20" s="621"/>
      <c r="GV20" s="622"/>
      <c r="GW20" s="628"/>
      <c r="GX20" s="629"/>
      <c r="GY20" s="630"/>
      <c r="GZ20" s="631"/>
      <c r="HA20" s="632">
        <v>0</v>
      </c>
      <c r="HB20" s="633"/>
      <c r="HC20" s="406"/>
      <c r="HD20" s="555"/>
      <c r="HE20" s="412"/>
      <c r="HF20" s="412"/>
      <c r="HG20" s="412"/>
    </row>
    <row r="21" spans="1:218" ht="20.100000000000001" customHeight="1">
      <c r="A21" s="545"/>
      <c r="B21" s="693"/>
      <c r="C21" s="684"/>
      <c r="D21" s="576"/>
      <c r="E21" s="685"/>
      <c r="F21" s="686"/>
      <c r="G21" s="687"/>
      <c r="H21" s="580"/>
      <c r="I21" s="688"/>
      <c r="J21" s="580"/>
      <c r="K21" s="688"/>
      <c r="L21" s="580"/>
      <c r="M21" s="688"/>
      <c r="N21" s="580"/>
      <c r="O21" s="688"/>
      <c r="P21" s="580"/>
      <c r="Q21" s="688"/>
      <c r="R21" s="580"/>
      <c r="S21" s="688"/>
      <c r="T21" s="580"/>
      <c r="U21" s="688"/>
      <c r="V21" s="580"/>
      <c r="W21" s="688"/>
      <c r="X21" s="580"/>
      <c r="Y21" s="688"/>
      <c r="Z21" s="580"/>
      <c r="AA21" s="688"/>
      <c r="AB21" s="580"/>
      <c r="AC21" s="688"/>
      <c r="AD21" s="580"/>
      <c r="AE21" s="688"/>
      <c r="AF21" s="580"/>
      <c r="AG21" s="688"/>
      <c r="AH21" s="580"/>
      <c r="AI21" s="688"/>
      <c r="AJ21" s="580"/>
      <c r="AK21" s="688"/>
      <c r="AL21" s="580"/>
      <c r="AM21" s="688"/>
      <c r="AN21" s="580"/>
      <c r="AO21" s="688"/>
      <c r="AP21" s="580"/>
      <c r="AQ21" s="688"/>
      <c r="AR21" s="580"/>
      <c r="AS21" s="688"/>
      <c r="AT21" s="580"/>
      <c r="AU21" s="688"/>
      <c r="AV21" s="580"/>
      <c r="AW21" s="688"/>
      <c r="AX21" s="580"/>
      <c r="AY21" s="688"/>
      <c r="AZ21" s="580"/>
      <c r="BA21" s="688"/>
      <c r="BB21" s="582"/>
      <c r="BC21" s="555"/>
      <c r="BD21" s="545"/>
      <c r="BE21" s="693"/>
      <c r="BF21" s="684"/>
      <c r="BG21" s="576"/>
      <c r="BH21" s="685"/>
      <c r="BI21" s="686"/>
      <c r="BJ21" s="687"/>
      <c r="BK21" s="580"/>
      <c r="BL21" s="688"/>
      <c r="BM21" s="580"/>
      <c r="BN21" s="688"/>
      <c r="BO21" s="580"/>
      <c r="BP21" s="688"/>
      <c r="BQ21" s="580"/>
      <c r="BR21" s="688"/>
      <c r="BS21" s="580"/>
      <c r="BT21" s="688"/>
      <c r="BU21" s="580"/>
      <c r="BV21" s="688"/>
      <c r="BW21" s="580"/>
      <c r="BX21" s="688"/>
      <c r="BY21" s="580"/>
      <c r="BZ21" s="688"/>
      <c r="CA21" s="580"/>
      <c r="CB21" s="688"/>
      <c r="CC21" s="580"/>
      <c r="CD21" s="688"/>
      <c r="CE21" s="580"/>
      <c r="CF21" s="688"/>
      <c r="CG21" s="580"/>
      <c r="CH21" s="688"/>
      <c r="CI21" s="580"/>
      <c r="CJ21" s="688"/>
      <c r="CK21" s="580"/>
      <c r="CL21" s="688"/>
      <c r="CM21" s="580"/>
      <c r="CN21" s="688"/>
      <c r="CO21" s="580"/>
      <c r="CP21" s="688"/>
      <c r="CQ21" s="580"/>
      <c r="CR21" s="688"/>
      <c r="CS21" s="580"/>
      <c r="CT21" s="688"/>
      <c r="CU21" s="580"/>
      <c r="CV21" s="688"/>
      <c r="CW21" s="580"/>
      <c r="CX21" s="688"/>
      <c r="CY21" s="580"/>
      <c r="CZ21" s="688"/>
      <c r="DA21" s="580"/>
      <c r="DB21" s="688"/>
      <c r="DC21" s="580"/>
      <c r="DD21" s="688"/>
      <c r="DE21" s="582"/>
      <c r="DF21" s="555"/>
      <c r="DG21" s="545"/>
      <c r="DH21" s="693"/>
      <c r="DI21" s="684"/>
      <c r="DJ21" s="576"/>
      <c r="DK21" s="685"/>
      <c r="DL21" s="686"/>
      <c r="DM21" s="687"/>
      <c r="DN21" s="580"/>
      <c r="DO21" s="688"/>
      <c r="DP21" s="580"/>
      <c r="DQ21" s="688"/>
      <c r="DR21" s="580"/>
      <c r="DS21" s="688"/>
      <c r="DT21" s="580"/>
      <c r="DU21" s="688"/>
      <c r="DV21" s="580"/>
      <c r="DW21" s="688"/>
      <c r="DX21" s="580"/>
      <c r="DY21" s="688"/>
      <c r="DZ21" s="580"/>
      <c r="EA21" s="688"/>
      <c r="EB21" s="580"/>
      <c r="EC21" s="688"/>
      <c r="ED21" s="580"/>
      <c r="EE21" s="688"/>
      <c r="EF21" s="580"/>
      <c r="EG21" s="688"/>
      <c r="EH21" s="580"/>
      <c r="EI21" s="688"/>
      <c r="EJ21" s="580"/>
      <c r="EK21" s="688"/>
      <c r="EL21" s="580"/>
      <c r="EM21" s="688"/>
      <c r="EN21" s="580"/>
      <c r="EO21" s="688"/>
      <c r="EP21" s="580"/>
      <c r="EQ21" s="688"/>
      <c r="ER21" s="580"/>
      <c r="ES21" s="688"/>
      <c r="ET21" s="580"/>
      <c r="EU21" s="688"/>
      <c r="EV21" s="580"/>
      <c r="EW21" s="688"/>
      <c r="EX21" s="580"/>
      <c r="EY21" s="688"/>
      <c r="EZ21" s="580"/>
      <c r="FA21" s="688"/>
      <c r="FB21" s="580"/>
      <c r="FC21" s="688"/>
      <c r="FD21" s="580"/>
      <c r="FE21" s="688"/>
      <c r="FF21" s="580"/>
      <c r="FG21" s="688"/>
      <c r="FH21" s="582"/>
      <c r="FI21" s="556"/>
      <c r="FJ21" s="557"/>
      <c r="FK21" s="693"/>
      <c r="FL21" s="684"/>
      <c r="FM21" s="576"/>
      <c r="FN21" s="685"/>
      <c r="FO21" s="686"/>
      <c r="FP21" s="689"/>
      <c r="FQ21" s="690"/>
      <c r="FR21" s="580"/>
      <c r="FS21" s="691"/>
      <c r="FT21" s="690"/>
      <c r="FU21" s="585"/>
      <c r="FV21" s="586"/>
      <c r="FW21" s="587"/>
      <c r="FX21" s="588"/>
      <c r="FY21" s="589"/>
      <c r="FZ21" s="590"/>
      <c r="GA21" s="591"/>
      <c r="GB21" s="592"/>
      <c r="GC21" s="593"/>
      <c r="GD21" s="592"/>
      <c r="GE21" s="594"/>
      <c r="GF21" s="681"/>
      <c r="GG21" s="595"/>
      <c r="GH21" s="595"/>
      <c r="GI21" s="595"/>
      <c r="GJ21" s="406"/>
      <c r="GK21" s="694" t="s">
        <v>471</v>
      </c>
      <c r="GL21" s="695"/>
      <c r="GM21" s="696"/>
      <c r="GN21" s="631">
        <v>0</v>
      </c>
      <c r="GO21" s="697"/>
      <c r="GP21" s="698"/>
      <c r="GQ21" s="626">
        <v>0</v>
      </c>
      <c r="GR21" s="627">
        <v>0</v>
      </c>
      <c r="GS21" s="571"/>
      <c r="GT21" s="670"/>
      <c r="GU21" s="694" t="s">
        <v>472</v>
      </c>
      <c r="GV21" s="695"/>
      <c r="GW21" s="696"/>
      <c r="GX21" s="699">
        <v>0</v>
      </c>
      <c r="GY21" s="700"/>
      <c r="GZ21" s="697"/>
      <c r="HA21" s="701">
        <v>0</v>
      </c>
      <c r="HB21" s="702"/>
      <c r="HC21" s="703"/>
      <c r="HD21" s="555"/>
      <c r="HE21" s="608"/>
      <c r="HF21" s="608"/>
      <c r="HG21" s="412"/>
    </row>
    <row r="22" spans="1:218" ht="20.100000000000001" customHeight="1">
      <c r="A22" s="545"/>
      <c r="B22" s="693"/>
      <c r="C22" s="684"/>
      <c r="D22" s="576"/>
      <c r="E22" s="685"/>
      <c r="F22" s="686"/>
      <c r="G22" s="687"/>
      <c r="H22" s="580"/>
      <c r="I22" s="688"/>
      <c r="J22" s="580"/>
      <c r="K22" s="688"/>
      <c r="L22" s="580"/>
      <c r="M22" s="688"/>
      <c r="N22" s="580"/>
      <c r="O22" s="688"/>
      <c r="P22" s="580"/>
      <c r="Q22" s="688"/>
      <c r="R22" s="580"/>
      <c r="S22" s="688"/>
      <c r="T22" s="580"/>
      <c r="U22" s="688"/>
      <c r="V22" s="580"/>
      <c r="W22" s="688"/>
      <c r="X22" s="580"/>
      <c r="Y22" s="688"/>
      <c r="Z22" s="580"/>
      <c r="AA22" s="688"/>
      <c r="AB22" s="580"/>
      <c r="AC22" s="688"/>
      <c r="AD22" s="580"/>
      <c r="AE22" s="688"/>
      <c r="AF22" s="580"/>
      <c r="AG22" s="688"/>
      <c r="AH22" s="580"/>
      <c r="AI22" s="688"/>
      <c r="AJ22" s="580"/>
      <c r="AK22" s="688"/>
      <c r="AL22" s="580"/>
      <c r="AM22" s="688"/>
      <c r="AN22" s="580"/>
      <c r="AO22" s="688"/>
      <c r="AP22" s="580"/>
      <c r="AQ22" s="688"/>
      <c r="AR22" s="580"/>
      <c r="AS22" s="688"/>
      <c r="AT22" s="580"/>
      <c r="AU22" s="688"/>
      <c r="AV22" s="580"/>
      <c r="AW22" s="688"/>
      <c r="AX22" s="580"/>
      <c r="AY22" s="688"/>
      <c r="AZ22" s="580"/>
      <c r="BA22" s="688"/>
      <c r="BB22" s="582"/>
      <c r="BC22" s="555"/>
      <c r="BD22" s="545"/>
      <c r="BE22" s="693"/>
      <c r="BF22" s="684"/>
      <c r="BG22" s="576"/>
      <c r="BH22" s="685"/>
      <c r="BI22" s="686"/>
      <c r="BJ22" s="687"/>
      <c r="BK22" s="580"/>
      <c r="BL22" s="688"/>
      <c r="BM22" s="580"/>
      <c r="BN22" s="688"/>
      <c r="BO22" s="580"/>
      <c r="BP22" s="688"/>
      <c r="BQ22" s="580"/>
      <c r="BR22" s="688"/>
      <c r="BS22" s="580"/>
      <c r="BT22" s="688"/>
      <c r="BU22" s="580"/>
      <c r="BV22" s="688"/>
      <c r="BW22" s="580"/>
      <c r="BX22" s="688"/>
      <c r="BY22" s="580"/>
      <c r="BZ22" s="688"/>
      <c r="CA22" s="580"/>
      <c r="CB22" s="688"/>
      <c r="CC22" s="580"/>
      <c r="CD22" s="688"/>
      <c r="CE22" s="580"/>
      <c r="CF22" s="688"/>
      <c r="CG22" s="580"/>
      <c r="CH22" s="688"/>
      <c r="CI22" s="580"/>
      <c r="CJ22" s="688"/>
      <c r="CK22" s="580"/>
      <c r="CL22" s="688"/>
      <c r="CM22" s="580"/>
      <c r="CN22" s="688"/>
      <c r="CO22" s="580"/>
      <c r="CP22" s="688"/>
      <c r="CQ22" s="580"/>
      <c r="CR22" s="688"/>
      <c r="CS22" s="580"/>
      <c r="CT22" s="688"/>
      <c r="CU22" s="580"/>
      <c r="CV22" s="688"/>
      <c r="CW22" s="580"/>
      <c r="CX22" s="688"/>
      <c r="CY22" s="580"/>
      <c r="CZ22" s="688"/>
      <c r="DA22" s="580"/>
      <c r="DB22" s="688"/>
      <c r="DC22" s="580"/>
      <c r="DD22" s="688"/>
      <c r="DE22" s="582"/>
      <c r="DF22" s="555"/>
      <c r="DG22" s="545"/>
      <c r="DH22" s="693"/>
      <c r="DI22" s="684"/>
      <c r="DJ22" s="576"/>
      <c r="DK22" s="685"/>
      <c r="DL22" s="686"/>
      <c r="DM22" s="687"/>
      <c r="DN22" s="580"/>
      <c r="DO22" s="688"/>
      <c r="DP22" s="580"/>
      <c r="DQ22" s="688"/>
      <c r="DR22" s="580"/>
      <c r="DS22" s="688"/>
      <c r="DT22" s="580"/>
      <c r="DU22" s="688"/>
      <c r="DV22" s="580"/>
      <c r="DW22" s="688"/>
      <c r="DX22" s="580"/>
      <c r="DY22" s="688"/>
      <c r="DZ22" s="580"/>
      <c r="EA22" s="688"/>
      <c r="EB22" s="580"/>
      <c r="EC22" s="688"/>
      <c r="ED22" s="580"/>
      <c r="EE22" s="688"/>
      <c r="EF22" s="580"/>
      <c r="EG22" s="688"/>
      <c r="EH22" s="580"/>
      <c r="EI22" s="688"/>
      <c r="EJ22" s="580"/>
      <c r="EK22" s="688"/>
      <c r="EL22" s="580"/>
      <c r="EM22" s="688"/>
      <c r="EN22" s="580"/>
      <c r="EO22" s="688"/>
      <c r="EP22" s="580"/>
      <c r="EQ22" s="688"/>
      <c r="ER22" s="580"/>
      <c r="ES22" s="688"/>
      <c r="ET22" s="580"/>
      <c r="EU22" s="688"/>
      <c r="EV22" s="580"/>
      <c r="EW22" s="688"/>
      <c r="EX22" s="580"/>
      <c r="EY22" s="688"/>
      <c r="EZ22" s="580"/>
      <c r="FA22" s="688"/>
      <c r="FB22" s="580"/>
      <c r="FC22" s="688"/>
      <c r="FD22" s="580"/>
      <c r="FE22" s="688"/>
      <c r="FF22" s="580"/>
      <c r="FG22" s="688"/>
      <c r="FH22" s="582"/>
      <c r="FI22" s="556"/>
      <c r="FJ22" s="557"/>
      <c r="FK22" s="693"/>
      <c r="FL22" s="684"/>
      <c r="FM22" s="576"/>
      <c r="FN22" s="685"/>
      <c r="FO22" s="686"/>
      <c r="FP22" s="689"/>
      <c r="FQ22" s="690"/>
      <c r="FR22" s="580"/>
      <c r="FS22" s="691"/>
      <c r="FT22" s="690"/>
      <c r="FU22" s="585"/>
      <c r="FV22" s="586"/>
      <c r="FW22" s="587"/>
      <c r="FX22" s="588"/>
      <c r="FY22" s="589"/>
      <c r="FZ22" s="590"/>
      <c r="GA22" s="591"/>
      <c r="GB22" s="592"/>
      <c r="GC22" s="593"/>
      <c r="GD22" s="592"/>
      <c r="GE22" s="594"/>
      <c r="GF22" s="681"/>
      <c r="GG22" s="595"/>
      <c r="GH22" s="595"/>
      <c r="GI22" s="595"/>
      <c r="GJ22" s="523"/>
      <c r="GK22" s="704" t="s">
        <v>473</v>
      </c>
      <c r="GL22" s="705"/>
      <c r="GM22" s="705"/>
      <c r="GN22" s="706"/>
      <c r="GO22" s="626">
        <v>0</v>
      </c>
      <c r="GP22" s="626">
        <v>1</v>
      </c>
      <c r="GQ22" s="707"/>
      <c r="GR22" s="708"/>
      <c r="GS22" s="571"/>
      <c r="GT22" s="670"/>
      <c r="GU22" s="704" t="s">
        <v>473</v>
      </c>
      <c r="GV22" s="705"/>
      <c r="GW22" s="705"/>
      <c r="GX22" s="705"/>
      <c r="GY22" s="706"/>
      <c r="GZ22" s="626">
        <v>0</v>
      </c>
      <c r="HA22" s="709"/>
      <c r="HB22" s="710"/>
      <c r="HC22" s="410"/>
      <c r="HD22" s="555"/>
      <c r="HE22" s="412"/>
      <c r="HF22" s="412"/>
      <c r="HG22" s="412"/>
    </row>
    <row r="23" spans="1:218" ht="20.100000000000001" customHeight="1">
      <c r="A23" s="545"/>
      <c r="B23" s="693"/>
      <c r="C23" s="684"/>
      <c r="D23" s="576"/>
      <c r="E23" s="685"/>
      <c r="F23" s="686"/>
      <c r="G23" s="687"/>
      <c r="H23" s="580"/>
      <c r="I23" s="688"/>
      <c r="J23" s="580"/>
      <c r="K23" s="688"/>
      <c r="L23" s="580"/>
      <c r="M23" s="688"/>
      <c r="N23" s="580"/>
      <c r="O23" s="688"/>
      <c r="P23" s="580"/>
      <c r="Q23" s="688"/>
      <c r="R23" s="580"/>
      <c r="S23" s="688"/>
      <c r="T23" s="580"/>
      <c r="U23" s="688"/>
      <c r="V23" s="580"/>
      <c r="W23" s="688"/>
      <c r="X23" s="580"/>
      <c r="Y23" s="688"/>
      <c r="Z23" s="580"/>
      <c r="AA23" s="688"/>
      <c r="AB23" s="580"/>
      <c r="AC23" s="688"/>
      <c r="AD23" s="580"/>
      <c r="AE23" s="688"/>
      <c r="AF23" s="580"/>
      <c r="AG23" s="688"/>
      <c r="AH23" s="580"/>
      <c r="AI23" s="688"/>
      <c r="AJ23" s="580"/>
      <c r="AK23" s="688"/>
      <c r="AL23" s="580"/>
      <c r="AM23" s="688"/>
      <c r="AN23" s="580"/>
      <c r="AO23" s="688"/>
      <c r="AP23" s="580"/>
      <c r="AQ23" s="688"/>
      <c r="AR23" s="580"/>
      <c r="AS23" s="688"/>
      <c r="AT23" s="580"/>
      <c r="AU23" s="688"/>
      <c r="AV23" s="580"/>
      <c r="AW23" s="688"/>
      <c r="AX23" s="580"/>
      <c r="AY23" s="688"/>
      <c r="AZ23" s="580"/>
      <c r="BA23" s="688"/>
      <c r="BB23" s="582"/>
      <c r="BC23" s="555"/>
      <c r="BD23" s="545"/>
      <c r="BE23" s="693"/>
      <c r="BF23" s="684"/>
      <c r="BG23" s="576"/>
      <c r="BH23" s="685"/>
      <c r="BI23" s="686"/>
      <c r="BJ23" s="687"/>
      <c r="BK23" s="580"/>
      <c r="BL23" s="688"/>
      <c r="BM23" s="580"/>
      <c r="BN23" s="688"/>
      <c r="BO23" s="580"/>
      <c r="BP23" s="688"/>
      <c r="BQ23" s="580"/>
      <c r="BR23" s="688"/>
      <c r="BS23" s="580"/>
      <c r="BT23" s="688"/>
      <c r="BU23" s="580"/>
      <c r="BV23" s="688"/>
      <c r="BW23" s="580"/>
      <c r="BX23" s="688"/>
      <c r="BY23" s="580"/>
      <c r="BZ23" s="688"/>
      <c r="CA23" s="580"/>
      <c r="CB23" s="688"/>
      <c r="CC23" s="580"/>
      <c r="CD23" s="688"/>
      <c r="CE23" s="580"/>
      <c r="CF23" s="688"/>
      <c r="CG23" s="580"/>
      <c r="CH23" s="688"/>
      <c r="CI23" s="580"/>
      <c r="CJ23" s="688"/>
      <c r="CK23" s="580"/>
      <c r="CL23" s="688"/>
      <c r="CM23" s="580"/>
      <c r="CN23" s="688"/>
      <c r="CO23" s="580"/>
      <c r="CP23" s="688"/>
      <c r="CQ23" s="580"/>
      <c r="CR23" s="688"/>
      <c r="CS23" s="580"/>
      <c r="CT23" s="688"/>
      <c r="CU23" s="580"/>
      <c r="CV23" s="688"/>
      <c r="CW23" s="580"/>
      <c r="CX23" s="688"/>
      <c r="CY23" s="580"/>
      <c r="CZ23" s="688"/>
      <c r="DA23" s="580"/>
      <c r="DB23" s="688"/>
      <c r="DC23" s="580"/>
      <c r="DD23" s="688"/>
      <c r="DE23" s="582"/>
      <c r="DF23" s="555"/>
      <c r="DG23" s="545"/>
      <c r="DH23" s="693"/>
      <c r="DI23" s="684"/>
      <c r="DJ23" s="576"/>
      <c r="DK23" s="685"/>
      <c r="DL23" s="686"/>
      <c r="DM23" s="687"/>
      <c r="DN23" s="580"/>
      <c r="DO23" s="688"/>
      <c r="DP23" s="580"/>
      <c r="DQ23" s="688"/>
      <c r="DR23" s="580"/>
      <c r="DS23" s="688"/>
      <c r="DT23" s="580"/>
      <c r="DU23" s="688"/>
      <c r="DV23" s="580"/>
      <c r="DW23" s="688"/>
      <c r="DX23" s="580"/>
      <c r="DY23" s="688"/>
      <c r="DZ23" s="580"/>
      <c r="EA23" s="688"/>
      <c r="EB23" s="580"/>
      <c r="EC23" s="688"/>
      <c r="ED23" s="580"/>
      <c r="EE23" s="688"/>
      <c r="EF23" s="580"/>
      <c r="EG23" s="688"/>
      <c r="EH23" s="580"/>
      <c r="EI23" s="688"/>
      <c r="EJ23" s="580"/>
      <c r="EK23" s="688"/>
      <c r="EL23" s="580"/>
      <c r="EM23" s="688"/>
      <c r="EN23" s="580"/>
      <c r="EO23" s="688"/>
      <c r="EP23" s="580"/>
      <c r="EQ23" s="688"/>
      <c r="ER23" s="580"/>
      <c r="ES23" s="688"/>
      <c r="ET23" s="580"/>
      <c r="EU23" s="688"/>
      <c r="EV23" s="580"/>
      <c r="EW23" s="688"/>
      <c r="EX23" s="580"/>
      <c r="EY23" s="688"/>
      <c r="EZ23" s="580"/>
      <c r="FA23" s="688"/>
      <c r="FB23" s="580"/>
      <c r="FC23" s="688"/>
      <c r="FD23" s="580"/>
      <c r="FE23" s="688"/>
      <c r="FF23" s="580"/>
      <c r="FG23" s="688"/>
      <c r="FH23" s="582"/>
      <c r="FI23" s="556"/>
      <c r="FJ23" s="557"/>
      <c r="FK23" s="693"/>
      <c r="FL23" s="684"/>
      <c r="FM23" s="576"/>
      <c r="FN23" s="685"/>
      <c r="FO23" s="686"/>
      <c r="FP23" s="689"/>
      <c r="FQ23" s="690"/>
      <c r="FR23" s="580"/>
      <c r="FS23" s="691"/>
      <c r="FT23" s="690"/>
      <c r="FU23" s="585"/>
      <c r="FV23" s="586"/>
      <c r="FW23" s="587"/>
      <c r="FX23" s="588"/>
      <c r="FY23" s="589"/>
      <c r="FZ23" s="590"/>
      <c r="GA23" s="591"/>
      <c r="GB23" s="592"/>
      <c r="GC23" s="593"/>
      <c r="GD23" s="592"/>
      <c r="GE23" s="594"/>
      <c r="GF23" s="681"/>
      <c r="GG23" s="595"/>
      <c r="GH23" s="595"/>
      <c r="GI23" s="595"/>
      <c r="GJ23" s="608"/>
      <c r="GK23" s="573" t="s">
        <v>474</v>
      </c>
      <c r="GL23" s="602"/>
      <c r="GM23" s="711"/>
      <c r="GN23" s="712">
        <v>121</v>
      </c>
      <c r="GO23" s="493" t="s">
        <v>475</v>
      </c>
      <c r="GP23" s="712"/>
      <c r="GQ23" s="602"/>
      <c r="GR23" s="608"/>
      <c r="GS23" s="571"/>
      <c r="GT23" s="670"/>
      <c r="GU23" s="602"/>
      <c r="GV23" s="523"/>
      <c r="GW23" s="602"/>
      <c r="GX23" s="602"/>
      <c r="GY23" s="713"/>
      <c r="GZ23" s="714"/>
      <c r="HA23" s="410"/>
      <c r="HB23" s="714" t="s">
        <v>476</v>
      </c>
      <c r="HC23" s="608"/>
      <c r="HD23" s="555"/>
      <c r="HE23" s="410"/>
      <c r="HF23" s="410"/>
      <c r="HG23" s="412"/>
    </row>
    <row r="24" spans="1:218" ht="20.100000000000001" customHeight="1">
      <c r="A24" s="545"/>
      <c r="B24" s="693"/>
      <c r="C24" s="684"/>
      <c r="D24" s="576"/>
      <c r="E24" s="685"/>
      <c r="F24" s="686"/>
      <c r="G24" s="687"/>
      <c r="H24" s="580"/>
      <c r="I24" s="688"/>
      <c r="J24" s="580"/>
      <c r="K24" s="688"/>
      <c r="L24" s="580"/>
      <c r="M24" s="688"/>
      <c r="N24" s="580"/>
      <c r="O24" s="688"/>
      <c r="P24" s="580"/>
      <c r="Q24" s="688"/>
      <c r="R24" s="580"/>
      <c r="S24" s="688"/>
      <c r="T24" s="580"/>
      <c r="U24" s="688"/>
      <c r="V24" s="580"/>
      <c r="W24" s="688"/>
      <c r="X24" s="580"/>
      <c r="Y24" s="688"/>
      <c r="Z24" s="580"/>
      <c r="AA24" s="688"/>
      <c r="AB24" s="580"/>
      <c r="AC24" s="688"/>
      <c r="AD24" s="580"/>
      <c r="AE24" s="688"/>
      <c r="AF24" s="580"/>
      <c r="AG24" s="688"/>
      <c r="AH24" s="580"/>
      <c r="AI24" s="688"/>
      <c r="AJ24" s="580"/>
      <c r="AK24" s="688"/>
      <c r="AL24" s="580"/>
      <c r="AM24" s="688"/>
      <c r="AN24" s="580"/>
      <c r="AO24" s="688"/>
      <c r="AP24" s="580"/>
      <c r="AQ24" s="688"/>
      <c r="AR24" s="580"/>
      <c r="AS24" s="688"/>
      <c r="AT24" s="580"/>
      <c r="AU24" s="688"/>
      <c r="AV24" s="580"/>
      <c r="AW24" s="688"/>
      <c r="AX24" s="580"/>
      <c r="AY24" s="688"/>
      <c r="AZ24" s="580"/>
      <c r="BA24" s="688"/>
      <c r="BB24" s="582"/>
      <c r="BC24" s="555"/>
      <c r="BD24" s="545"/>
      <c r="BE24" s="693"/>
      <c r="BF24" s="684"/>
      <c r="BG24" s="576"/>
      <c r="BH24" s="685"/>
      <c r="BI24" s="686"/>
      <c r="BJ24" s="687"/>
      <c r="BK24" s="580"/>
      <c r="BL24" s="688"/>
      <c r="BM24" s="580"/>
      <c r="BN24" s="688"/>
      <c r="BO24" s="580"/>
      <c r="BP24" s="688"/>
      <c r="BQ24" s="580"/>
      <c r="BR24" s="688"/>
      <c r="BS24" s="580"/>
      <c r="BT24" s="688"/>
      <c r="BU24" s="580"/>
      <c r="BV24" s="688"/>
      <c r="BW24" s="580"/>
      <c r="BX24" s="688"/>
      <c r="BY24" s="580"/>
      <c r="BZ24" s="688"/>
      <c r="CA24" s="580"/>
      <c r="CB24" s="688"/>
      <c r="CC24" s="580"/>
      <c r="CD24" s="688"/>
      <c r="CE24" s="580"/>
      <c r="CF24" s="688"/>
      <c r="CG24" s="580"/>
      <c r="CH24" s="688"/>
      <c r="CI24" s="580"/>
      <c r="CJ24" s="688"/>
      <c r="CK24" s="580"/>
      <c r="CL24" s="688"/>
      <c r="CM24" s="580"/>
      <c r="CN24" s="688"/>
      <c r="CO24" s="580"/>
      <c r="CP24" s="688"/>
      <c r="CQ24" s="580"/>
      <c r="CR24" s="688"/>
      <c r="CS24" s="580"/>
      <c r="CT24" s="688"/>
      <c r="CU24" s="580"/>
      <c r="CV24" s="688"/>
      <c r="CW24" s="580"/>
      <c r="CX24" s="688"/>
      <c r="CY24" s="580"/>
      <c r="CZ24" s="688"/>
      <c r="DA24" s="580"/>
      <c r="DB24" s="688"/>
      <c r="DC24" s="580"/>
      <c r="DD24" s="688"/>
      <c r="DE24" s="582"/>
      <c r="DF24" s="555"/>
      <c r="DG24" s="545"/>
      <c r="DH24" s="693"/>
      <c r="DI24" s="684"/>
      <c r="DJ24" s="576"/>
      <c r="DK24" s="685"/>
      <c r="DL24" s="686"/>
      <c r="DM24" s="687"/>
      <c r="DN24" s="580"/>
      <c r="DO24" s="688"/>
      <c r="DP24" s="580"/>
      <c r="DQ24" s="688"/>
      <c r="DR24" s="580"/>
      <c r="DS24" s="688"/>
      <c r="DT24" s="580"/>
      <c r="DU24" s="688"/>
      <c r="DV24" s="580"/>
      <c r="DW24" s="688"/>
      <c r="DX24" s="580"/>
      <c r="DY24" s="688"/>
      <c r="DZ24" s="580"/>
      <c r="EA24" s="688"/>
      <c r="EB24" s="580"/>
      <c r="EC24" s="688"/>
      <c r="ED24" s="580"/>
      <c r="EE24" s="688"/>
      <c r="EF24" s="580"/>
      <c r="EG24" s="688"/>
      <c r="EH24" s="580"/>
      <c r="EI24" s="688"/>
      <c r="EJ24" s="580"/>
      <c r="EK24" s="688"/>
      <c r="EL24" s="580"/>
      <c r="EM24" s="688"/>
      <c r="EN24" s="580"/>
      <c r="EO24" s="688"/>
      <c r="EP24" s="580"/>
      <c r="EQ24" s="688"/>
      <c r="ER24" s="580"/>
      <c r="ES24" s="688"/>
      <c r="ET24" s="580"/>
      <c r="EU24" s="688"/>
      <c r="EV24" s="580"/>
      <c r="EW24" s="688"/>
      <c r="EX24" s="580"/>
      <c r="EY24" s="688"/>
      <c r="EZ24" s="580"/>
      <c r="FA24" s="688"/>
      <c r="FB24" s="580"/>
      <c r="FC24" s="688"/>
      <c r="FD24" s="580"/>
      <c r="FE24" s="688"/>
      <c r="FF24" s="580"/>
      <c r="FG24" s="688"/>
      <c r="FH24" s="582"/>
      <c r="FI24" s="556"/>
      <c r="FJ24" s="557"/>
      <c r="FK24" s="693"/>
      <c r="FL24" s="684"/>
      <c r="FM24" s="576"/>
      <c r="FN24" s="685"/>
      <c r="FO24" s="686"/>
      <c r="FP24" s="689"/>
      <c r="FQ24" s="690"/>
      <c r="FR24" s="580"/>
      <c r="FS24" s="691"/>
      <c r="FT24" s="690"/>
      <c r="FU24" s="585"/>
      <c r="FV24" s="586"/>
      <c r="FW24" s="587"/>
      <c r="FX24" s="588"/>
      <c r="FY24" s="589"/>
      <c r="FZ24" s="590"/>
      <c r="GA24" s="591"/>
      <c r="GB24" s="592"/>
      <c r="GC24" s="593"/>
      <c r="GD24" s="592"/>
      <c r="GE24" s="594"/>
      <c r="GF24" s="681"/>
      <c r="GG24" s="595"/>
      <c r="GH24" s="595"/>
      <c r="GI24" s="595"/>
      <c r="GJ24" s="608"/>
      <c r="GK24" s="573" t="s">
        <v>477</v>
      </c>
      <c r="GL24" s="602"/>
      <c r="GM24" s="711"/>
      <c r="GN24" s="712">
        <v>0</v>
      </c>
      <c r="GO24" s="712"/>
      <c r="GP24" s="712"/>
      <c r="GQ24" s="602"/>
      <c r="GR24" s="608"/>
      <c r="GS24" s="602"/>
      <c r="GT24" s="670"/>
      <c r="GU24" s="573" t="s">
        <v>478</v>
      </c>
      <c r="GV24" s="602"/>
      <c r="GW24" s="602"/>
      <c r="GX24" s="410"/>
      <c r="GY24" s="715">
        <v>550</v>
      </c>
      <c r="GZ24" s="573" t="s">
        <v>479</v>
      </c>
      <c r="HA24" s="523"/>
      <c r="HB24" s="523"/>
      <c r="HC24" s="608"/>
      <c r="HD24" s="555"/>
      <c r="HE24" s="716"/>
      <c r="HF24" s="412"/>
      <c r="HG24" s="523"/>
      <c r="HH24" s="555"/>
      <c r="HI24" s="412"/>
      <c r="HJ24" s="412"/>
    </row>
    <row r="25" spans="1:218" ht="20.100000000000001" customHeight="1">
      <c r="A25" s="545"/>
      <c r="B25" s="717"/>
      <c r="C25" s="718"/>
      <c r="D25" s="611"/>
      <c r="E25" s="719"/>
      <c r="F25" s="720"/>
      <c r="G25" s="721"/>
      <c r="H25" s="615"/>
      <c r="I25" s="722"/>
      <c r="J25" s="615"/>
      <c r="K25" s="722"/>
      <c r="L25" s="615"/>
      <c r="M25" s="722"/>
      <c r="N25" s="615"/>
      <c r="O25" s="722"/>
      <c r="P25" s="615"/>
      <c r="Q25" s="722"/>
      <c r="R25" s="615"/>
      <c r="S25" s="722"/>
      <c r="T25" s="615"/>
      <c r="U25" s="722"/>
      <c r="V25" s="615"/>
      <c r="W25" s="722"/>
      <c r="X25" s="615"/>
      <c r="Y25" s="722"/>
      <c r="Z25" s="615"/>
      <c r="AA25" s="722"/>
      <c r="AB25" s="615"/>
      <c r="AC25" s="722"/>
      <c r="AD25" s="615"/>
      <c r="AE25" s="722"/>
      <c r="AF25" s="615"/>
      <c r="AG25" s="722"/>
      <c r="AH25" s="615"/>
      <c r="AI25" s="722"/>
      <c r="AJ25" s="615"/>
      <c r="AK25" s="722"/>
      <c r="AL25" s="615"/>
      <c r="AM25" s="722"/>
      <c r="AN25" s="615"/>
      <c r="AO25" s="722"/>
      <c r="AP25" s="615"/>
      <c r="AQ25" s="722"/>
      <c r="AR25" s="615"/>
      <c r="AS25" s="722"/>
      <c r="AT25" s="615"/>
      <c r="AU25" s="722"/>
      <c r="AV25" s="615"/>
      <c r="AW25" s="722"/>
      <c r="AX25" s="615"/>
      <c r="AY25" s="722"/>
      <c r="AZ25" s="615"/>
      <c r="BA25" s="722"/>
      <c r="BB25" s="617"/>
      <c r="BC25" s="555"/>
      <c r="BD25" s="545"/>
      <c r="BE25" s="717"/>
      <c r="BF25" s="718"/>
      <c r="BG25" s="611"/>
      <c r="BH25" s="719"/>
      <c r="BI25" s="720"/>
      <c r="BJ25" s="721"/>
      <c r="BK25" s="615"/>
      <c r="BL25" s="722"/>
      <c r="BM25" s="615"/>
      <c r="BN25" s="722"/>
      <c r="BO25" s="615"/>
      <c r="BP25" s="722"/>
      <c r="BQ25" s="615"/>
      <c r="BR25" s="722"/>
      <c r="BS25" s="615"/>
      <c r="BT25" s="722"/>
      <c r="BU25" s="615"/>
      <c r="BV25" s="722"/>
      <c r="BW25" s="615"/>
      <c r="BX25" s="722"/>
      <c r="BY25" s="615"/>
      <c r="BZ25" s="722"/>
      <c r="CA25" s="615"/>
      <c r="CB25" s="722"/>
      <c r="CC25" s="615"/>
      <c r="CD25" s="722"/>
      <c r="CE25" s="615"/>
      <c r="CF25" s="722"/>
      <c r="CG25" s="615"/>
      <c r="CH25" s="722"/>
      <c r="CI25" s="615"/>
      <c r="CJ25" s="722"/>
      <c r="CK25" s="615"/>
      <c r="CL25" s="722"/>
      <c r="CM25" s="615"/>
      <c r="CN25" s="722"/>
      <c r="CO25" s="615"/>
      <c r="CP25" s="722"/>
      <c r="CQ25" s="615"/>
      <c r="CR25" s="722"/>
      <c r="CS25" s="615"/>
      <c r="CT25" s="722"/>
      <c r="CU25" s="615"/>
      <c r="CV25" s="722"/>
      <c r="CW25" s="615"/>
      <c r="CX25" s="722"/>
      <c r="CY25" s="615"/>
      <c r="CZ25" s="722"/>
      <c r="DA25" s="615"/>
      <c r="DB25" s="722"/>
      <c r="DC25" s="615"/>
      <c r="DD25" s="722"/>
      <c r="DE25" s="617"/>
      <c r="DF25" s="555"/>
      <c r="DG25" s="545"/>
      <c r="DH25" s="717"/>
      <c r="DI25" s="718"/>
      <c r="DJ25" s="611"/>
      <c r="DK25" s="719"/>
      <c r="DL25" s="720"/>
      <c r="DM25" s="721"/>
      <c r="DN25" s="615"/>
      <c r="DO25" s="722"/>
      <c r="DP25" s="615"/>
      <c r="DQ25" s="722"/>
      <c r="DR25" s="615"/>
      <c r="DS25" s="722"/>
      <c r="DT25" s="615"/>
      <c r="DU25" s="722"/>
      <c r="DV25" s="615"/>
      <c r="DW25" s="722"/>
      <c r="DX25" s="615"/>
      <c r="DY25" s="722"/>
      <c r="DZ25" s="615"/>
      <c r="EA25" s="722"/>
      <c r="EB25" s="615"/>
      <c r="EC25" s="722"/>
      <c r="ED25" s="615"/>
      <c r="EE25" s="722"/>
      <c r="EF25" s="615"/>
      <c r="EG25" s="722"/>
      <c r="EH25" s="615"/>
      <c r="EI25" s="722"/>
      <c r="EJ25" s="615"/>
      <c r="EK25" s="722"/>
      <c r="EL25" s="615"/>
      <c r="EM25" s="722"/>
      <c r="EN25" s="615"/>
      <c r="EO25" s="722"/>
      <c r="EP25" s="615"/>
      <c r="EQ25" s="722"/>
      <c r="ER25" s="615"/>
      <c r="ES25" s="722"/>
      <c r="ET25" s="615"/>
      <c r="EU25" s="722"/>
      <c r="EV25" s="615"/>
      <c r="EW25" s="722"/>
      <c r="EX25" s="615"/>
      <c r="EY25" s="722"/>
      <c r="EZ25" s="615"/>
      <c r="FA25" s="722"/>
      <c r="FB25" s="615"/>
      <c r="FC25" s="722"/>
      <c r="FD25" s="615"/>
      <c r="FE25" s="722"/>
      <c r="FF25" s="615"/>
      <c r="FG25" s="722"/>
      <c r="FH25" s="617"/>
      <c r="FI25" s="556"/>
      <c r="FJ25" s="557"/>
      <c r="FK25" s="717"/>
      <c r="FL25" s="718"/>
      <c r="FM25" s="611"/>
      <c r="FN25" s="719"/>
      <c r="FO25" s="720"/>
      <c r="FP25" s="723"/>
      <c r="FQ25" s="724"/>
      <c r="FR25" s="615"/>
      <c r="FS25" s="725"/>
      <c r="FT25" s="724"/>
      <c r="FU25" s="620"/>
      <c r="FV25" s="586"/>
      <c r="FW25" s="587"/>
      <c r="FX25" s="588"/>
      <c r="FY25" s="589"/>
      <c r="FZ25" s="590"/>
      <c r="GA25" s="591"/>
      <c r="GB25" s="592"/>
      <c r="GC25" s="593"/>
      <c r="GD25" s="592"/>
      <c r="GE25" s="594"/>
      <c r="GF25" s="681"/>
      <c r="GG25" s="595"/>
      <c r="GH25" s="595"/>
      <c r="GI25" s="595"/>
      <c r="GJ25" s="493"/>
      <c r="GK25" s="494"/>
      <c r="GL25" s="494"/>
      <c r="GM25" s="494"/>
      <c r="GN25" s="494"/>
      <c r="GO25" s="494"/>
      <c r="GP25" s="494"/>
      <c r="GQ25" s="494"/>
      <c r="GR25" s="494"/>
      <c r="GS25" s="410"/>
      <c r="GT25" s="670"/>
      <c r="GU25" s="573" t="s">
        <v>480</v>
      </c>
      <c r="GV25" s="602"/>
      <c r="GW25" s="602"/>
      <c r="GX25" s="410"/>
      <c r="GY25" s="726">
        <v>1</v>
      </c>
      <c r="GZ25" s="573"/>
      <c r="HA25" s="523"/>
      <c r="HB25" s="523"/>
      <c r="HC25" s="523"/>
      <c r="HD25" s="555"/>
      <c r="HE25" s="555"/>
      <c r="HF25" s="412"/>
      <c r="HG25" s="412"/>
    </row>
    <row r="26" spans="1:218" ht="20.100000000000001" customHeight="1">
      <c r="A26" s="634"/>
      <c r="B26" s="635"/>
      <c r="C26" s="635"/>
      <c r="D26" s="635" t="s">
        <v>287</v>
      </c>
      <c r="E26" s="635"/>
      <c r="F26" s="635"/>
      <c r="G26" s="637"/>
      <c r="H26" s="638">
        <f>SUM(H16:H25)</f>
        <v>145</v>
      </c>
      <c r="I26" s="727"/>
      <c r="J26" s="638">
        <f>SUM(J16:J25)</f>
        <v>121</v>
      </c>
      <c r="K26" s="728"/>
      <c r="L26" s="638">
        <f>SUM(L16:L25)</f>
        <v>97</v>
      </c>
      <c r="M26" s="728"/>
      <c r="N26" s="638">
        <f>SUM(N16:N25)</f>
        <v>79</v>
      </c>
      <c r="O26" s="728"/>
      <c r="P26" s="638">
        <f>SUM(P16:P25)</f>
        <v>59</v>
      </c>
      <c r="Q26" s="728"/>
      <c r="R26" s="638">
        <f>SUM(R16:R25)</f>
        <v>45</v>
      </c>
      <c r="S26" s="728"/>
      <c r="T26" s="638">
        <f>SUM(T16:T25)</f>
        <v>131</v>
      </c>
      <c r="U26" s="728"/>
      <c r="V26" s="638">
        <f>SUM(V16:V25)</f>
        <v>319</v>
      </c>
      <c r="W26" s="728"/>
      <c r="X26" s="638">
        <f>SUM(X16:X25)</f>
        <v>726</v>
      </c>
      <c r="Y26" s="728"/>
      <c r="Z26" s="638">
        <f>SUM(Z16:Z25)</f>
        <v>908</v>
      </c>
      <c r="AA26" s="728"/>
      <c r="AB26" s="638">
        <f>SUM(AB16:AB25)</f>
        <v>1052</v>
      </c>
      <c r="AC26" s="728"/>
      <c r="AD26" s="638">
        <f>SUM(AD16:AD25)</f>
        <v>1163</v>
      </c>
      <c r="AE26" s="728"/>
      <c r="AF26" s="638">
        <f>SUM(AF16:AF25)</f>
        <v>1311</v>
      </c>
      <c r="AG26" s="728"/>
      <c r="AH26" s="638">
        <f>SUM(AH16:AH25)</f>
        <v>1345</v>
      </c>
      <c r="AI26" s="728"/>
      <c r="AJ26" s="638">
        <f>SUM(AJ16:AJ25)</f>
        <v>1376</v>
      </c>
      <c r="AK26" s="728"/>
      <c r="AL26" s="638">
        <f>SUM(AL16:AL25)</f>
        <v>1328</v>
      </c>
      <c r="AM26" s="728"/>
      <c r="AN26" s="638">
        <f>SUM(AN16:AN25)</f>
        <v>1191</v>
      </c>
      <c r="AO26" s="728"/>
      <c r="AP26" s="638">
        <f>SUM(AP16:AP25)</f>
        <v>1080</v>
      </c>
      <c r="AQ26" s="728"/>
      <c r="AR26" s="638">
        <f>SUM(AR16:AR25)</f>
        <v>749</v>
      </c>
      <c r="AS26" s="728"/>
      <c r="AT26" s="638">
        <f>SUM(AT16:AT25)</f>
        <v>641</v>
      </c>
      <c r="AU26" s="728"/>
      <c r="AV26" s="638">
        <f>SUM(AV16:AV25)</f>
        <v>522</v>
      </c>
      <c r="AW26" s="728"/>
      <c r="AX26" s="638">
        <f>SUM(AX16:AX25)</f>
        <v>406</v>
      </c>
      <c r="AY26" s="728"/>
      <c r="AZ26" s="638">
        <f>SUM(AZ16:AZ25)</f>
        <v>286</v>
      </c>
      <c r="BA26" s="728"/>
      <c r="BB26" s="640">
        <f>SUM(BB16:BB25)</f>
        <v>216</v>
      </c>
      <c r="BC26" s="641"/>
      <c r="BD26" s="634"/>
      <c r="BE26" s="635"/>
      <c r="BF26" s="635"/>
      <c r="BG26" s="635" t="s">
        <v>287</v>
      </c>
      <c r="BH26" s="635"/>
      <c r="BI26" s="635"/>
      <c r="BJ26" s="637"/>
      <c r="BK26" s="638">
        <f>SUM(BK16:BK25)</f>
        <v>148</v>
      </c>
      <c r="BL26" s="727"/>
      <c r="BM26" s="638">
        <f>SUM(BM16:BM25)</f>
        <v>117</v>
      </c>
      <c r="BN26" s="728"/>
      <c r="BO26" s="638">
        <f>SUM(BO16:BO25)</f>
        <v>93</v>
      </c>
      <c r="BP26" s="728"/>
      <c r="BQ26" s="638">
        <f>SUM(BQ16:BQ25)</f>
        <v>69</v>
      </c>
      <c r="BR26" s="728"/>
      <c r="BS26" s="638">
        <f>SUM(BS16:BS25)</f>
        <v>52</v>
      </c>
      <c r="BT26" s="728"/>
      <c r="BU26" s="638">
        <f>SUM(BU16:BU25)</f>
        <v>34</v>
      </c>
      <c r="BV26" s="728"/>
      <c r="BW26" s="638">
        <f>SUM(BW16:BW25)</f>
        <v>168</v>
      </c>
      <c r="BX26" s="728"/>
      <c r="BY26" s="638">
        <f>SUM(BY16:BY25)</f>
        <v>410</v>
      </c>
      <c r="BZ26" s="728"/>
      <c r="CA26" s="638">
        <f>SUM(CA16:CA25)</f>
        <v>856</v>
      </c>
      <c r="CB26" s="728"/>
      <c r="CC26" s="638">
        <f>SUM(CC16:CC25)</f>
        <v>1041</v>
      </c>
      <c r="CD26" s="728"/>
      <c r="CE26" s="638">
        <f>SUM(CE16:CE25)</f>
        <v>1190</v>
      </c>
      <c r="CF26" s="728"/>
      <c r="CG26" s="638">
        <f>SUM(CG16:CG25)</f>
        <v>1300</v>
      </c>
      <c r="CH26" s="728"/>
      <c r="CI26" s="638">
        <f>SUM(CI16:CI25)</f>
        <v>1410</v>
      </c>
      <c r="CJ26" s="728"/>
      <c r="CK26" s="638">
        <f>SUM(CK16:CK25)</f>
        <v>1482</v>
      </c>
      <c r="CL26" s="728"/>
      <c r="CM26" s="638">
        <f>SUM(CM16:CM25)</f>
        <v>1472</v>
      </c>
      <c r="CN26" s="728"/>
      <c r="CO26" s="638">
        <f>SUM(CO16:CO25)</f>
        <v>1459</v>
      </c>
      <c r="CP26" s="728"/>
      <c r="CQ26" s="638">
        <f>SUM(CQ16:CQ25)</f>
        <v>1362</v>
      </c>
      <c r="CR26" s="728"/>
      <c r="CS26" s="638">
        <f>SUM(CS16:CS25)</f>
        <v>1177</v>
      </c>
      <c r="CT26" s="728"/>
      <c r="CU26" s="638">
        <f>SUM(CU16:CU25)</f>
        <v>816</v>
      </c>
      <c r="CV26" s="728"/>
      <c r="CW26" s="638">
        <f>SUM(CW16:CW25)</f>
        <v>619</v>
      </c>
      <c r="CX26" s="728"/>
      <c r="CY26" s="638">
        <f>SUM(CY16:CY25)</f>
        <v>500</v>
      </c>
      <c r="CZ26" s="728"/>
      <c r="DA26" s="638">
        <f>SUM(DA16:DA25)</f>
        <v>378</v>
      </c>
      <c r="DB26" s="728"/>
      <c r="DC26" s="638">
        <f>SUM(DC16:DC25)</f>
        <v>254</v>
      </c>
      <c r="DD26" s="728"/>
      <c r="DE26" s="640">
        <f>SUM(DE16:DE25)</f>
        <v>179</v>
      </c>
      <c r="DF26" s="641"/>
      <c r="DG26" s="634"/>
      <c r="DH26" s="635"/>
      <c r="DI26" s="635"/>
      <c r="DJ26" s="635" t="s">
        <v>288</v>
      </c>
      <c r="DK26" s="635"/>
      <c r="DL26" s="635"/>
      <c r="DM26" s="637"/>
      <c r="DN26" s="638">
        <f>SUM(DN16:DN25)</f>
        <v>0</v>
      </c>
      <c r="DO26" s="727"/>
      <c r="DP26" s="638">
        <f>SUM(DP16:DP25)</f>
        <v>0</v>
      </c>
      <c r="DQ26" s="728"/>
      <c r="DR26" s="638">
        <f>SUM(DR16:DR25)</f>
        <v>0</v>
      </c>
      <c r="DS26" s="728"/>
      <c r="DT26" s="638">
        <f>SUM(DT16:DT25)</f>
        <v>0</v>
      </c>
      <c r="DU26" s="728"/>
      <c r="DV26" s="638">
        <f>SUM(DV16:DV25)</f>
        <v>0</v>
      </c>
      <c r="DW26" s="728"/>
      <c r="DX26" s="638">
        <f>SUM(DX16:DX25)</f>
        <v>0</v>
      </c>
      <c r="DY26" s="728"/>
      <c r="DZ26" s="638">
        <f>SUM(DZ16:DZ25)</f>
        <v>0</v>
      </c>
      <c r="EA26" s="728"/>
      <c r="EB26" s="638">
        <f>SUM(EB16:EB25)</f>
        <v>0</v>
      </c>
      <c r="EC26" s="728"/>
      <c r="ED26" s="638">
        <f>SUM(ED16:ED25)</f>
        <v>227</v>
      </c>
      <c r="EE26" s="728"/>
      <c r="EF26" s="638">
        <f>SUM(EF16:EF25)</f>
        <v>302</v>
      </c>
      <c r="EG26" s="728"/>
      <c r="EH26" s="638">
        <f>SUM(EH16:EH25)</f>
        <v>416</v>
      </c>
      <c r="EI26" s="728"/>
      <c r="EJ26" s="638">
        <f>SUM(EJ16:EJ25)</f>
        <v>530</v>
      </c>
      <c r="EK26" s="728"/>
      <c r="EL26" s="638">
        <f>SUM(EL16:EL25)</f>
        <v>582</v>
      </c>
      <c r="EM26" s="728"/>
      <c r="EN26" s="638">
        <f>SUM(EN16:EN25)</f>
        <v>620</v>
      </c>
      <c r="EO26" s="728"/>
      <c r="EP26" s="638">
        <f>SUM(EP16:EP25)</f>
        <v>613</v>
      </c>
      <c r="EQ26" s="728"/>
      <c r="ER26" s="638">
        <f>SUM(ER16:ER25)</f>
        <v>523</v>
      </c>
      <c r="ES26" s="728"/>
      <c r="ET26" s="638">
        <f>SUM(ET16:ET25)</f>
        <v>389</v>
      </c>
      <c r="EU26" s="728"/>
      <c r="EV26" s="638">
        <f>SUM(EV16:EV25)</f>
        <v>351</v>
      </c>
      <c r="EW26" s="728"/>
      <c r="EX26" s="638">
        <f>SUM(EX16:EX25)</f>
        <v>110</v>
      </c>
      <c r="EY26" s="728"/>
      <c r="EZ26" s="638">
        <f>SUM(EZ16:EZ25)</f>
        <v>83</v>
      </c>
      <c r="FA26" s="728"/>
      <c r="FB26" s="638">
        <f>SUM(FB16:FB25)</f>
        <v>52</v>
      </c>
      <c r="FC26" s="728"/>
      <c r="FD26" s="638">
        <f>SUM(FD16:FD25)</f>
        <v>21</v>
      </c>
      <c r="FE26" s="728"/>
      <c r="FF26" s="638">
        <f>SUM(FF16:FF25)</f>
        <v>0</v>
      </c>
      <c r="FG26" s="728"/>
      <c r="FH26" s="640">
        <f>SUM(FH16:FH25)</f>
        <v>0</v>
      </c>
      <c r="FI26" s="642"/>
      <c r="FJ26" s="557"/>
      <c r="FK26" s="635"/>
      <c r="FL26" s="635"/>
      <c r="FM26" s="635" t="s">
        <v>288</v>
      </c>
      <c r="FN26" s="635"/>
      <c r="FO26" s="635"/>
      <c r="FP26" s="643"/>
      <c r="FQ26" s="644"/>
      <c r="FR26" s="638">
        <f>SUM(FR16:FR25)</f>
        <v>5110</v>
      </c>
      <c r="FS26" s="729"/>
      <c r="FT26" s="644"/>
      <c r="FU26" s="646">
        <f>SUM(FU16:FU25)</f>
        <v>4899</v>
      </c>
      <c r="FV26" s="586"/>
      <c r="FW26" s="587"/>
      <c r="FX26" s="588"/>
      <c r="FY26" s="589"/>
      <c r="FZ26" s="590"/>
      <c r="GA26" s="591"/>
      <c r="GB26" s="592"/>
      <c r="GC26" s="593"/>
      <c r="GD26" s="592"/>
      <c r="GE26" s="594"/>
      <c r="GF26" s="647"/>
      <c r="GG26" s="648"/>
      <c r="GH26" s="648"/>
      <c r="GI26" s="648"/>
      <c r="GJ26" s="608"/>
      <c r="GK26" s="523" t="s">
        <v>481</v>
      </c>
      <c r="GL26" s="608"/>
      <c r="GM26" s="523"/>
      <c r="GN26" s="608"/>
      <c r="GO26" s="523"/>
      <c r="GP26" s="608"/>
      <c r="GQ26" s="608"/>
      <c r="GR26" s="608"/>
      <c r="GS26" s="572"/>
      <c r="GT26" s="670"/>
      <c r="GU26" s="573" t="s">
        <v>482</v>
      </c>
      <c r="GV26" s="602"/>
      <c r="GW26" s="602"/>
      <c r="GX26" s="410"/>
      <c r="GY26" s="726">
        <v>0</v>
      </c>
      <c r="GZ26" s="573"/>
      <c r="HA26" s="523"/>
      <c r="HB26" s="523"/>
      <c r="HC26" s="523"/>
      <c r="HD26" s="641"/>
      <c r="HE26" s="412"/>
      <c r="HF26" s="412"/>
      <c r="HG26" s="573"/>
      <c r="HH26" s="641"/>
      <c r="HI26" s="412"/>
      <c r="HJ26" s="412"/>
    </row>
    <row r="27" spans="1:218" ht="20.100000000000001" customHeight="1">
      <c r="A27" s="730" t="s">
        <v>383</v>
      </c>
      <c r="B27" s="731"/>
      <c r="C27" s="732"/>
      <c r="D27" s="656"/>
      <c r="E27" s="732"/>
      <c r="F27" s="732"/>
      <c r="G27" s="733" t="s">
        <v>384</v>
      </c>
      <c r="H27" s="656" t="s">
        <v>385</v>
      </c>
      <c r="I27" s="734" t="s">
        <v>386</v>
      </c>
      <c r="J27" s="656" t="s">
        <v>385</v>
      </c>
      <c r="K27" s="735" t="s">
        <v>387</v>
      </c>
      <c r="L27" s="656" t="s">
        <v>385</v>
      </c>
      <c r="M27" s="735" t="s">
        <v>386</v>
      </c>
      <c r="N27" s="656" t="s">
        <v>385</v>
      </c>
      <c r="O27" s="735" t="s">
        <v>386</v>
      </c>
      <c r="P27" s="656" t="s">
        <v>388</v>
      </c>
      <c r="Q27" s="735" t="s">
        <v>386</v>
      </c>
      <c r="R27" s="656" t="s">
        <v>385</v>
      </c>
      <c r="S27" s="735" t="s">
        <v>386</v>
      </c>
      <c r="T27" s="656" t="s">
        <v>385</v>
      </c>
      <c r="U27" s="735" t="s">
        <v>386</v>
      </c>
      <c r="V27" s="656" t="s">
        <v>388</v>
      </c>
      <c r="W27" s="735" t="s">
        <v>386</v>
      </c>
      <c r="X27" s="656" t="s">
        <v>385</v>
      </c>
      <c r="Y27" s="735" t="s">
        <v>387</v>
      </c>
      <c r="Z27" s="656" t="s">
        <v>385</v>
      </c>
      <c r="AA27" s="735" t="s">
        <v>386</v>
      </c>
      <c r="AB27" s="656" t="s">
        <v>385</v>
      </c>
      <c r="AC27" s="735" t="s">
        <v>387</v>
      </c>
      <c r="AD27" s="656" t="s">
        <v>385</v>
      </c>
      <c r="AE27" s="735" t="s">
        <v>387</v>
      </c>
      <c r="AF27" s="656" t="s">
        <v>385</v>
      </c>
      <c r="AG27" s="735" t="s">
        <v>386</v>
      </c>
      <c r="AH27" s="656" t="s">
        <v>385</v>
      </c>
      <c r="AI27" s="735" t="s">
        <v>386</v>
      </c>
      <c r="AJ27" s="656" t="s">
        <v>385</v>
      </c>
      <c r="AK27" s="735" t="s">
        <v>387</v>
      </c>
      <c r="AL27" s="656" t="s">
        <v>385</v>
      </c>
      <c r="AM27" s="735" t="s">
        <v>386</v>
      </c>
      <c r="AN27" s="656" t="s">
        <v>385</v>
      </c>
      <c r="AO27" s="735" t="s">
        <v>387</v>
      </c>
      <c r="AP27" s="656" t="s">
        <v>385</v>
      </c>
      <c r="AQ27" s="735" t="s">
        <v>386</v>
      </c>
      <c r="AR27" s="656" t="s">
        <v>388</v>
      </c>
      <c r="AS27" s="735" t="s">
        <v>387</v>
      </c>
      <c r="AT27" s="656" t="s">
        <v>388</v>
      </c>
      <c r="AU27" s="735" t="s">
        <v>387</v>
      </c>
      <c r="AV27" s="656" t="s">
        <v>385</v>
      </c>
      <c r="AW27" s="735" t="s">
        <v>387</v>
      </c>
      <c r="AX27" s="656" t="s">
        <v>385</v>
      </c>
      <c r="AY27" s="735" t="s">
        <v>386</v>
      </c>
      <c r="AZ27" s="656" t="s">
        <v>388</v>
      </c>
      <c r="BA27" s="735" t="s">
        <v>386</v>
      </c>
      <c r="BB27" s="658" t="s">
        <v>385</v>
      </c>
      <c r="BC27" s="716"/>
      <c r="BD27" s="730" t="s">
        <v>389</v>
      </c>
      <c r="BE27" s="731"/>
      <c r="BF27" s="732"/>
      <c r="BG27" s="656"/>
      <c r="BH27" s="732"/>
      <c r="BI27" s="732"/>
      <c r="BJ27" s="733" t="s">
        <v>387</v>
      </c>
      <c r="BK27" s="656" t="s">
        <v>385</v>
      </c>
      <c r="BL27" s="734" t="s">
        <v>387</v>
      </c>
      <c r="BM27" s="656" t="s">
        <v>388</v>
      </c>
      <c r="BN27" s="735" t="s">
        <v>387</v>
      </c>
      <c r="BO27" s="656" t="s">
        <v>385</v>
      </c>
      <c r="BP27" s="735" t="s">
        <v>386</v>
      </c>
      <c r="BQ27" s="656" t="s">
        <v>388</v>
      </c>
      <c r="BR27" s="735" t="s">
        <v>386</v>
      </c>
      <c r="BS27" s="656" t="s">
        <v>388</v>
      </c>
      <c r="BT27" s="735" t="s">
        <v>387</v>
      </c>
      <c r="BU27" s="656" t="s">
        <v>388</v>
      </c>
      <c r="BV27" s="735" t="s">
        <v>387</v>
      </c>
      <c r="BW27" s="656" t="s">
        <v>388</v>
      </c>
      <c r="BX27" s="735" t="s">
        <v>386</v>
      </c>
      <c r="BY27" s="656" t="s">
        <v>388</v>
      </c>
      <c r="BZ27" s="735" t="s">
        <v>387</v>
      </c>
      <c r="CA27" s="656" t="s">
        <v>388</v>
      </c>
      <c r="CB27" s="735" t="s">
        <v>386</v>
      </c>
      <c r="CC27" s="656" t="s">
        <v>385</v>
      </c>
      <c r="CD27" s="735" t="s">
        <v>386</v>
      </c>
      <c r="CE27" s="656" t="s">
        <v>388</v>
      </c>
      <c r="CF27" s="735" t="s">
        <v>387</v>
      </c>
      <c r="CG27" s="656" t="s">
        <v>385</v>
      </c>
      <c r="CH27" s="735" t="s">
        <v>387</v>
      </c>
      <c r="CI27" s="656" t="s">
        <v>385</v>
      </c>
      <c r="CJ27" s="735" t="s">
        <v>387</v>
      </c>
      <c r="CK27" s="656" t="s">
        <v>388</v>
      </c>
      <c r="CL27" s="735" t="s">
        <v>386</v>
      </c>
      <c r="CM27" s="656" t="s">
        <v>385</v>
      </c>
      <c r="CN27" s="735" t="s">
        <v>386</v>
      </c>
      <c r="CO27" s="656" t="s">
        <v>385</v>
      </c>
      <c r="CP27" s="735" t="s">
        <v>387</v>
      </c>
      <c r="CQ27" s="656" t="s">
        <v>385</v>
      </c>
      <c r="CR27" s="735" t="s">
        <v>386</v>
      </c>
      <c r="CS27" s="656" t="s">
        <v>385</v>
      </c>
      <c r="CT27" s="735" t="s">
        <v>386</v>
      </c>
      <c r="CU27" s="656" t="s">
        <v>385</v>
      </c>
      <c r="CV27" s="735" t="s">
        <v>387</v>
      </c>
      <c r="CW27" s="656" t="s">
        <v>385</v>
      </c>
      <c r="CX27" s="735" t="s">
        <v>386</v>
      </c>
      <c r="CY27" s="656" t="s">
        <v>385</v>
      </c>
      <c r="CZ27" s="735" t="s">
        <v>386</v>
      </c>
      <c r="DA27" s="656" t="s">
        <v>385</v>
      </c>
      <c r="DB27" s="735" t="s">
        <v>386</v>
      </c>
      <c r="DC27" s="656" t="s">
        <v>388</v>
      </c>
      <c r="DD27" s="735" t="s">
        <v>386</v>
      </c>
      <c r="DE27" s="658" t="s">
        <v>388</v>
      </c>
      <c r="DF27" s="716"/>
      <c r="DG27" s="730" t="s">
        <v>383</v>
      </c>
      <c r="DH27" s="736"/>
      <c r="DI27" s="737"/>
      <c r="DJ27" s="738"/>
      <c r="DK27" s="737"/>
      <c r="DL27" s="737"/>
      <c r="DM27" s="733" t="s">
        <v>386</v>
      </c>
      <c r="DN27" s="656" t="s">
        <v>385</v>
      </c>
      <c r="DO27" s="734" t="s">
        <v>387</v>
      </c>
      <c r="DP27" s="656" t="s">
        <v>385</v>
      </c>
      <c r="DQ27" s="735" t="s">
        <v>386</v>
      </c>
      <c r="DR27" s="656" t="s">
        <v>385</v>
      </c>
      <c r="DS27" s="735" t="s">
        <v>387</v>
      </c>
      <c r="DT27" s="656" t="s">
        <v>385</v>
      </c>
      <c r="DU27" s="735" t="s">
        <v>386</v>
      </c>
      <c r="DV27" s="656" t="s">
        <v>385</v>
      </c>
      <c r="DW27" s="735" t="s">
        <v>386</v>
      </c>
      <c r="DX27" s="656" t="s">
        <v>385</v>
      </c>
      <c r="DY27" s="735" t="s">
        <v>387</v>
      </c>
      <c r="DZ27" s="656" t="s">
        <v>385</v>
      </c>
      <c r="EA27" s="735" t="s">
        <v>386</v>
      </c>
      <c r="EB27" s="656" t="s">
        <v>385</v>
      </c>
      <c r="EC27" s="735" t="s">
        <v>387</v>
      </c>
      <c r="ED27" s="656" t="s">
        <v>385</v>
      </c>
      <c r="EE27" s="735" t="s">
        <v>386</v>
      </c>
      <c r="EF27" s="656" t="s">
        <v>388</v>
      </c>
      <c r="EG27" s="735" t="s">
        <v>387</v>
      </c>
      <c r="EH27" s="656" t="s">
        <v>388</v>
      </c>
      <c r="EI27" s="735" t="s">
        <v>387</v>
      </c>
      <c r="EJ27" s="656" t="s">
        <v>385</v>
      </c>
      <c r="EK27" s="735" t="s">
        <v>387</v>
      </c>
      <c r="EL27" s="656" t="s">
        <v>385</v>
      </c>
      <c r="EM27" s="735" t="s">
        <v>386</v>
      </c>
      <c r="EN27" s="656" t="s">
        <v>388</v>
      </c>
      <c r="EO27" s="735" t="s">
        <v>386</v>
      </c>
      <c r="EP27" s="656" t="s">
        <v>385</v>
      </c>
      <c r="EQ27" s="735" t="s">
        <v>387</v>
      </c>
      <c r="ER27" s="656" t="s">
        <v>385</v>
      </c>
      <c r="ES27" s="735" t="s">
        <v>387</v>
      </c>
      <c r="ET27" s="656" t="s">
        <v>388</v>
      </c>
      <c r="EU27" s="735" t="s">
        <v>386</v>
      </c>
      <c r="EV27" s="656" t="s">
        <v>388</v>
      </c>
      <c r="EW27" s="735" t="s">
        <v>386</v>
      </c>
      <c r="EX27" s="656" t="s">
        <v>385</v>
      </c>
      <c r="EY27" s="735" t="s">
        <v>387</v>
      </c>
      <c r="EZ27" s="656" t="s">
        <v>388</v>
      </c>
      <c r="FA27" s="735" t="s">
        <v>387</v>
      </c>
      <c r="FB27" s="656" t="s">
        <v>385</v>
      </c>
      <c r="FC27" s="735" t="s">
        <v>386</v>
      </c>
      <c r="FD27" s="656" t="s">
        <v>385</v>
      </c>
      <c r="FE27" s="735" t="s">
        <v>387</v>
      </c>
      <c r="FF27" s="656" t="s">
        <v>388</v>
      </c>
      <c r="FG27" s="735" t="s">
        <v>386</v>
      </c>
      <c r="FH27" s="658" t="s">
        <v>388</v>
      </c>
      <c r="FI27" s="739"/>
      <c r="FJ27" s="535" t="s">
        <v>383</v>
      </c>
      <c r="FK27" s="736"/>
      <c r="FL27" s="737"/>
      <c r="FM27" s="738"/>
      <c r="FN27" s="737"/>
      <c r="FO27" s="737"/>
      <c r="FP27" s="740" t="s">
        <v>390</v>
      </c>
      <c r="FQ27" s="666" t="s">
        <v>387</v>
      </c>
      <c r="FR27" s="656" t="s">
        <v>391</v>
      </c>
      <c r="FS27" s="741" t="s">
        <v>390</v>
      </c>
      <c r="FT27" s="666" t="s">
        <v>386</v>
      </c>
      <c r="FU27" s="668" t="s">
        <v>391</v>
      </c>
      <c r="FV27" s="586"/>
      <c r="FW27" s="587"/>
      <c r="FX27" s="588"/>
      <c r="FY27" s="589"/>
      <c r="FZ27" s="590"/>
      <c r="GA27" s="591"/>
      <c r="GB27" s="592"/>
      <c r="GC27" s="593"/>
      <c r="GD27" s="592"/>
      <c r="GE27" s="594"/>
      <c r="GF27" s="742"/>
      <c r="GG27" s="743"/>
      <c r="GH27" s="743"/>
      <c r="GI27" s="743"/>
      <c r="GJ27" s="608"/>
      <c r="GK27" s="523" t="s">
        <v>483</v>
      </c>
      <c r="GL27" s="608"/>
      <c r="GM27" s="608"/>
      <c r="GN27" s="608"/>
      <c r="GO27" s="410"/>
      <c r="GP27" s="744">
        <v>23.1</v>
      </c>
      <c r="GQ27" s="410" t="s">
        <v>484</v>
      </c>
      <c r="GR27" s="410"/>
      <c r="GS27" s="572"/>
      <c r="GT27" s="493"/>
      <c r="GU27" s="493"/>
      <c r="GV27" s="493"/>
      <c r="GW27" s="572"/>
      <c r="GX27" s="572"/>
      <c r="GY27" s="572"/>
      <c r="GZ27" s="571"/>
      <c r="HA27" s="493"/>
      <c r="HB27" s="493"/>
      <c r="HC27" s="523"/>
      <c r="HD27" s="406"/>
      <c r="HE27" s="412"/>
      <c r="HF27" s="412"/>
      <c r="HG27" s="412"/>
      <c r="HH27" s="412"/>
    </row>
    <row r="28" spans="1:218" ht="20.100000000000001" customHeight="1">
      <c r="A28" s="545"/>
      <c r="B28" s="745" t="s">
        <v>392</v>
      </c>
      <c r="C28" s="746"/>
      <c r="D28" s="747">
        <v>81</v>
      </c>
      <c r="E28" s="748">
        <v>2</v>
      </c>
      <c r="F28" s="749" t="s">
        <v>393</v>
      </c>
      <c r="G28" s="750">
        <v>1</v>
      </c>
      <c r="H28" s="552">
        <v>162</v>
      </c>
      <c r="I28" s="751">
        <v>1</v>
      </c>
      <c r="J28" s="552">
        <v>162</v>
      </c>
      <c r="K28" s="751">
        <v>1</v>
      </c>
      <c r="L28" s="552">
        <v>162</v>
      </c>
      <c r="M28" s="751">
        <v>1</v>
      </c>
      <c r="N28" s="552">
        <v>162</v>
      </c>
      <c r="O28" s="751">
        <v>1</v>
      </c>
      <c r="P28" s="552">
        <v>162</v>
      </c>
      <c r="Q28" s="751">
        <v>1</v>
      </c>
      <c r="R28" s="552">
        <v>162</v>
      </c>
      <c r="S28" s="751">
        <v>1</v>
      </c>
      <c r="T28" s="552">
        <v>162</v>
      </c>
      <c r="U28" s="751">
        <v>1</v>
      </c>
      <c r="V28" s="552">
        <v>162</v>
      </c>
      <c r="W28" s="751">
        <v>1</v>
      </c>
      <c r="X28" s="552">
        <v>162</v>
      </c>
      <c r="Y28" s="751">
        <v>1</v>
      </c>
      <c r="Z28" s="552">
        <v>162</v>
      </c>
      <c r="AA28" s="751">
        <v>1</v>
      </c>
      <c r="AB28" s="552">
        <v>162</v>
      </c>
      <c r="AC28" s="751">
        <v>1</v>
      </c>
      <c r="AD28" s="552">
        <v>162</v>
      </c>
      <c r="AE28" s="751">
        <v>1</v>
      </c>
      <c r="AF28" s="552">
        <v>162</v>
      </c>
      <c r="AG28" s="751">
        <v>1</v>
      </c>
      <c r="AH28" s="552">
        <v>162</v>
      </c>
      <c r="AI28" s="751">
        <v>1</v>
      </c>
      <c r="AJ28" s="552">
        <v>162</v>
      </c>
      <c r="AK28" s="751">
        <v>1</v>
      </c>
      <c r="AL28" s="552">
        <v>162</v>
      </c>
      <c r="AM28" s="751">
        <v>1</v>
      </c>
      <c r="AN28" s="552">
        <v>162</v>
      </c>
      <c r="AO28" s="751">
        <v>1</v>
      </c>
      <c r="AP28" s="552">
        <v>162</v>
      </c>
      <c r="AQ28" s="751">
        <v>1</v>
      </c>
      <c r="AR28" s="552">
        <v>162</v>
      </c>
      <c r="AS28" s="751">
        <v>1</v>
      </c>
      <c r="AT28" s="552">
        <v>162</v>
      </c>
      <c r="AU28" s="751">
        <v>1</v>
      </c>
      <c r="AV28" s="552">
        <v>162</v>
      </c>
      <c r="AW28" s="751">
        <v>1</v>
      </c>
      <c r="AX28" s="552">
        <v>162</v>
      </c>
      <c r="AY28" s="751">
        <v>1</v>
      </c>
      <c r="AZ28" s="552">
        <v>162</v>
      </c>
      <c r="BA28" s="751">
        <v>1</v>
      </c>
      <c r="BB28" s="677">
        <v>162</v>
      </c>
      <c r="BC28" s="555"/>
      <c r="BD28" s="545"/>
      <c r="BE28" s="745" t="s">
        <v>394</v>
      </c>
      <c r="BF28" s="746"/>
      <c r="BG28" s="747">
        <v>81</v>
      </c>
      <c r="BH28" s="748">
        <v>2</v>
      </c>
      <c r="BI28" s="749" t="s">
        <v>393</v>
      </c>
      <c r="BJ28" s="750">
        <v>1</v>
      </c>
      <c r="BK28" s="552">
        <v>162</v>
      </c>
      <c r="BL28" s="751">
        <v>1</v>
      </c>
      <c r="BM28" s="552">
        <v>162</v>
      </c>
      <c r="BN28" s="751">
        <v>1</v>
      </c>
      <c r="BO28" s="552">
        <v>162</v>
      </c>
      <c r="BP28" s="751">
        <v>1</v>
      </c>
      <c r="BQ28" s="552">
        <v>162</v>
      </c>
      <c r="BR28" s="751">
        <v>1</v>
      </c>
      <c r="BS28" s="552">
        <v>162</v>
      </c>
      <c r="BT28" s="751">
        <v>1</v>
      </c>
      <c r="BU28" s="552">
        <v>162</v>
      </c>
      <c r="BV28" s="751">
        <v>1</v>
      </c>
      <c r="BW28" s="552">
        <v>162</v>
      </c>
      <c r="BX28" s="751">
        <v>1</v>
      </c>
      <c r="BY28" s="552">
        <v>162</v>
      </c>
      <c r="BZ28" s="751">
        <v>1</v>
      </c>
      <c r="CA28" s="552">
        <v>162</v>
      </c>
      <c r="CB28" s="751">
        <v>1</v>
      </c>
      <c r="CC28" s="552">
        <v>162</v>
      </c>
      <c r="CD28" s="751">
        <v>1</v>
      </c>
      <c r="CE28" s="552">
        <v>162</v>
      </c>
      <c r="CF28" s="751">
        <v>1</v>
      </c>
      <c r="CG28" s="552">
        <v>162</v>
      </c>
      <c r="CH28" s="751">
        <v>1</v>
      </c>
      <c r="CI28" s="552">
        <v>162</v>
      </c>
      <c r="CJ28" s="751">
        <v>1</v>
      </c>
      <c r="CK28" s="552">
        <v>162</v>
      </c>
      <c r="CL28" s="751">
        <v>1</v>
      </c>
      <c r="CM28" s="552">
        <v>162</v>
      </c>
      <c r="CN28" s="751">
        <v>1</v>
      </c>
      <c r="CO28" s="552">
        <v>162</v>
      </c>
      <c r="CP28" s="751">
        <v>1</v>
      </c>
      <c r="CQ28" s="552">
        <v>162</v>
      </c>
      <c r="CR28" s="751">
        <v>1</v>
      </c>
      <c r="CS28" s="552">
        <v>162</v>
      </c>
      <c r="CT28" s="751">
        <v>1</v>
      </c>
      <c r="CU28" s="552">
        <v>162</v>
      </c>
      <c r="CV28" s="751">
        <v>1</v>
      </c>
      <c r="CW28" s="552">
        <v>162</v>
      </c>
      <c r="CX28" s="751">
        <v>1</v>
      </c>
      <c r="CY28" s="552">
        <v>162</v>
      </c>
      <c r="CZ28" s="751">
        <v>1</v>
      </c>
      <c r="DA28" s="552">
        <v>162</v>
      </c>
      <c r="DB28" s="751">
        <v>1</v>
      </c>
      <c r="DC28" s="552">
        <v>162</v>
      </c>
      <c r="DD28" s="751">
        <v>1</v>
      </c>
      <c r="DE28" s="677">
        <v>162</v>
      </c>
      <c r="DF28" s="555"/>
      <c r="DG28" s="545"/>
      <c r="DH28" s="745" t="s">
        <v>394</v>
      </c>
      <c r="DI28" s="746"/>
      <c r="DJ28" s="747">
        <v>81</v>
      </c>
      <c r="DK28" s="748">
        <v>2</v>
      </c>
      <c r="DL28" s="749" t="s">
        <v>393</v>
      </c>
      <c r="DM28" s="750">
        <v>1</v>
      </c>
      <c r="DN28" s="552">
        <v>162</v>
      </c>
      <c r="DO28" s="751">
        <v>1</v>
      </c>
      <c r="DP28" s="552">
        <v>162</v>
      </c>
      <c r="DQ28" s="751">
        <v>1</v>
      </c>
      <c r="DR28" s="552">
        <v>162</v>
      </c>
      <c r="DS28" s="751">
        <v>1</v>
      </c>
      <c r="DT28" s="552">
        <v>162</v>
      </c>
      <c r="DU28" s="751">
        <v>1</v>
      </c>
      <c r="DV28" s="552">
        <v>162</v>
      </c>
      <c r="DW28" s="751">
        <v>1</v>
      </c>
      <c r="DX28" s="552">
        <v>162</v>
      </c>
      <c r="DY28" s="751">
        <v>1</v>
      </c>
      <c r="DZ28" s="552">
        <v>162</v>
      </c>
      <c r="EA28" s="751">
        <v>1</v>
      </c>
      <c r="EB28" s="552">
        <v>162</v>
      </c>
      <c r="EC28" s="751">
        <v>1</v>
      </c>
      <c r="ED28" s="552">
        <v>162</v>
      </c>
      <c r="EE28" s="751">
        <v>1</v>
      </c>
      <c r="EF28" s="552">
        <v>162</v>
      </c>
      <c r="EG28" s="751">
        <v>1</v>
      </c>
      <c r="EH28" s="552">
        <v>162</v>
      </c>
      <c r="EI28" s="751">
        <v>1</v>
      </c>
      <c r="EJ28" s="552">
        <v>162</v>
      </c>
      <c r="EK28" s="751">
        <v>1</v>
      </c>
      <c r="EL28" s="552">
        <v>162</v>
      </c>
      <c r="EM28" s="751">
        <v>1</v>
      </c>
      <c r="EN28" s="552">
        <v>162</v>
      </c>
      <c r="EO28" s="751">
        <v>1</v>
      </c>
      <c r="EP28" s="552">
        <v>162</v>
      </c>
      <c r="EQ28" s="751">
        <v>1</v>
      </c>
      <c r="ER28" s="552">
        <v>162</v>
      </c>
      <c r="ES28" s="751">
        <v>1</v>
      </c>
      <c r="ET28" s="552">
        <v>162</v>
      </c>
      <c r="EU28" s="751">
        <v>1</v>
      </c>
      <c r="EV28" s="552">
        <v>162</v>
      </c>
      <c r="EW28" s="751">
        <v>1</v>
      </c>
      <c r="EX28" s="552">
        <v>162</v>
      </c>
      <c r="EY28" s="751">
        <v>1</v>
      </c>
      <c r="EZ28" s="552">
        <v>162</v>
      </c>
      <c r="FA28" s="751">
        <v>1</v>
      </c>
      <c r="FB28" s="552">
        <v>162</v>
      </c>
      <c r="FC28" s="751">
        <v>1</v>
      </c>
      <c r="FD28" s="552">
        <v>162</v>
      </c>
      <c r="FE28" s="751">
        <v>1</v>
      </c>
      <c r="FF28" s="552">
        <v>162</v>
      </c>
      <c r="FG28" s="751">
        <v>1</v>
      </c>
      <c r="FH28" s="677">
        <v>162</v>
      </c>
      <c r="FI28" s="556"/>
      <c r="FJ28" s="557"/>
      <c r="FK28" s="745" t="s">
        <v>392</v>
      </c>
      <c r="FL28" s="746"/>
      <c r="FM28" s="752"/>
      <c r="FN28" s="748">
        <v>0</v>
      </c>
      <c r="FO28" s="749"/>
      <c r="FP28" s="678"/>
      <c r="FQ28" s="753"/>
      <c r="FR28" s="552">
        <v>0</v>
      </c>
      <c r="FS28" s="754"/>
      <c r="FT28" s="753"/>
      <c r="FU28" s="560">
        <v>0</v>
      </c>
      <c r="FV28" s="586"/>
      <c r="FW28" s="587"/>
      <c r="FX28" s="588"/>
      <c r="FY28" s="589"/>
      <c r="FZ28" s="590"/>
      <c r="GA28" s="591"/>
      <c r="GB28" s="592"/>
      <c r="GC28" s="593"/>
      <c r="GD28" s="592"/>
      <c r="GE28" s="594"/>
      <c r="GF28" s="755"/>
      <c r="GG28" s="595"/>
      <c r="GH28" s="595"/>
      <c r="GI28" s="595"/>
      <c r="GJ28" s="608"/>
      <c r="GK28" s="523" t="s">
        <v>485</v>
      </c>
      <c r="GL28" s="410"/>
      <c r="GM28" s="410"/>
      <c r="GN28" s="410"/>
      <c r="GO28" s="523"/>
      <c r="GP28" s="744">
        <v>24</v>
      </c>
      <c r="GQ28" s="410" t="s">
        <v>484</v>
      </c>
      <c r="GR28" s="726"/>
      <c r="GS28" s="523"/>
      <c r="GT28" s="756"/>
      <c r="GU28" s="573" t="s">
        <v>486</v>
      </c>
      <c r="GV28" s="602"/>
      <c r="GW28" s="523"/>
      <c r="GX28" s="522"/>
      <c r="GY28" s="406"/>
      <c r="GZ28" s="608"/>
      <c r="HA28" s="523"/>
      <c r="HB28" s="523"/>
      <c r="HC28" s="523"/>
      <c r="HD28" s="523"/>
      <c r="HE28" s="412"/>
      <c r="HF28" s="412"/>
      <c r="HG28" s="412"/>
      <c r="HH28" s="412"/>
    </row>
    <row r="29" spans="1:218" ht="20.100000000000001" customHeight="1" thickBot="1">
      <c r="A29" s="545"/>
      <c r="B29" s="757" t="s">
        <v>395</v>
      </c>
      <c r="C29" s="758"/>
      <c r="D29" s="759">
        <v>12</v>
      </c>
      <c r="E29" s="760">
        <v>121</v>
      </c>
      <c r="F29" s="761" t="s">
        <v>393</v>
      </c>
      <c r="G29" s="762">
        <v>1</v>
      </c>
      <c r="H29" s="580">
        <v>1452</v>
      </c>
      <c r="I29" s="763">
        <v>1</v>
      </c>
      <c r="J29" s="580">
        <v>1452</v>
      </c>
      <c r="K29" s="763">
        <v>1</v>
      </c>
      <c r="L29" s="580">
        <v>1452</v>
      </c>
      <c r="M29" s="763">
        <v>1</v>
      </c>
      <c r="N29" s="580">
        <v>1452</v>
      </c>
      <c r="O29" s="763">
        <v>1</v>
      </c>
      <c r="P29" s="580">
        <v>1452</v>
      </c>
      <c r="Q29" s="763">
        <v>1</v>
      </c>
      <c r="R29" s="580">
        <v>1452</v>
      </c>
      <c r="S29" s="763">
        <v>1</v>
      </c>
      <c r="T29" s="580">
        <v>1452</v>
      </c>
      <c r="U29" s="763">
        <v>1</v>
      </c>
      <c r="V29" s="580">
        <v>1452</v>
      </c>
      <c r="W29" s="763">
        <v>1</v>
      </c>
      <c r="X29" s="580">
        <v>1452</v>
      </c>
      <c r="Y29" s="763">
        <v>1</v>
      </c>
      <c r="Z29" s="580">
        <v>1452</v>
      </c>
      <c r="AA29" s="763">
        <v>1</v>
      </c>
      <c r="AB29" s="580">
        <v>1452</v>
      </c>
      <c r="AC29" s="763">
        <v>1</v>
      </c>
      <c r="AD29" s="580">
        <v>1452</v>
      </c>
      <c r="AE29" s="763">
        <v>1</v>
      </c>
      <c r="AF29" s="580">
        <v>1452</v>
      </c>
      <c r="AG29" s="763">
        <v>1</v>
      </c>
      <c r="AH29" s="580">
        <v>1452</v>
      </c>
      <c r="AI29" s="763">
        <v>1</v>
      </c>
      <c r="AJ29" s="580">
        <v>1452</v>
      </c>
      <c r="AK29" s="763">
        <v>1</v>
      </c>
      <c r="AL29" s="580">
        <v>1452</v>
      </c>
      <c r="AM29" s="763">
        <v>1</v>
      </c>
      <c r="AN29" s="580">
        <v>1452</v>
      </c>
      <c r="AO29" s="763">
        <v>1</v>
      </c>
      <c r="AP29" s="580">
        <v>1452</v>
      </c>
      <c r="AQ29" s="763">
        <v>1</v>
      </c>
      <c r="AR29" s="580">
        <v>1452</v>
      </c>
      <c r="AS29" s="763">
        <v>1</v>
      </c>
      <c r="AT29" s="580">
        <v>1452</v>
      </c>
      <c r="AU29" s="763">
        <v>1</v>
      </c>
      <c r="AV29" s="580">
        <v>1452</v>
      </c>
      <c r="AW29" s="763">
        <v>1</v>
      </c>
      <c r="AX29" s="580">
        <v>1452</v>
      </c>
      <c r="AY29" s="763">
        <v>1</v>
      </c>
      <c r="AZ29" s="580">
        <v>1452</v>
      </c>
      <c r="BA29" s="763">
        <v>1</v>
      </c>
      <c r="BB29" s="582">
        <v>1452</v>
      </c>
      <c r="BC29" s="555"/>
      <c r="BD29" s="545"/>
      <c r="BE29" s="757" t="s">
        <v>396</v>
      </c>
      <c r="BF29" s="758"/>
      <c r="BG29" s="759">
        <v>12</v>
      </c>
      <c r="BH29" s="760">
        <v>121</v>
      </c>
      <c r="BI29" s="761" t="s">
        <v>393</v>
      </c>
      <c r="BJ29" s="762">
        <v>1</v>
      </c>
      <c r="BK29" s="580">
        <v>1452</v>
      </c>
      <c r="BL29" s="763">
        <v>1</v>
      </c>
      <c r="BM29" s="580">
        <v>1452</v>
      </c>
      <c r="BN29" s="763">
        <v>1</v>
      </c>
      <c r="BO29" s="580">
        <v>1452</v>
      </c>
      <c r="BP29" s="763">
        <v>1</v>
      </c>
      <c r="BQ29" s="580">
        <v>1452</v>
      </c>
      <c r="BR29" s="763">
        <v>1</v>
      </c>
      <c r="BS29" s="580">
        <v>1452</v>
      </c>
      <c r="BT29" s="763">
        <v>1</v>
      </c>
      <c r="BU29" s="580">
        <v>1452</v>
      </c>
      <c r="BV29" s="763">
        <v>1</v>
      </c>
      <c r="BW29" s="580">
        <v>1452</v>
      </c>
      <c r="BX29" s="763">
        <v>1</v>
      </c>
      <c r="BY29" s="580">
        <v>1452</v>
      </c>
      <c r="BZ29" s="763">
        <v>1</v>
      </c>
      <c r="CA29" s="580">
        <v>1452</v>
      </c>
      <c r="CB29" s="763">
        <v>1</v>
      </c>
      <c r="CC29" s="580">
        <v>1452</v>
      </c>
      <c r="CD29" s="763">
        <v>1</v>
      </c>
      <c r="CE29" s="580">
        <v>1452</v>
      </c>
      <c r="CF29" s="763">
        <v>1</v>
      </c>
      <c r="CG29" s="580">
        <v>1452</v>
      </c>
      <c r="CH29" s="763">
        <v>1</v>
      </c>
      <c r="CI29" s="580">
        <v>1452</v>
      </c>
      <c r="CJ29" s="763">
        <v>1</v>
      </c>
      <c r="CK29" s="580">
        <v>1452</v>
      </c>
      <c r="CL29" s="763">
        <v>1</v>
      </c>
      <c r="CM29" s="580">
        <v>1452</v>
      </c>
      <c r="CN29" s="763">
        <v>1</v>
      </c>
      <c r="CO29" s="580">
        <v>1452</v>
      </c>
      <c r="CP29" s="763">
        <v>1</v>
      </c>
      <c r="CQ29" s="580">
        <v>1452</v>
      </c>
      <c r="CR29" s="763">
        <v>1</v>
      </c>
      <c r="CS29" s="580">
        <v>1452</v>
      </c>
      <c r="CT29" s="763">
        <v>1</v>
      </c>
      <c r="CU29" s="580">
        <v>1452</v>
      </c>
      <c r="CV29" s="763">
        <v>1</v>
      </c>
      <c r="CW29" s="580">
        <v>1452</v>
      </c>
      <c r="CX29" s="763">
        <v>1</v>
      </c>
      <c r="CY29" s="580">
        <v>1452</v>
      </c>
      <c r="CZ29" s="763">
        <v>1</v>
      </c>
      <c r="DA29" s="580">
        <v>1452</v>
      </c>
      <c r="DB29" s="763">
        <v>1</v>
      </c>
      <c r="DC29" s="580">
        <v>1452</v>
      </c>
      <c r="DD29" s="763">
        <v>1</v>
      </c>
      <c r="DE29" s="582">
        <v>1452</v>
      </c>
      <c r="DF29" s="555"/>
      <c r="DG29" s="545"/>
      <c r="DH29" s="757" t="s">
        <v>395</v>
      </c>
      <c r="DI29" s="758"/>
      <c r="DJ29" s="759">
        <v>12</v>
      </c>
      <c r="DK29" s="760">
        <v>121</v>
      </c>
      <c r="DL29" s="761" t="s">
        <v>393</v>
      </c>
      <c r="DM29" s="762">
        <v>1</v>
      </c>
      <c r="DN29" s="580">
        <v>1452</v>
      </c>
      <c r="DO29" s="763">
        <v>1</v>
      </c>
      <c r="DP29" s="580">
        <v>1452</v>
      </c>
      <c r="DQ29" s="763">
        <v>1</v>
      </c>
      <c r="DR29" s="580">
        <v>1452</v>
      </c>
      <c r="DS29" s="763">
        <v>1</v>
      </c>
      <c r="DT29" s="580">
        <v>1452</v>
      </c>
      <c r="DU29" s="763">
        <v>1</v>
      </c>
      <c r="DV29" s="580">
        <v>1452</v>
      </c>
      <c r="DW29" s="763">
        <v>1</v>
      </c>
      <c r="DX29" s="580">
        <v>1452</v>
      </c>
      <c r="DY29" s="763">
        <v>1</v>
      </c>
      <c r="DZ29" s="580">
        <v>1452</v>
      </c>
      <c r="EA29" s="763">
        <v>1</v>
      </c>
      <c r="EB29" s="580">
        <v>1452</v>
      </c>
      <c r="EC29" s="763">
        <v>1</v>
      </c>
      <c r="ED29" s="580">
        <v>1452</v>
      </c>
      <c r="EE29" s="763">
        <v>1</v>
      </c>
      <c r="EF29" s="580">
        <v>1452</v>
      </c>
      <c r="EG29" s="763">
        <v>1</v>
      </c>
      <c r="EH29" s="580">
        <v>1452</v>
      </c>
      <c r="EI29" s="763">
        <v>1</v>
      </c>
      <c r="EJ29" s="580">
        <v>1452</v>
      </c>
      <c r="EK29" s="763">
        <v>1</v>
      </c>
      <c r="EL29" s="580">
        <v>1452</v>
      </c>
      <c r="EM29" s="763">
        <v>1</v>
      </c>
      <c r="EN29" s="580">
        <v>1452</v>
      </c>
      <c r="EO29" s="763">
        <v>1</v>
      </c>
      <c r="EP29" s="580">
        <v>1452</v>
      </c>
      <c r="EQ29" s="763">
        <v>1</v>
      </c>
      <c r="ER29" s="580">
        <v>1452</v>
      </c>
      <c r="ES29" s="763">
        <v>1</v>
      </c>
      <c r="ET29" s="580">
        <v>1452</v>
      </c>
      <c r="EU29" s="763">
        <v>1</v>
      </c>
      <c r="EV29" s="580">
        <v>1452</v>
      </c>
      <c r="EW29" s="763">
        <v>1</v>
      </c>
      <c r="EX29" s="580">
        <v>1452</v>
      </c>
      <c r="EY29" s="763">
        <v>1</v>
      </c>
      <c r="EZ29" s="580">
        <v>1452</v>
      </c>
      <c r="FA29" s="763">
        <v>1</v>
      </c>
      <c r="FB29" s="580">
        <v>1452</v>
      </c>
      <c r="FC29" s="763">
        <v>1</v>
      </c>
      <c r="FD29" s="580">
        <v>1452</v>
      </c>
      <c r="FE29" s="763">
        <v>1</v>
      </c>
      <c r="FF29" s="580">
        <v>1452</v>
      </c>
      <c r="FG29" s="763">
        <v>1</v>
      </c>
      <c r="FH29" s="582">
        <v>1452</v>
      </c>
      <c r="FI29" s="556"/>
      <c r="FJ29" s="557"/>
      <c r="FK29" s="757" t="s">
        <v>396</v>
      </c>
      <c r="FL29" s="758"/>
      <c r="FM29" s="764"/>
      <c r="FN29" s="760">
        <v>0</v>
      </c>
      <c r="FO29" s="761"/>
      <c r="FP29" s="689"/>
      <c r="FQ29" s="765"/>
      <c r="FR29" s="580">
        <v>0</v>
      </c>
      <c r="FS29" s="766"/>
      <c r="FT29" s="765"/>
      <c r="FU29" s="585">
        <v>0</v>
      </c>
      <c r="FV29" s="586"/>
      <c r="FW29" s="587"/>
      <c r="FX29" s="588"/>
      <c r="FY29" s="589"/>
      <c r="FZ29" s="590"/>
      <c r="GA29" s="591"/>
      <c r="GB29" s="592"/>
      <c r="GC29" s="593"/>
      <c r="GD29" s="592"/>
      <c r="GE29" s="594"/>
      <c r="GF29" s="755"/>
      <c r="GG29" s="595"/>
      <c r="GH29" s="595"/>
      <c r="GI29" s="595"/>
      <c r="GJ29" s="608"/>
      <c r="GK29" s="767" t="s">
        <v>487</v>
      </c>
      <c r="GL29" s="767"/>
      <c r="GM29" s="767"/>
      <c r="GN29" s="767"/>
      <c r="GO29" s="608"/>
      <c r="GP29" s="744">
        <v>-0.89999999999999858</v>
      </c>
      <c r="GQ29" s="410" t="s">
        <v>304</v>
      </c>
      <c r="GR29" s="768"/>
      <c r="GS29" s="523"/>
      <c r="GT29" s="756"/>
      <c r="GU29" s="573" t="s">
        <v>488</v>
      </c>
      <c r="GV29" s="602"/>
      <c r="GW29" s="523"/>
      <c r="GX29" s="522"/>
      <c r="GY29" s="406"/>
      <c r="GZ29" s="523"/>
      <c r="HA29" s="573"/>
      <c r="HB29" s="573"/>
      <c r="HC29" s="572"/>
      <c r="HD29" s="523"/>
      <c r="HE29" s="412"/>
      <c r="HF29" s="412"/>
    </row>
    <row r="30" spans="1:218" ht="20.100000000000001" customHeight="1">
      <c r="A30" s="545"/>
      <c r="B30" s="757" t="s">
        <v>397</v>
      </c>
      <c r="C30" s="759"/>
      <c r="D30" s="760">
        <v>0</v>
      </c>
      <c r="E30" s="769"/>
      <c r="F30" s="770"/>
      <c r="G30" s="762"/>
      <c r="H30" s="580">
        <v>0</v>
      </c>
      <c r="I30" s="763"/>
      <c r="J30" s="580">
        <v>0</v>
      </c>
      <c r="K30" s="763"/>
      <c r="L30" s="580">
        <v>0</v>
      </c>
      <c r="M30" s="763"/>
      <c r="N30" s="580">
        <v>0</v>
      </c>
      <c r="O30" s="763"/>
      <c r="P30" s="580">
        <v>0</v>
      </c>
      <c r="Q30" s="763"/>
      <c r="R30" s="580">
        <v>0</v>
      </c>
      <c r="S30" s="763"/>
      <c r="T30" s="580">
        <v>0</v>
      </c>
      <c r="U30" s="763"/>
      <c r="V30" s="580">
        <v>0</v>
      </c>
      <c r="W30" s="763"/>
      <c r="X30" s="580">
        <v>0</v>
      </c>
      <c r="Y30" s="763"/>
      <c r="Z30" s="580">
        <v>0</v>
      </c>
      <c r="AA30" s="763"/>
      <c r="AB30" s="580">
        <v>0</v>
      </c>
      <c r="AC30" s="763"/>
      <c r="AD30" s="580">
        <v>0</v>
      </c>
      <c r="AE30" s="763"/>
      <c r="AF30" s="580">
        <v>0</v>
      </c>
      <c r="AG30" s="763"/>
      <c r="AH30" s="580">
        <v>0</v>
      </c>
      <c r="AI30" s="763"/>
      <c r="AJ30" s="580">
        <v>0</v>
      </c>
      <c r="AK30" s="763"/>
      <c r="AL30" s="580">
        <v>0</v>
      </c>
      <c r="AM30" s="763"/>
      <c r="AN30" s="580">
        <v>0</v>
      </c>
      <c r="AO30" s="763"/>
      <c r="AP30" s="580">
        <v>0</v>
      </c>
      <c r="AQ30" s="763"/>
      <c r="AR30" s="580">
        <v>0</v>
      </c>
      <c r="AS30" s="763"/>
      <c r="AT30" s="580">
        <v>0</v>
      </c>
      <c r="AU30" s="763"/>
      <c r="AV30" s="580">
        <v>0</v>
      </c>
      <c r="AW30" s="763"/>
      <c r="AX30" s="580">
        <v>0</v>
      </c>
      <c r="AY30" s="763"/>
      <c r="AZ30" s="580">
        <v>0</v>
      </c>
      <c r="BA30" s="763"/>
      <c r="BB30" s="582">
        <v>0</v>
      </c>
      <c r="BC30" s="555"/>
      <c r="BD30" s="545"/>
      <c r="BE30" s="757" t="s">
        <v>397</v>
      </c>
      <c r="BF30" s="759">
        <v>0</v>
      </c>
      <c r="BG30" s="760">
        <v>0</v>
      </c>
      <c r="BH30" s="769">
        <v>0</v>
      </c>
      <c r="BI30" s="770"/>
      <c r="BJ30" s="762"/>
      <c r="BK30" s="580">
        <v>0</v>
      </c>
      <c r="BL30" s="763"/>
      <c r="BM30" s="580">
        <v>0</v>
      </c>
      <c r="BN30" s="763"/>
      <c r="BO30" s="580">
        <v>0</v>
      </c>
      <c r="BP30" s="763"/>
      <c r="BQ30" s="580">
        <v>0</v>
      </c>
      <c r="BR30" s="763"/>
      <c r="BS30" s="580">
        <v>0</v>
      </c>
      <c r="BT30" s="763"/>
      <c r="BU30" s="580">
        <v>0</v>
      </c>
      <c r="BV30" s="763"/>
      <c r="BW30" s="580">
        <v>0</v>
      </c>
      <c r="BX30" s="763"/>
      <c r="BY30" s="580">
        <v>0</v>
      </c>
      <c r="BZ30" s="763"/>
      <c r="CA30" s="580">
        <v>0</v>
      </c>
      <c r="CB30" s="763"/>
      <c r="CC30" s="580">
        <v>0</v>
      </c>
      <c r="CD30" s="763"/>
      <c r="CE30" s="580">
        <v>0</v>
      </c>
      <c r="CF30" s="763"/>
      <c r="CG30" s="580">
        <v>0</v>
      </c>
      <c r="CH30" s="763"/>
      <c r="CI30" s="580">
        <v>0</v>
      </c>
      <c r="CJ30" s="763"/>
      <c r="CK30" s="580">
        <v>0</v>
      </c>
      <c r="CL30" s="763"/>
      <c r="CM30" s="580">
        <v>0</v>
      </c>
      <c r="CN30" s="763"/>
      <c r="CO30" s="580">
        <v>0</v>
      </c>
      <c r="CP30" s="763"/>
      <c r="CQ30" s="580">
        <v>0</v>
      </c>
      <c r="CR30" s="763"/>
      <c r="CS30" s="580">
        <v>0</v>
      </c>
      <c r="CT30" s="763"/>
      <c r="CU30" s="580">
        <v>0</v>
      </c>
      <c r="CV30" s="763"/>
      <c r="CW30" s="580">
        <v>0</v>
      </c>
      <c r="CX30" s="763"/>
      <c r="CY30" s="580">
        <v>0</v>
      </c>
      <c r="CZ30" s="763"/>
      <c r="DA30" s="580">
        <v>0</v>
      </c>
      <c r="DB30" s="763"/>
      <c r="DC30" s="580">
        <v>0</v>
      </c>
      <c r="DD30" s="763"/>
      <c r="DE30" s="582">
        <v>0</v>
      </c>
      <c r="DF30" s="555"/>
      <c r="DG30" s="545"/>
      <c r="DH30" s="757" t="s">
        <v>397</v>
      </c>
      <c r="DI30" s="759">
        <v>0</v>
      </c>
      <c r="DJ30" s="760">
        <v>0</v>
      </c>
      <c r="DK30" s="769">
        <v>0</v>
      </c>
      <c r="DL30" s="770"/>
      <c r="DM30" s="762"/>
      <c r="DN30" s="580">
        <v>0</v>
      </c>
      <c r="DO30" s="763"/>
      <c r="DP30" s="580">
        <v>0</v>
      </c>
      <c r="DQ30" s="763"/>
      <c r="DR30" s="580">
        <v>0</v>
      </c>
      <c r="DS30" s="763"/>
      <c r="DT30" s="580">
        <v>0</v>
      </c>
      <c r="DU30" s="763"/>
      <c r="DV30" s="580">
        <v>0</v>
      </c>
      <c r="DW30" s="763"/>
      <c r="DX30" s="580">
        <v>0</v>
      </c>
      <c r="DY30" s="763"/>
      <c r="DZ30" s="580">
        <v>0</v>
      </c>
      <c r="EA30" s="763"/>
      <c r="EB30" s="580">
        <v>0</v>
      </c>
      <c r="EC30" s="763"/>
      <c r="ED30" s="580">
        <v>0</v>
      </c>
      <c r="EE30" s="763"/>
      <c r="EF30" s="580">
        <v>0</v>
      </c>
      <c r="EG30" s="763"/>
      <c r="EH30" s="580">
        <v>0</v>
      </c>
      <c r="EI30" s="763"/>
      <c r="EJ30" s="580">
        <v>0</v>
      </c>
      <c r="EK30" s="763"/>
      <c r="EL30" s="580">
        <v>0</v>
      </c>
      <c r="EM30" s="763"/>
      <c r="EN30" s="580">
        <v>0</v>
      </c>
      <c r="EO30" s="763"/>
      <c r="EP30" s="580">
        <v>0</v>
      </c>
      <c r="EQ30" s="763"/>
      <c r="ER30" s="580">
        <v>0</v>
      </c>
      <c r="ES30" s="763"/>
      <c r="ET30" s="580">
        <v>0</v>
      </c>
      <c r="EU30" s="763"/>
      <c r="EV30" s="580">
        <v>0</v>
      </c>
      <c r="EW30" s="763"/>
      <c r="EX30" s="580">
        <v>0</v>
      </c>
      <c r="EY30" s="763"/>
      <c r="EZ30" s="580">
        <v>0</v>
      </c>
      <c r="FA30" s="763"/>
      <c r="FB30" s="580">
        <v>0</v>
      </c>
      <c r="FC30" s="763"/>
      <c r="FD30" s="580">
        <v>0</v>
      </c>
      <c r="FE30" s="763"/>
      <c r="FF30" s="580">
        <v>0</v>
      </c>
      <c r="FG30" s="763"/>
      <c r="FH30" s="582">
        <v>0</v>
      </c>
      <c r="FI30" s="556"/>
      <c r="FJ30" s="557"/>
      <c r="FK30" s="757" t="s">
        <v>397</v>
      </c>
      <c r="FL30" s="764"/>
      <c r="FM30" s="760">
        <v>0</v>
      </c>
      <c r="FN30" s="769">
        <v>0</v>
      </c>
      <c r="FO30" s="770"/>
      <c r="FP30" s="689"/>
      <c r="FQ30" s="765"/>
      <c r="FR30" s="580">
        <v>0</v>
      </c>
      <c r="FS30" s="766"/>
      <c r="FT30" s="765"/>
      <c r="FU30" s="585">
        <v>0</v>
      </c>
      <c r="FV30" s="586"/>
      <c r="FW30" s="587"/>
      <c r="FX30" s="588"/>
      <c r="FY30" s="589"/>
      <c r="FZ30" s="590"/>
      <c r="GA30" s="591"/>
      <c r="GB30" s="592"/>
      <c r="GC30" s="593"/>
      <c r="GD30" s="592"/>
      <c r="GE30" s="594"/>
      <c r="GF30" s="755"/>
      <c r="GG30" s="595"/>
      <c r="GH30" s="595"/>
      <c r="GI30" s="595"/>
      <c r="GJ30" s="608"/>
      <c r="GK30" s="767" t="s">
        <v>489</v>
      </c>
      <c r="GL30" s="767"/>
      <c r="GM30" s="767"/>
      <c r="GN30" s="767"/>
      <c r="GO30" s="523"/>
      <c r="GP30" s="771">
        <v>-0.48</v>
      </c>
      <c r="GQ30" s="410"/>
      <c r="GR30" s="410"/>
      <c r="GS30" s="523"/>
      <c r="GT30" s="756"/>
      <c r="GU30" s="772" t="s">
        <v>349</v>
      </c>
      <c r="GV30" s="773"/>
      <c r="GW30" s="774" t="s">
        <v>490</v>
      </c>
      <c r="GX30" s="774"/>
      <c r="GY30" s="774"/>
      <c r="GZ30" s="774"/>
      <c r="HA30" s="775"/>
      <c r="HB30" s="776" t="s">
        <v>491</v>
      </c>
      <c r="HC30" s="572"/>
      <c r="HD30" s="555"/>
      <c r="HE30" s="412"/>
      <c r="HF30" s="412"/>
    </row>
    <row r="31" spans="1:218" ht="20.100000000000001" customHeight="1">
      <c r="A31" s="545"/>
      <c r="B31" s="777" t="s">
        <v>398</v>
      </c>
      <c r="C31" s="777"/>
      <c r="D31" s="778">
        <v>60500</v>
      </c>
      <c r="E31" s="779">
        <v>1</v>
      </c>
      <c r="F31" s="780" t="s">
        <v>393</v>
      </c>
      <c r="G31" s="762">
        <v>1</v>
      </c>
      <c r="H31" s="580">
        <v>60500</v>
      </c>
      <c r="I31" s="763">
        <v>1</v>
      </c>
      <c r="J31" s="580">
        <v>60500</v>
      </c>
      <c r="K31" s="763">
        <v>1</v>
      </c>
      <c r="L31" s="580">
        <v>60500</v>
      </c>
      <c r="M31" s="763">
        <v>1</v>
      </c>
      <c r="N31" s="580">
        <v>60500</v>
      </c>
      <c r="O31" s="763">
        <v>1</v>
      </c>
      <c r="P31" s="580">
        <v>60500</v>
      </c>
      <c r="Q31" s="763">
        <v>1</v>
      </c>
      <c r="R31" s="580">
        <v>60500</v>
      </c>
      <c r="S31" s="763">
        <v>1</v>
      </c>
      <c r="T31" s="580">
        <v>60500</v>
      </c>
      <c r="U31" s="763">
        <v>1</v>
      </c>
      <c r="V31" s="580">
        <v>60500</v>
      </c>
      <c r="W31" s="763">
        <v>1</v>
      </c>
      <c r="X31" s="580">
        <v>60500</v>
      </c>
      <c r="Y31" s="763">
        <v>1</v>
      </c>
      <c r="Z31" s="580">
        <v>60500</v>
      </c>
      <c r="AA31" s="763">
        <v>1</v>
      </c>
      <c r="AB31" s="580">
        <v>60500</v>
      </c>
      <c r="AC31" s="763">
        <v>1</v>
      </c>
      <c r="AD31" s="580">
        <v>60500</v>
      </c>
      <c r="AE31" s="763">
        <v>1</v>
      </c>
      <c r="AF31" s="580">
        <v>60500</v>
      </c>
      <c r="AG31" s="763">
        <v>1</v>
      </c>
      <c r="AH31" s="580">
        <v>60500</v>
      </c>
      <c r="AI31" s="763">
        <v>1</v>
      </c>
      <c r="AJ31" s="580">
        <v>60500</v>
      </c>
      <c r="AK31" s="763">
        <v>1</v>
      </c>
      <c r="AL31" s="580">
        <v>60500</v>
      </c>
      <c r="AM31" s="763">
        <v>1</v>
      </c>
      <c r="AN31" s="580">
        <v>60500</v>
      </c>
      <c r="AO31" s="763">
        <v>1</v>
      </c>
      <c r="AP31" s="580">
        <v>60500</v>
      </c>
      <c r="AQ31" s="763">
        <v>1</v>
      </c>
      <c r="AR31" s="580">
        <v>60500</v>
      </c>
      <c r="AS31" s="763">
        <v>1</v>
      </c>
      <c r="AT31" s="580">
        <v>60500</v>
      </c>
      <c r="AU31" s="763">
        <v>1</v>
      </c>
      <c r="AV31" s="580">
        <v>60500</v>
      </c>
      <c r="AW31" s="763">
        <v>1</v>
      </c>
      <c r="AX31" s="580">
        <v>60500</v>
      </c>
      <c r="AY31" s="763">
        <v>1</v>
      </c>
      <c r="AZ31" s="580">
        <v>60500</v>
      </c>
      <c r="BA31" s="763">
        <v>1</v>
      </c>
      <c r="BB31" s="582">
        <v>60500</v>
      </c>
      <c r="BC31" s="555"/>
      <c r="BD31" s="545"/>
      <c r="BE31" s="777" t="s">
        <v>398</v>
      </c>
      <c r="BF31" s="777"/>
      <c r="BG31" s="778">
        <v>60500</v>
      </c>
      <c r="BH31" s="779">
        <v>1</v>
      </c>
      <c r="BI31" s="780" t="s">
        <v>393</v>
      </c>
      <c r="BJ31" s="762">
        <v>1</v>
      </c>
      <c r="BK31" s="580">
        <v>60500</v>
      </c>
      <c r="BL31" s="763">
        <v>1</v>
      </c>
      <c r="BM31" s="580">
        <v>60500</v>
      </c>
      <c r="BN31" s="763">
        <v>1</v>
      </c>
      <c r="BO31" s="580">
        <v>60500</v>
      </c>
      <c r="BP31" s="763">
        <v>1</v>
      </c>
      <c r="BQ31" s="580">
        <v>60500</v>
      </c>
      <c r="BR31" s="763">
        <v>1</v>
      </c>
      <c r="BS31" s="580">
        <v>60500</v>
      </c>
      <c r="BT31" s="763">
        <v>1</v>
      </c>
      <c r="BU31" s="580">
        <v>60500</v>
      </c>
      <c r="BV31" s="763">
        <v>1</v>
      </c>
      <c r="BW31" s="580">
        <v>60500</v>
      </c>
      <c r="BX31" s="763">
        <v>1</v>
      </c>
      <c r="BY31" s="580">
        <v>60500</v>
      </c>
      <c r="BZ31" s="763">
        <v>1</v>
      </c>
      <c r="CA31" s="580">
        <v>60500</v>
      </c>
      <c r="CB31" s="763">
        <v>1</v>
      </c>
      <c r="CC31" s="580">
        <v>60500</v>
      </c>
      <c r="CD31" s="763">
        <v>1</v>
      </c>
      <c r="CE31" s="580">
        <v>60500</v>
      </c>
      <c r="CF31" s="763">
        <v>1</v>
      </c>
      <c r="CG31" s="580">
        <v>60500</v>
      </c>
      <c r="CH31" s="763">
        <v>1</v>
      </c>
      <c r="CI31" s="580">
        <v>60500</v>
      </c>
      <c r="CJ31" s="763">
        <v>1</v>
      </c>
      <c r="CK31" s="580">
        <v>60500</v>
      </c>
      <c r="CL31" s="763">
        <v>1</v>
      </c>
      <c r="CM31" s="580">
        <v>60500</v>
      </c>
      <c r="CN31" s="763">
        <v>1</v>
      </c>
      <c r="CO31" s="580">
        <v>60500</v>
      </c>
      <c r="CP31" s="763">
        <v>1</v>
      </c>
      <c r="CQ31" s="580">
        <v>60500</v>
      </c>
      <c r="CR31" s="763">
        <v>1</v>
      </c>
      <c r="CS31" s="580">
        <v>60500</v>
      </c>
      <c r="CT31" s="763">
        <v>1</v>
      </c>
      <c r="CU31" s="580">
        <v>60500</v>
      </c>
      <c r="CV31" s="763">
        <v>1</v>
      </c>
      <c r="CW31" s="580">
        <v>60500</v>
      </c>
      <c r="CX31" s="763">
        <v>1</v>
      </c>
      <c r="CY31" s="580">
        <v>60500</v>
      </c>
      <c r="CZ31" s="763">
        <v>1</v>
      </c>
      <c r="DA31" s="580">
        <v>60500</v>
      </c>
      <c r="DB31" s="763">
        <v>1</v>
      </c>
      <c r="DC31" s="580">
        <v>60500</v>
      </c>
      <c r="DD31" s="763">
        <v>1</v>
      </c>
      <c r="DE31" s="582">
        <v>60500</v>
      </c>
      <c r="DF31" s="555"/>
      <c r="DG31" s="545"/>
      <c r="DH31" s="777" t="s">
        <v>399</v>
      </c>
      <c r="DI31" s="777"/>
      <c r="DJ31" s="778">
        <v>60500</v>
      </c>
      <c r="DK31" s="779">
        <v>1</v>
      </c>
      <c r="DL31" s="780" t="s">
        <v>393</v>
      </c>
      <c r="DM31" s="762">
        <v>1</v>
      </c>
      <c r="DN31" s="580">
        <v>60500</v>
      </c>
      <c r="DO31" s="763">
        <v>1</v>
      </c>
      <c r="DP31" s="580">
        <v>60500</v>
      </c>
      <c r="DQ31" s="763">
        <v>1</v>
      </c>
      <c r="DR31" s="580">
        <v>60500</v>
      </c>
      <c r="DS31" s="763">
        <v>1</v>
      </c>
      <c r="DT31" s="580">
        <v>60500</v>
      </c>
      <c r="DU31" s="763">
        <v>1</v>
      </c>
      <c r="DV31" s="580">
        <v>60500</v>
      </c>
      <c r="DW31" s="763">
        <v>1</v>
      </c>
      <c r="DX31" s="580">
        <v>60500</v>
      </c>
      <c r="DY31" s="763">
        <v>1</v>
      </c>
      <c r="DZ31" s="580">
        <v>60500</v>
      </c>
      <c r="EA31" s="763">
        <v>1</v>
      </c>
      <c r="EB31" s="580">
        <v>60500</v>
      </c>
      <c r="EC31" s="763">
        <v>1</v>
      </c>
      <c r="ED31" s="580">
        <v>60500</v>
      </c>
      <c r="EE31" s="763">
        <v>1</v>
      </c>
      <c r="EF31" s="580">
        <v>60500</v>
      </c>
      <c r="EG31" s="763">
        <v>1</v>
      </c>
      <c r="EH31" s="580">
        <v>60500</v>
      </c>
      <c r="EI31" s="763">
        <v>1</v>
      </c>
      <c r="EJ31" s="580">
        <v>60500</v>
      </c>
      <c r="EK31" s="763">
        <v>1</v>
      </c>
      <c r="EL31" s="580">
        <v>60500</v>
      </c>
      <c r="EM31" s="763">
        <v>1</v>
      </c>
      <c r="EN31" s="580">
        <v>60500</v>
      </c>
      <c r="EO31" s="763">
        <v>1</v>
      </c>
      <c r="EP31" s="580">
        <v>60500</v>
      </c>
      <c r="EQ31" s="763">
        <v>1</v>
      </c>
      <c r="ER31" s="580">
        <v>60500</v>
      </c>
      <c r="ES31" s="763">
        <v>1</v>
      </c>
      <c r="ET31" s="580">
        <v>60500</v>
      </c>
      <c r="EU31" s="763">
        <v>1</v>
      </c>
      <c r="EV31" s="580">
        <v>60500</v>
      </c>
      <c r="EW31" s="763">
        <v>1</v>
      </c>
      <c r="EX31" s="580">
        <v>60500</v>
      </c>
      <c r="EY31" s="763">
        <v>1</v>
      </c>
      <c r="EZ31" s="580">
        <v>60500</v>
      </c>
      <c r="FA31" s="763">
        <v>1</v>
      </c>
      <c r="FB31" s="580">
        <v>60500</v>
      </c>
      <c r="FC31" s="763">
        <v>1</v>
      </c>
      <c r="FD31" s="580">
        <v>60500</v>
      </c>
      <c r="FE31" s="763">
        <v>1</v>
      </c>
      <c r="FF31" s="580">
        <v>60500</v>
      </c>
      <c r="FG31" s="763">
        <v>1</v>
      </c>
      <c r="FH31" s="582">
        <v>60500</v>
      </c>
      <c r="FI31" s="556"/>
      <c r="FJ31" s="557"/>
      <c r="FK31" s="777" t="s">
        <v>398</v>
      </c>
      <c r="FL31" s="777"/>
      <c r="FM31" s="781">
        <v>60500</v>
      </c>
      <c r="FN31" s="779">
        <v>1</v>
      </c>
      <c r="FO31" s="780" t="s">
        <v>393</v>
      </c>
      <c r="FP31" s="689">
        <v>6</v>
      </c>
      <c r="FQ31" s="765">
        <v>1</v>
      </c>
      <c r="FR31" s="580">
        <v>-60500</v>
      </c>
      <c r="FS31" s="766">
        <v>4</v>
      </c>
      <c r="FT31" s="765">
        <v>1</v>
      </c>
      <c r="FU31" s="585">
        <v>-60500</v>
      </c>
      <c r="FV31" s="586"/>
      <c r="FW31" s="587"/>
      <c r="FX31" s="588"/>
      <c r="FY31" s="589"/>
      <c r="FZ31" s="590"/>
      <c r="GA31" s="591"/>
      <c r="GB31" s="592"/>
      <c r="GC31" s="593"/>
      <c r="GD31" s="592"/>
      <c r="GE31" s="594"/>
      <c r="GF31" s="755"/>
      <c r="GG31" s="595"/>
      <c r="GH31" s="595"/>
      <c r="GI31" s="595"/>
      <c r="GJ31" s="410"/>
      <c r="GK31" s="573" t="s">
        <v>492</v>
      </c>
      <c r="GL31" s="410"/>
      <c r="GM31" s="573"/>
      <c r="GN31" s="410"/>
      <c r="GO31" s="573"/>
      <c r="GP31" s="771">
        <v>-0.48</v>
      </c>
      <c r="GQ31" s="410"/>
      <c r="GR31" s="410"/>
      <c r="GS31" s="573"/>
      <c r="GT31" s="756"/>
      <c r="GU31" s="772"/>
      <c r="GV31" s="773"/>
      <c r="GW31" s="782" t="s">
        <v>493</v>
      </c>
      <c r="GX31" s="783" t="s">
        <v>494</v>
      </c>
      <c r="GY31" s="784" t="s">
        <v>495</v>
      </c>
      <c r="GZ31" s="785" t="s">
        <v>496</v>
      </c>
      <c r="HA31" s="785" t="s">
        <v>471</v>
      </c>
      <c r="HB31" s="786"/>
      <c r="HC31" s="572"/>
      <c r="HD31" s="555"/>
      <c r="HE31" s="412"/>
      <c r="HF31" s="412"/>
    </row>
    <row r="32" spans="1:218" ht="20.100000000000001" customHeight="1">
      <c r="A32" s="545"/>
      <c r="B32" s="787" t="s">
        <v>400</v>
      </c>
      <c r="C32" s="788"/>
      <c r="D32" s="778">
        <v>6030</v>
      </c>
      <c r="E32" s="789">
        <v>1</v>
      </c>
      <c r="F32" s="790" t="s">
        <v>393</v>
      </c>
      <c r="G32" s="791">
        <v>1</v>
      </c>
      <c r="H32" s="792">
        <v>6030</v>
      </c>
      <c r="I32" s="793">
        <v>1</v>
      </c>
      <c r="J32" s="792">
        <v>6030</v>
      </c>
      <c r="K32" s="793">
        <v>1</v>
      </c>
      <c r="L32" s="792">
        <v>6030</v>
      </c>
      <c r="M32" s="793">
        <v>1</v>
      </c>
      <c r="N32" s="792">
        <v>6030</v>
      </c>
      <c r="O32" s="793">
        <v>1</v>
      </c>
      <c r="P32" s="792">
        <v>6030</v>
      </c>
      <c r="Q32" s="793">
        <v>1</v>
      </c>
      <c r="R32" s="792">
        <v>6030</v>
      </c>
      <c r="S32" s="793">
        <v>1</v>
      </c>
      <c r="T32" s="792">
        <v>6030</v>
      </c>
      <c r="U32" s="793">
        <v>1</v>
      </c>
      <c r="V32" s="792">
        <v>6030</v>
      </c>
      <c r="W32" s="793">
        <v>1</v>
      </c>
      <c r="X32" s="792">
        <v>6030</v>
      </c>
      <c r="Y32" s="793">
        <v>1</v>
      </c>
      <c r="Z32" s="792">
        <v>6030</v>
      </c>
      <c r="AA32" s="793">
        <v>1</v>
      </c>
      <c r="AB32" s="792">
        <v>6030</v>
      </c>
      <c r="AC32" s="793">
        <v>1</v>
      </c>
      <c r="AD32" s="792">
        <v>6030</v>
      </c>
      <c r="AE32" s="793">
        <v>1</v>
      </c>
      <c r="AF32" s="792">
        <v>6030</v>
      </c>
      <c r="AG32" s="793">
        <v>1</v>
      </c>
      <c r="AH32" s="792">
        <v>6030</v>
      </c>
      <c r="AI32" s="793">
        <v>1</v>
      </c>
      <c r="AJ32" s="792">
        <v>6030</v>
      </c>
      <c r="AK32" s="793">
        <v>1</v>
      </c>
      <c r="AL32" s="792">
        <v>6030</v>
      </c>
      <c r="AM32" s="793">
        <v>1</v>
      </c>
      <c r="AN32" s="792">
        <v>6030</v>
      </c>
      <c r="AO32" s="793">
        <v>1</v>
      </c>
      <c r="AP32" s="792">
        <v>6030</v>
      </c>
      <c r="AQ32" s="793">
        <v>1</v>
      </c>
      <c r="AR32" s="792">
        <v>6030</v>
      </c>
      <c r="AS32" s="793">
        <v>1</v>
      </c>
      <c r="AT32" s="792">
        <v>6030</v>
      </c>
      <c r="AU32" s="793">
        <v>1</v>
      </c>
      <c r="AV32" s="792">
        <v>6030</v>
      </c>
      <c r="AW32" s="793">
        <v>1</v>
      </c>
      <c r="AX32" s="792">
        <v>6030</v>
      </c>
      <c r="AY32" s="793">
        <v>1</v>
      </c>
      <c r="AZ32" s="792">
        <v>6030</v>
      </c>
      <c r="BA32" s="793">
        <v>1</v>
      </c>
      <c r="BB32" s="794">
        <v>6030</v>
      </c>
      <c r="BC32" s="555"/>
      <c r="BD32" s="545"/>
      <c r="BE32" s="787" t="s">
        <v>401</v>
      </c>
      <c r="BF32" s="788"/>
      <c r="BG32" s="778">
        <v>6030</v>
      </c>
      <c r="BH32" s="789">
        <v>1</v>
      </c>
      <c r="BI32" s="790" t="s">
        <v>393</v>
      </c>
      <c r="BJ32" s="791">
        <v>1</v>
      </c>
      <c r="BK32" s="792">
        <v>6030</v>
      </c>
      <c r="BL32" s="793">
        <v>1</v>
      </c>
      <c r="BM32" s="792">
        <v>6030</v>
      </c>
      <c r="BN32" s="793">
        <v>1</v>
      </c>
      <c r="BO32" s="792">
        <v>6030</v>
      </c>
      <c r="BP32" s="793">
        <v>1</v>
      </c>
      <c r="BQ32" s="792">
        <v>6030</v>
      </c>
      <c r="BR32" s="793">
        <v>1</v>
      </c>
      <c r="BS32" s="792">
        <v>6030</v>
      </c>
      <c r="BT32" s="793">
        <v>1</v>
      </c>
      <c r="BU32" s="792">
        <v>6030</v>
      </c>
      <c r="BV32" s="793">
        <v>1</v>
      </c>
      <c r="BW32" s="792">
        <v>6030</v>
      </c>
      <c r="BX32" s="793">
        <v>1</v>
      </c>
      <c r="BY32" s="792">
        <v>6030</v>
      </c>
      <c r="BZ32" s="793">
        <v>1</v>
      </c>
      <c r="CA32" s="792">
        <v>6030</v>
      </c>
      <c r="CB32" s="793">
        <v>1</v>
      </c>
      <c r="CC32" s="792">
        <v>6030</v>
      </c>
      <c r="CD32" s="793">
        <v>1</v>
      </c>
      <c r="CE32" s="792">
        <v>6030</v>
      </c>
      <c r="CF32" s="793">
        <v>1</v>
      </c>
      <c r="CG32" s="792">
        <v>6030</v>
      </c>
      <c r="CH32" s="793">
        <v>1</v>
      </c>
      <c r="CI32" s="792">
        <v>6030</v>
      </c>
      <c r="CJ32" s="793">
        <v>1</v>
      </c>
      <c r="CK32" s="792">
        <v>6030</v>
      </c>
      <c r="CL32" s="793">
        <v>1</v>
      </c>
      <c r="CM32" s="792">
        <v>6030</v>
      </c>
      <c r="CN32" s="793">
        <v>1</v>
      </c>
      <c r="CO32" s="792">
        <v>6030</v>
      </c>
      <c r="CP32" s="793">
        <v>1</v>
      </c>
      <c r="CQ32" s="792">
        <v>6030</v>
      </c>
      <c r="CR32" s="793">
        <v>1</v>
      </c>
      <c r="CS32" s="792">
        <v>6030</v>
      </c>
      <c r="CT32" s="793">
        <v>1</v>
      </c>
      <c r="CU32" s="792">
        <v>6030</v>
      </c>
      <c r="CV32" s="793">
        <v>1</v>
      </c>
      <c r="CW32" s="792">
        <v>6030</v>
      </c>
      <c r="CX32" s="793">
        <v>1</v>
      </c>
      <c r="CY32" s="792">
        <v>6030</v>
      </c>
      <c r="CZ32" s="793">
        <v>1</v>
      </c>
      <c r="DA32" s="792">
        <v>6030</v>
      </c>
      <c r="DB32" s="793">
        <v>1</v>
      </c>
      <c r="DC32" s="792">
        <v>6030</v>
      </c>
      <c r="DD32" s="793">
        <v>1</v>
      </c>
      <c r="DE32" s="794">
        <v>6030</v>
      </c>
      <c r="DF32" s="555"/>
      <c r="DG32" s="545"/>
      <c r="DH32" s="787" t="s">
        <v>400</v>
      </c>
      <c r="DI32" s="788"/>
      <c r="DJ32" s="778">
        <v>6030</v>
      </c>
      <c r="DK32" s="789">
        <v>1</v>
      </c>
      <c r="DL32" s="790" t="s">
        <v>393</v>
      </c>
      <c r="DM32" s="791">
        <v>1</v>
      </c>
      <c r="DN32" s="792">
        <v>6030</v>
      </c>
      <c r="DO32" s="793">
        <v>1</v>
      </c>
      <c r="DP32" s="792">
        <v>6030</v>
      </c>
      <c r="DQ32" s="793">
        <v>1</v>
      </c>
      <c r="DR32" s="792">
        <v>6030</v>
      </c>
      <c r="DS32" s="793">
        <v>1</v>
      </c>
      <c r="DT32" s="792">
        <v>6030</v>
      </c>
      <c r="DU32" s="793">
        <v>1</v>
      </c>
      <c r="DV32" s="792">
        <v>6030</v>
      </c>
      <c r="DW32" s="793">
        <v>1</v>
      </c>
      <c r="DX32" s="792">
        <v>6030</v>
      </c>
      <c r="DY32" s="793">
        <v>1</v>
      </c>
      <c r="DZ32" s="792">
        <v>6030</v>
      </c>
      <c r="EA32" s="793">
        <v>1</v>
      </c>
      <c r="EB32" s="792">
        <v>6030</v>
      </c>
      <c r="EC32" s="793">
        <v>1</v>
      </c>
      <c r="ED32" s="792">
        <v>6030</v>
      </c>
      <c r="EE32" s="793">
        <v>1</v>
      </c>
      <c r="EF32" s="792">
        <v>6030</v>
      </c>
      <c r="EG32" s="793">
        <v>1</v>
      </c>
      <c r="EH32" s="792">
        <v>6030</v>
      </c>
      <c r="EI32" s="793">
        <v>1</v>
      </c>
      <c r="EJ32" s="792">
        <v>6030</v>
      </c>
      <c r="EK32" s="793">
        <v>1</v>
      </c>
      <c r="EL32" s="792">
        <v>6030</v>
      </c>
      <c r="EM32" s="793">
        <v>1</v>
      </c>
      <c r="EN32" s="792">
        <v>6030</v>
      </c>
      <c r="EO32" s="793">
        <v>1</v>
      </c>
      <c r="EP32" s="792">
        <v>6030</v>
      </c>
      <c r="EQ32" s="793">
        <v>1</v>
      </c>
      <c r="ER32" s="792">
        <v>6030</v>
      </c>
      <c r="ES32" s="793">
        <v>1</v>
      </c>
      <c r="ET32" s="792">
        <v>6030</v>
      </c>
      <c r="EU32" s="793">
        <v>1</v>
      </c>
      <c r="EV32" s="792">
        <v>6030</v>
      </c>
      <c r="EW32" s="793">
        <v>1</v>
      </c>
      <c r="EX32" s="792">
        <v>6030</v>
      </c>
      <c r="EY32" s="793">
        <v>1</v>
      </c>
      <c r="EZ32" s="792">
        <v>6030</v>
      </c>
      <c r="FA32" s="793">
        <v>1</v>
      </c>
      <c r="FB32" s="792">
        <v>6030</v>
      </c>
      <c r="FC32" s="793">
        <v>1</v>
      </c>
      <c r="FD32" s="792">
        <v>6030</v>
      </c>
      <c r="FE32" s="793">
        <v>1</v>
      </c>
      <c r="FF32" s="792">
        <v>6030</v>
      </c>
      <c r="FG32" s="793">
        <v>1</v>
      </c>
      <c r="FH32" s="794">
        <v>6030</v>
      </c>
      <c r="FI32" s="556"/>
      <c r="FJ32" s="557"/>
      <c r="FK32" s="787" t="s">
        <v>400</v>
      </c>
      <c r="FL32" s="788"/>
      <c r="FM32" s="781">
        <v>6030</v>
      </c>
      <c r="FN32" s="789">
        <v>1</v>
      </c>
      <c r="FO32" s="790" t="s">
        <v>393</v>
      </c>
      <c r="FP32" s="795">
        <v>6</v>
      </c>
      <c r="FQ32" s="796">
        <v>1</v>
      </c>
      <c r="FR32" s="792">
        <v>-6030</v>
      </c>
      <c r="FS32" s="797">
        <v>4</v>
      </c>
      <c r="FT32" s="796">
        <v>1</v>
      </c>
      <c r="FU32" s="798">
        <v>-6030</v>
      </c>
      <c r="FV32" s="586"/>
      <c r="FW32" s="587"/>
      <c r="FX32" s="799"/>
      <c r="FY32" s="589"/>
      <c r="FZ32" s="800"/>
      <c r="GA32" s="591"/>
      <c r="GB32" s="801"/>
      <c r="GC32" s="593"/>
      <c r="GD32" s="801"/>
      <c r="GE32" s="594"/>
      <c r="GF32" s="755"/>
      <c r="GG32" s="595"/>
      <c r="GH32" s="595"/>
      <c r="GI32" s="595"/>
      <c r="GJ32" s="493"/>
      <c r="GK32" s="494"/>
      <c r="GL32" s="494"/>
      <c r="GM32" s="494"/>
      <c r="GN32" s="494"/>
      <c r="GO32" s="494"/>
      <c r="GP32" s="494"/>
      <c r="GQ32" s="494"/>
      <c r="GR32" s="494"/>
      <c r="GS32" s="406"/>
      <c r="GT32" s="756"/>
      <c r="GU32" s="802"/>
      <c r="GV32" s="803"/>
      <c r="GW32" s="782"/>
      <c r="GX32" s="783"/>
      <c r="GY32" s="784"/>
      <c r="GZ32" s="785"/>
      <c r="HA32" s="785"/>
      <c r="HB32" s="786"/>
      <c r="HC32" s="410"/>
      <c r="HD32" s="555"/>
      <c r="HE32" s="412"/>
      <c r="HF32" s="412"/>
    </row>
    <row r="33" spans="1:219" ht="20.100000000000001" customHeight="1">
      <c r="A33" s="634"/>
      <c r="B33" s="635"/>
      <c r="C33" s="635"/>
      <c r="D33" s="636" t="s">
        <v>402</v>
      </c>
      <c r="E33" s="635"/>
      <c r="F33" s="635"/>
      <c r="G33" s="637"/>
      <c r="H33" s="638">
        <v>68144</v>
      </c>
      <c r="I33" s="639"/>
      <c r="J33" s="638">
        <v>68144</v>
      </c>
      <c r="K33" s="639"/>
      <c r="L33" s="638">
        <v>68144</v>
      </c>
      <c r="M33" s="639"/>
      <c r="N33" s="638">
        <v>68144</v>
      </c>
      <c r="O33" s="639"/>
      <c r="P33" s="638">
        <v>68144</v>
      </c>
      <c r="Q33" s="639"/>
      <c r="R33" s="638">
        <v>68144</v>
      </c>
      <c r="S33" s="639"/>
      <c r="T33" s="638">
        <v>68144</v>
      </c>
      <c r="U33" s="639"/>
      <c r="V33" s="638">
        <v>68144</v>
      </c>
      <c r="W33" s="639"/>
      <c r="X33" s="638">
        <v>68144</v>
      </c>
      <c r="Y33" s="639"/>
      <c r="Z33" s="638">
        <v>68144</v>
      </c>
      <c r="AA33" s="639"/>
      <c r="AB33" s="638">
        <v>68144</v>
      </c>
      <c r="AC33" s="639"/>
      <c r="AD33" s="638">
        <v>68144</v>
      </c>
      <c r="AE33" s="639"/>
      <c r="AF33" s="638">
        <v>68144</v>
      </c>
      <c r="AG33" s="639"/>
      <c r="AH33" s="638">
        <v>68144</v>
      </c>
      <c r="AI33" s="639"/>
      <c r="AJ33" s="638">
        <v>68144</v>
      </c>
      <c r="AK33" s="639"/>
      <c r="AL33" s="638">
        <v>68144</v>
      </c>
      <c r="AM33" s="639"/>
      <c r="AN33" s="638">
        <v>68144</v>
      </c>
      <c r="AO33" s="639"/>
      <c r="AP33" s="638">
        <v>68144</v>
      </c>
      <c r="AQ33" s="639"/>
      <c r="AR33" s="638">
        <v>68144</v>
      </c>
      <c r="AS33" s="639"/>
      <c r="AT33" s="638">
        <v>68144</v>
      </c>
      <c r="AU33" s="639"/>
      <c r="AV33" s="638">
        <v>68144</v>
      </c>
      <c r="AW33" s="639"/>
      <c r="AX33" s="638">
        <v>68144</v>
      </c>
      <c r="AY33" s="639"/>
      <c r="AZ33" s="638">
        <v>68144</v>
      </c>
      <c r="BA33" s="639"/>
      <c r="BB33" s="640">
        <v>68144</v>
      </c>
      <c r="BC33" s="641"/>
      <c r="BD33" s="634"/>
      <c r="BE33" s="635"/>
      <c r="BF33" s="635"/>
      <c r="BG33" s="636" t="s">
        <v>402</v>
      </c>
      <c r="BH33" s="635"/>
      <c r="BI33" s="635"/>
      <c r="BJ33" s="637"/>
      <c r="BK33" s="638">
        <v>68144</v>
      </c>
      <c r="BL33" s="639"/>
      <c r="BM33" s="638">
        <v>68144</v>
      </c>
      <c r="BN33" s="639"/>
      <c r="BO33" s="638">
        <v>68144</v>
      </c>
      <c r="BP33" s="639"/>
      <c r="BQ33" s="638">
        <v>68144</v>
      </c>
      <c r="BR33" s="639"/>
      <c r="BS33" s="638">
        <v>68144</v>
      </c>
      <c r="BT33" s="639"/>
      <c r="BU33" s="638">
        <v>68144</v>
      </c>
      <c r="BV33" s="639"/>
      <c r="BW33" s="638">
        <v>68144</v>
      </c>
      <c r="BX33" s="639"/>
      <c r="BY33" s="638">
        <v>68144</v>
      </c>
      <c r="BZ33" s="639"/>
      <c r="CA33" s="638">
        <v>68144</v>
      </c>
      <c r="CB33" s="639"/>
      <c r="CC33" s="638">
        <v>68144</v>
      </c>
      <c r="CD33" s="639"/>
      <c r="CE33" s="638">
        <v>68144</v>
      </c>
      <c r="CF33" s="639"/>
      <c r="CG33" s="638">
        <v>68144</v>
      </c>
      <c r="CH33" s="639"/>
      <c r="CI33" s="638">
        <v>68144</v>
      </c>
      <c r="CJ33" s="639"/>
      <c r="CK33" s="638">
        <v>68144</v>
      </c>
      <c r="CL33" s="639"/>
      <c r="CM33" s="638">
        <v>68144</v>
      </c>
      <c r="CN33" s="639"/>
      <c r="CO33" s="638">
        <v>68144</v>
      </c>
      <c r="CP33" s="639"/>
      <c r="CQ33" s="638">
        <v>68144</v>
      </c>
      <c r="CR33" s="639"/>
      <c r="CS33" s="638">
        <v>68144</v>
      </c>
      <c r="CT33" s="639"/>
      <c r="CU33" s="638">
        <v>68144</v>
      </c>
      <c r="CV33" s="639"/>
      <c r="CW33" s="638">
        <v>68144</v>
      </c>
      <c r="CX33" s="639"/>
      <c r="CY33" s="638">
        <v>68144</v>
      </c>
      <c r="CZ33" s="639"/>
      <c r="DA33" s="638">
        <v>68144</v>
      </c>
      <c r="DB33" s="639"/>
      <c r="DC33" s="638">
        <v>68144</v>
      </c>
      <c r="DD33" s="639"/>
      <c r="DE33" s="640">
        <v>68144</v>
      </c>
      <c r="DF33" s="641"/>
      <c r="DG33" s="634"/>
      <c r="DH33" s="635"/>
      <c r="DI33" s="635"/>
      <c r="DJ33" s="636" t="s">
        <v>402</v>
      </c>
      <c r="DK33" s="635"/>
      <c r="DL33" s="635"/>
      <c r="DM33" s="637"/>
      <c r="DN33" s="638">
        <v>68144</v>
      </c>
      <c r="DO33" s="639"/>
      <c r="DP33" s="638">
        <v>68144</v>
      </c>
      <c r="DQ33" s="639"/>
      <c r="DR33" s="638">
        <v>68144</v>
      </c>
      <c r="DS33" s="639"/>
      <c r="DT33" s="638">
        <v>68144</v>
      </c>
      <c r="DU33" s="639"/>
      <c r="DV33" s="638">
        <v>68144</v>
      </c>
      <c r="DW33" s="639"/>
      <c r="DX33" s="638">
        <v>68144</v>
      </c>
      <c r="DY33" s="639"/>
      <c r="DZ33" s="638">
        <v>68144</v>
      </c>
      <c r="EA33" s="639"/>
      <c r="EB33" s="638">
        <v>68144</v>
      </c>
      <c r="EC33" s="639"/>
      <c r="ED33" s="638">
        <v>68144</v>
      </c>
      <c r="EE33" s="639"/>
      <c r="EF33" s="638">
        <v>68144</v>
      </c>
      <c r="EG33" s="639"/>
      <c r="EH33" s="638">
        <v>68144</v>
      </c>
      <c r="EI33" s="639"/>
      <c r="EJ33" s="638">
        <v>68144</v>
      </c>
      <c r="EK33" s="639"/>
      <c r="EL33" s="638">
        <v>68144</v>
      </c>
      <c r="EM33" s="639"/>
      <c r="EN33" s="638">
        <v>68144</v>
      </c>
      <c r="EO33" s="639"/>
      <c r="EP33" s="638">
        <v>68144</v>
      </c>
      <c r="EQ33" s="639"/>
      <c r="ER33" s="638">
        <v>68144</v>
      </c>
      <c r="ES33" s="639"/>
      <c r="ET33" s="638">
        <v>68144</v>
      </c>
      <c r="EU33" s="639"/>
      <c r="EV33" s="638">
        <v>68144</v>
      </c>
      <c r="EW33" s="639"/>
      <c r="EX33" s="638">
        <v>68144</v>
      </c>
      <c r="EY33" s="639"/>
      <c r="EZ33" s="638">
        <v>68144</v>
      </c>
      <c r="FA33" s="639"/>
      <c r="FB33" s="638">
        <v>68144</v>
      </c>
      <c r="FC33" s="639"/>
      <c r="FD33" s="638">
        <v>68144</v>
      </c>
      <c r="FE33" s="639"/>
      <c r="FF33" s="638">
        <v>68144</v>
      </c>
      <c r="FG33" s="639"/>
      <c r="FH33" s="640">
        <v>68144</v>
      </c>
      <c r="FI33" s="642"/>
      <c r="FJ33" s="557"/>
      <c r="FK33" s="635"/>
      <c r="FL33" s="635"/>
      <c r="FM33" s="636" t="s">
        <v>402</v>
      </c>
      <c r="FN33" s="635"/>
      <c r="FO33" s="635"/>
      <c r="FP33" s="643"/>
      <c r="FQ33" s="644"/>
      <c r="FR33" s="638">
        <v>-66530</v>
      </c>
      <c r="FS33" s="645"/>
      <c r="FT33" s="644"/>
      <c r="FU33" s="646">
        <v>-66530</v>
      </c>
      <c r="FV33" s="586"/>
      <c r="FW33" s="587"/>
      <c r="FX33" s="799"/>
      <c r="FY33" s="589"/>
      <c r="FZ33" s="800"/>
      <c r="GA33" s="591"/>
      <c r="GB33" s="801"/>
      <c r="GC33" s="593"/>
      <c r="GD33" s="801"/>
      <c r="GE33" s="594"/>
      <c r="GF33" s="647"/>
      <c r="GG33" s="648"/>
      <c r="GH33" s="648"/>
      <c r="GI33" s="648"/>
      <c r="GJ33" s="572"/>
      <c r="GK33" s="523" t="s">
        <v>497</v>
      </c>
      <c r="GL33" s="572"/>
      <c r="GM33" s="523"/>
      <c r="GN33" s="572"/>
      <c r="GO33" s="523"/>
      <c r="GP33" s="523"/>
      <c r="GQ33" s="523"/>
      <c r="GR33" s="572"/>
      <c r="GS33" s="523"/>
      <c r="GT33" s="756"/>
      <c r="GU33" s="804">
        <v>201</v>
      </c>
      <c r="GV33" s="805"/>
      <c r="GW33" s="806">
        <v>0</v>
      </c>
      <c r="GX33" s="807">
        <v>34.479999999999997</v>
      </c>
      <c r="GY33" s="807">
        <v>130.47</v>
      </c>
      <c r="GZ33" s="807">
        <v>0</v>
      </c>
      <c r="HA33" s="807">
        <v>164.95</v>
      </c>
      <c r="HB33" s="808">
        <v>121</v>
      </c>
      <c r="HC33" s="410"/>
      <c r="HD33" s="641"/>
      <c r="HE33" s="412"/>
      <c r="HF33" s="412"/>
    </row>
    <row r="34" spans="1:219" ht="20.100000000000001" customHeight="1">
      <c r="A34" s="809" t="s">
        <v>403</v>
      </c>
      <c r="B34" s="736"/>
      <c r="C34" s="810"/>
      <c r="D34" s="811"/>
      <c r="E34" s="810"/>
      <c r="F34" s="812"/>
      <c r="G34" s="733" t="s">
        <v>404</v>
      </c>
      <c r="H34" s="656" t="s">
        <v>388</v>
      </c>
      <c r="I34" s="734" t="s">
        <v>404</v>
      </c>
      <c r="J34" s="656" t="s">
        <v>385</v>
      </c>
      <c r="K34" s="735" t="s">
        <v>404</v>
      </c>
      <c r="L34" s="656" t="s">
        <v>388</v>
      </c>
      <c r="M34" s="735" t="s">
        <v>404</v>
      </c>
      <c r="N34" s="656" t="s">
        <v>385</v>
      </c>
      <c r="O34" s="735" t="s">
        <v>405</v>
      </c>
      <c r="P34" s="656" t="s">
        <v>385</v>
      </c>
      <c r="Q34" s="735" t="s">
        <v>405</v>
      </c>
      <c r="R34" s="656" t="s">
        <v>385</v>
      </c>
      <c r="S34" s="735" t="s">
        <v>405</v>
      </c>
      <c r="T34" s="656" t="s">
        <v>385</v>
      </c>
      <c r="U34" s="735" t="s">
        <v>404</v>
      </c>
      <c r="V34" s="656" t="s">
        <v>385</v>
      </c>
      <c r="W34" s="735" t="s">
        <v>405</v>
      </c>
      <c r="X34" s="656" t="s">
        <v>385</v>
      </c>
      <c r="Y34" s="735" t="s">
        <v>404</v>
      </c>
      <c r="Z34" s="656" t="s">
        <v>388</v>
      </c>
      <c r="AA34" s="735" t="s">
        <v>404</v>
      </c>
      <c r="AB34" s="656" t="s">
        <v>388</v>
      </c>
      <c r="AC34" s="735" t="s">
        <v>405</v>
      </c>
      <c r="AD34" s="656" t="s">
        <v>385</v>
      </c>
      <c r="AE34" s="735" t="s">
        <v>405</v>
      </c>
      <c r="AF34" s="656" t="s">
        <v>385</v>
      </c>
      <c r="AG34" s="735" t="s">
        <v>404</v>
      </c>
      <c r="AH34" s="656" t="s">
        <v>388</v>
      </c>
      <c r="AI34" s="735" t="s">
        <v>404</v>
      </c>
      <c r="AJ34" s="656" t="s">
        <v>388</v>
      </c>
      <c r="AK34" s="735" t="s">
        <v>405</v>
      </c>
      <c r="AL34" s="656" t="s">
        <v>385</v>
      </c>
      <c r="AM34" s="735" t="s">
        <v>404</v>
      </c>
      <c r="AN34" s="656" t="s">
        <v>385</v>
      </c>
      <c r="AO34" s="735" t="s">
        <v>405</v>
      </c>
      <c r="AP34" s="656" t="s">
        <v>388</v>
      </c>
      <c r="AQ34" s="735" t="s">
        <v>404</v>
      </c>
      <c r="AR34" s="656" t="s">
        <v>385</v>
      </c>
      <c r="AS34" s="735" t="s">
        <v>404</v>
      </c>
      <c r="AT34" s="656" t="s">
        <v>385</v>
      </c>
      <c r="AU34" s="735" t="s">
        <v>405</v>
      </c>
      <c r="AV34" s="656" t="s">
        <v>388</v>
      </c>
      <c r="AW34" s="735" t="s">
        <v>404</v>
      </c>
      <c r="AX34" s="656" t="s">
        <v>385</v>
      </c>
      <c r="AY34" s="735" t="s">
        <v>405</v>
      </c>
      <c r="AZ34" s="656" t="s">
        <v>385</v>
      </c>
      <c r="BA34" s="735" t="s">
        <v>405</v>
      </c>
      <c r="BB34" s="658" t="s">
        <v>385</v>
      </c>
      <c r="BC34" s="716"/>
      <c r="BD34" s="809" t="s">
        <v>406</v>
      </c>
      <c r="BE34" s="813"/>
      <c r="BF34" s="814"/>
      <c r="BG34" s="815"/>
      <c r="BH34" s="814"/>
      <c r="BI34" s="816"/>
      <c r="BJ34" s="733" t="s">
        <v>405</v>
      </c>
      <c r="BK34" s="656" t="s">
        <v>388</v>
      </c>
      <c r="BL34" s="734" t="s">
        <v>405</v>
      </c>
      <c r="BM34" s="656" t="s">
        <v>388</v>
      </c>
      <c r="BN34" s="735" t="s">
        <v>405</v>
      </c>
      <c r="BO34" s="656" t="s">
        <v>388</v>
      </c>
      <c r="BP34" s="735" t="s">
        <v>404</v>
      </c>
      <c r="BQ34" s="656" t="s">
        <v>388</v>
      </c>
      <c r="BR34" s="735" t="s">
        <v>405</v>
      </c>
      <c r="BS34" s="656" t="s">
        <v>388</v>
      </c>
      <c r="BT34" s="735" t="s">
        <v>405</v>
      </c>
      <c r="BU34" s="656" t="s">
        <v>385</v>
      </c>
      <c r="BV34" s="735" t="s">
        <v>405</v>
      </c>
      <c r="BW34" s="656" t="s">
        <v>388</v>
      </c>
      <c r="BX34" s="735" t="s">
        <v>405</v>
      </c>
      <c r="BY34" s="656" t="s">
        <v>388</v>
      </c>
      <c r="BZ34" s="735" t="s">
        <v>404</v>
      </c>
      <c r="CA34" s="656" t="s">
        <v>388</v>
      </c>
      <c r="CB34" s="735" t="s">
        <v>404</v>
      </c>
      <c r="CC34" s="656" t="s">
        <v>385</v>
      </c>
      <c r="CD34" s="735" t="s">
        <v>404</v>
      </c>
      <c r="CE34" s="656" t="s">
        <v>385</v>
      </c>
      <c r="CF34" s="735" t="s">
        <v>404</v>
      </c>
      <c r="CG34" s="656" t="s">
        <v>385</v>
      </c>
      <c r="CH34" s="735" t="s">
        <v>405</v>
      </c>
      <c r="CI34" s="656" t="s">
        <v>385</v>
      </c>
      <c r="CJ34" s="735" t="s">
        <v>405</v>
      </c>
      <c r="CK34" s="656" t="s">
        <v>385</v>
      </c>
      <c r="CL34" s="735" t="s">
        <v>405</v>
      </c>
      <c r="CM34" s="656" t="s">
        <v>385</v>
      </c>
      <c r="CN34" s="735" t="s">
        <v>404</v>
      </c>
      <c r="CO34" s="656" t="s">
        <v>385</v>
      </c>
      <c r="CP34" s="735" t="s">
        <v>404</v>
      </c>
      <c r="CQ34" s="656" t="s">
        <v>385</v>
      </c>
      <c r="CR34" s="735" t="s">
        <v>404</v>
      </c>
      <c r="CS34" s="656" t="s">
        <v>388</v>
      </c>
      <c r="CT34" s="735" t="s">
        <v>404</v>
      </c>
      <c r="CU34" s="656" t="s">
        <v>385</v>
      </c>
      <c r="CV34" s="735" t="s">
        <v>404</v>
      </c>
      <c r="CW34" s="656" t="s">
        <v>388</v>
      </c>
      <c r="CX34" s="735" t="s">
        <v>404</v>
      </c>
      <c r="CY34" s="656" t="s">
        <v>385</v>
      </c>
      <c r="CZ34" s="735" t="s">
        <v>405</v>
      </c>
      <c r="DA34" s="656" t="s">
        <v>385</v>
      </c>
      <c r="DB34" s="735" t="s">
        <v>405</v>
      </c>
      <c r="DC34" s="656" t="s">
        <v>388</v>
      </c>
      <c r="DD34" s="735" t="s">
        <v>404</v>
      </c>
      <c r="DE34" s="658" t="s">
        <v>388</v>
      </c>
      <c r="DF34" s="716"/>
      <c r="DG34" s="809" t="s">
        <v>403</v>
      </c>
      <c r="DH34" s="731"/>
      <c r="DI34" s="817"/>
      <c r="DJ34" s="818"/>
      <c r="DK34" s="817"/>
      <c r="DL34" s="819"/>
      <c r="DM34" s="733" t="s">
        <v>404</v>
      </c>
      <c r="DN34" s="656" t="s">
        <v>388</v>
      </c>
      <c r="DO34" s="734" t="s">
        <v>404</v>
      </c>
      <c r="DP34" s="656" t="s">
        <v>388</v>
      </c>
      <c r="DQ34" s="735" t="s">
        <v>405</v>
      </c>
      <c r="DR34" s="656" t="s">
        <v>388</v>
      </c>
      <c r="DS34" s="735" t="s">
        <v>404</v>
      </c>
      <c r="DT34" s="656" t="s">
        <v>385</v>
      </c>
      <c r="DU34" s="735" t="s">
        <v>404</v>
      </c>
      <c r="DV34" s="656" t="s">
        <v>385</v>
      </c>
      <c r="DW34" s="735" t="s">
        <v>404</v>
      </c>
      <c r="DX34" s="656" t="s">
        <v>388</v>
      </c>
      <c r="DY34" s="735" t="s">
        <v>405</v>
      </c>
      <c r="DZ34" s="656" t="s">
        <v>385</v>
      </c>
      <c r="EA34" s="735" t="s">
        <v>404</v>
      </c>
      <c r="EB34" s="656" t="s">
        <v>385</v>
      </c>
      <c r="EC34" s="735" t="s">
        <v>405</v>
      </c>
      <c r="ED34" s="656" t="s">
        <v>388</v>
      </c>
      <c r="EE34" s="735" t="s">
        <v>404</v>
      </c>
      <c r="EF34" s="656" t="s">
        <v>385</v>
      </c>
      <c r="EG34" s="735" t="s">
        <v>404</v>
      </c>
      <c r="EH34" s="656" t="s">
        <v>385</v>
      </c>
      <c r="EI34" s="735" t="s">
        <v>405</v>
      </c>
      <c r="EJ34" s="656" t="s">
        <v>385</v>
      </c>
      <c r="EK34" s="735" t="s">
        <v>404</v>
      </c>
      <c r="EL34" s="656" t="s">
        <v>385</v>
      </c>
      <c r="EM34" s="735" t="s">
        <v>405</v>
      </c>
      <c r="EN34" s="656" t="s">
        <v>385</v>
      </c>
      <c r="EO34" s="735" t="s">
        <v>405</v>
      </c>
      <c r="EP34" s="656" t="s">
        <v>385</v>
      </c>
      <c r="EQ34" s="735" t="s">
        <v>405</v>
      </c>
      <c r="ER34" s="656" t="s">
        <v>388</v>
      </c>
      <c r="ES34" s="735" t="s">
        <v>405</v>
      </c>
      <c r="ET34" s="656" t="s">
        <v>388</v>
      </c>
      <c r="EU34" s="735" t="s">
        <v>404</v>
      </c>
      <c r="EV34" s="656" t="s">
        <v>388</v>
      </c>
      <c r="EW34" s="735" t="s">
        <v>405</v>
      </c>
      <c r="EX34" s="656" t="s">
        <v>385</v>
      </c>
      <c r="EY34" s="735" t="s">
        <v>405</v>
      </c>
      <c r="EZ34" s="656" t="s">
        <v>385</v>
      </c>
      <c r="FA34" s="735" t="s">
        <v>405</v>
      </c>
      <c r="FB34" s="656" t="s">
        <v>385</v>
      </c>
      <c r="FC34" s="735" t="s">
        <v>404</v>
      </c>
      <c r="FD34" s="656" t="s">
        <v>385</v>
      </c>
      <c r="FE34" s="735" t="s">
        <v>404</v>
      </c>
      <c r="FF34" s="656" t="s">
        <v>385</v>
      </c>
      <c r="FG34" s="735" t="s">
        <v>404</v>
      </c>
      <c r="FH34" s="658" t="s">
        <v>388</v>
      </c>
      <c r="FI34" s="739"/>
      <c r="FJ34" s="820" t="s">
        <v>403</v>
      </c>
      <c r="FK34" s="731"/>
      <c r="FL34" s="817"/>
      <c r="FM34" s="818"/>
      <c r="FN34" s="817"/>
      <c r="FO34" s="819"/>
      <c r="FP34" s="740" t="s">
        <v>407</v>
      </c>
      <c r="FQ34" s="666" t="s">
        <v>404</v>
      </c>
      <c r="FR34" s="656" t="s">
        <v>408</v>
      </c>
      <c r="FS34" s="741" t="s">
        <v>390</v>
      </c>
      <c r="FT34" s="666" t="s">
        <v>404</v>
      </c>
      <c r="FU34" s="668" t="s">
        <v>408</v>
      </c>
      <c r="FV34" s="586"/>
      <c r="FW34" s="587"/>
      <c r="FX34" s="799"/>
      <c r="FY34" s="589"/>
      <c r="FZ34" s="800"/>
      <c r="GA34" s="591"/>
      <c r="GB34" s="801"/>
      <c r="GC34" s="593"/>
      <c r="GD34" s="801"/>
      <c r="GE34" s="594"/>
      <c r="GF34" s="742"/>
      <c r="GG34" s="743"/>
      <c r="GH34" s="743"/>
      <c r="GI34" s="743"/>
      <c r="GJ34" s="572"/>
      <c r="GK34" s="821" t="s">
        <v>498</v>
      </c>
      <c r="GL34" s="821"/>
      <c r="GM34" s="821"/>
      <c r="GN34" s="821"/>
      <c r="GO34" s="821"/>
      <c r="GP34" s="821"/>
      <c r="GQ34" s="608">
        <v>0</v>
      </c>
      <c r="GR34" s="572" t="s">
        <v>293</v>
      </c>
      <c r="GS34" s="573"/>
      <c r="GT34" s="756"/>
      <c r="GU34" s="822"/>
      <c r="GV34" s="823"/>
      <c r="GW34" s="824"/>
      <c r="GX34" s="626"/>
      <c r="GY34" s="626"/>
      <c r="GZ34" s="626"/>
      <c r="HA34" s="626"/>
      <c r="HB34" s="627"/>
      <c r="HC34" s="523"/>
      <c r="HD34" s="716"/>
      <c r="HE34" s="412"/>
      <c r="HF34" s="412"/>
    </row>
    <row r="35" spans="1:219" ht="20.100000000000001" customHeight="1">
      <c r="A35" s="825"/>
      <c r="B35" s="459" t="s">
        <v>409</v>
      </c>
      <c r="C35" s="460"/>
      <c r="D35" s="826">
        <v>0</v>
      </c>
      <c r="E35" s="827">
        <v>0</v>
      </c>
      <c r="F35" s="828"/>
      <c r="G35" s="829"/>
      <c r="H35" s="830">
        <v>0</v>
      </c>
      <c r="I35" s="831"/>
      <c r="J35" s="792">
        <v>0</v>
      </c>
      <c r="K35" s="832"/>
      <c r="L35" s="792">
        <v>0</v>
      </c>
      <c r="M35" s="832"/>
      <c r="N35" s="792">
        <v>0</v>
      </c>
      <c r="O35" s="832"/>
      <c r="P35" s="792">
        <v>0</v>
      </c>
      <c r="Q35" s="832"/>
      <c r="R35" s="792">
        <v>0</v>
      </c>
      <c r="S35" s="832"/>
      <c r="T35" s="792">
        <v>0</v>
      </c>
      <c r="U35" s="832"/>
      <c r="V35" s="792">
        <v>0</v>
      </c>
      <c r="W35" s="832"/>
      <c r="X35" s="792">
        <v>0</v>
      </c>
      <c r="Y35" s="832"/>
      <c r="Z35" s="792">
        <v>0</v>
      </c>
      <c r="AA35" s="832"/>
      <c r="AB35" s="792">
        <v>0</v>
      </c>
      <c r="AC35" s="832"/>
      <c r="AD35" s="792">
        <v>0</v>
      </c>
      <c r="AE35" s="832"/>
      <c r="AF35" s="792">
        <v>0</v>
      </c>
      <c r="AG35" s="832"/>
      <c r="AH35" s="792">
        <v>0</v>
      </c>
      <c r="AI35" s="832"/>
      <c r="AJ35" s="792">
        <v>0</v>
      </c>
      <c r="AK35" s="832"/>
      <c r="AL35" s="792">
        <v>0</v>
      </c>
      <c r="AM35" s="832"/>
      <c r="AN35" s="792">
        <v>0</v>
      </c>
      <c r="AO35" s="832"/>
      <c r="AP35" s="792">
        <v>0</v>
      </c>
      <c r="AQ35" s="832"/>
      <c r="AR35" s="792">
        <v>0</v>
      </c>
      <c r="AS35" s="832"/>
      <c r="AT35" s="792">
        <v>0</v>
      </c>
      <c r="AU35" s="832"/>
      <c r="AV35" s="792">
        <v>0</v>
      </c>
      <c r="AW35" s="832"/>
      <c r="AX35" s="792">
        <v>0</v>
      </c>
      <c r="AY35" s="832"/>
      <c r="AZ35" s="792">
        <v>0</v>
      </c>
      <c r="BA35" s="832"/>
      <c r="BB35" s="833">
        <v>0</v>
      </c>
      <c r="BC35" s="555"/>
      <c r="BD35" s="825"/>
      <c r="BE35" s="459" t="s">
        <v>291</v>
      </c>
      <c r="BF35" s="460"/>
      <c r="BG35" s="826">
        <v>0</v>
      </c>
      <c r="BH35" s="827">
        <v>0</v>
      </c>
      <c r="BI35" s="828"/>
      <c r="BJ35" s="829"/>
      <c r="BK35" s="830">
        <v>0</v>
      </c>
      <c r="BL35" s="831"/>
      <c r="BM35" s="792">
        <v>0</v>
      </c>
      <c r="BN35" s="832"/>
      <c r="BO35" s="792">
        <v>0</v>
      </c>
      <c r="BP35" s="832"/>
      <c r="BQ35" s="792">
        <v>0</v>
      </c>
      <c r="BR35" s="832"/>
      <c r="BS35" s="792">
        <v>0</v>
      </c>
      <c r="BT35" s="832"/>
      <c r="BU35" s="792">
        <v>0</v>
      </c>
      <c r="BV35" s="832"/>
      <c r="BW35" s="792">
        <v>0</v>
      </c>
      <c r="BX35" s="832"/>
      <c r="BY35" s="792">
        <v>0</v>
      </c>
      <c r="BZ35" s="832"/>
      <c r="CA35" s="792">
        <v>0</v>
      </c>
      <c r="CB35" s="832"/>
      <c r="CC35" s="792">
        <v>0</v>
      </c>
      <c r="CD35" s="832"/>
      <c r="CE35" s="792">
        <v>0</v>
      </c>
      <c r="CF35" s="832"/>
      <c r="CG35" s="792">
        <v>0</v>
      </c>
      <c r="CH35" s="832"/>
      <c r="CI35" s="792">
        <v>0</v>
      </c>
      <c r="CJ35" s="832"/>
      <c r="CK35" s="792">
        <v>0</v>
      </c>
      <c r="CL35" s="832"/>
      <c r="CM35" s="792">
        <v>0</v>
      </c>
      <c r="CN35" s="832"/>
      <c r="CO35" s="792">
        <v>0</v>
      </c>
      <c r="CP35" s="832"/>
      <c r="CQ35" s="792">
        <v>0</v>
      </c>
      <c r="CR35" s="832"/>
      <c r="CS35" s="792">
        <v>0</v>
      </c>
      <c r="CT35" s="832"/>
      <c r="CU35" s="792">
        <v>0</v>
      </c>
      <c r="CV35" s="832"/>
      <c r="CW35" s="792">
        <v>0</v>
      </c>
      <c r="CX35" s="832"/>
      <c r="CY35" s="792">
        <v>0</v>
      </c>
      <c r="CZ35" s="832"/>
      <c r="DA35" s="792">
        <v>0</v>
      </c>
      <c r="DB35" s="832"/>
      <c r="DC35" s="792">
        <v>0</v>
      </c>
      <c r="DD35" s="832"/>
      <c r="DE35" s="833">
        <v>0</v>
      </c>
      <c r="DF35" s="555"/>
      <c r="DG35" s="825"/>
      <c r="DH35" s="459" t="s">
        <v>291</v>
      </c>
      <c r="DI35" s="460"/>
      <c r="DJ35" s="826">
        <v>0</v>
      </c>
      <c r="DK35" s="827">
        <v>0</v>
      </c>
      <c r="DL35" s="828"/>
      <c r="DM35" s="829"/>
      <c r="DN35" s="830">
        <v>0</v>
      </c>
      <c r="DO35" s="831"/>
      <c r="DP35" s="792">
        <v>0</v>
      </c>
      <c r="DQ35" s="832"/>
      <c r="DR35" s="792">
        <v>0</v>
      </c>
      <c r="DS35" s="832"/>
      <c r="DT35" s="792">
        <v>0</v>
      </c>
      <c r="DU35" s="832"/>
      <c r="DV35" s="792">
        <v>0</v>
      </c>
      <c r="DW35" s="832"/>
      <c r="DX35" s="792">
        <v>0</v>
      </c>
      <c r="DY35" s="832"/>
      <c r="DZ35" s="792">
        <v>0</v>
      </c>
      <c r="EA35" s="832"/>
      <c r="EB35" s="792">
        <v>0</v>
      </c>
      <c r="EC35" s="832"/>
      <c r="ED35" s="792">
        <v>0</v>
      </c>
      <c r="EE35" s="832"/>
      <c r="EF35" s="792">
        <v>0</v>
      </c>
      <c r="EG35" s="832"/>
      <c r="EH35" s="792">
        <v>0</v>
      </c>
      <c r="EI35" s="832"/>
      <c r="EJ35" s="792">
        <v>0</v>
      </c>
      <c r="EK35" s="832"/>
      <c r="EL35" s="792">
        <v>0</v>
      </c>
      <c r="EM35" s="832"/>
      <c r="EN35" s="792">
        <v>0</v>
      </c>
      <c r="EO35" s="832"/>
      <c r="EP35" s="792">
        <v>0</v>
      </c>
      <c r="EQ35" s="832"/>
      <c r="ER35" s="792">
        <v>0</v>
      </c>
      <c r="ES35" s="832"/>
      <c r="ET35" s="792">
        <v>0</v>
      </c>
      <c r="EU35" s="832"/>
      <c r="EV35" s="792">
        <v>0</v>
      </c>
      <c r="EW35" s="832"/>
      <c r="EX35" s="792">
        <v>0</v>
      </c>
      <c r="EY35" s="832"/>
      <c r="EZ35" s="792">
        <v>0</v>
      </c>
      <c r="FA35" s="832"/>
      <c r="FB35" s="792">
        <v>0</v>
      </c>
      <c r="FC35" s="832"/>
      <c r="FD35" s="792">
        <v>0</v>
      </c>
      <c r="FE35" s="832"/>
      <c r="FF35" s="792">
        <v>0</v>
      </c>
      <c r="FG35" s="832"/>
      <c r="FH35" s="833">
        <v>0</v>
      </c>
      <c r="FI35" s="556"/>
      <c r="FJ35" s="834"/>
      <c r="FK35" s="459" t="s">
        <v>291</v>
      </c>
      <c r="FL35" s="460"/>
      <c r="FM35" s="826">
        <v>0</v>
      </c>
      <c r="FN35" s="827">
        <v>0</v>
      </c>
      <c r="FO35" s="828"/>
      <c r="FP35" s="835"/>
      <c r="FQ35" s="831"/>
      <c r="FR35" s="830">
        <v>0</v>
      </c>
      <c r="FS35" s="836"/>
      <c r="FT35" s="831"/>
      <c r="FU35" s="798">
        <v>0</v>
      </c>
      <c r="FV35" s="586"/>
      <c r="FW35" s="587"/>
      <c r="FX35" s="799"/>
      <c r="FY35" s="589"/>
      <c r="FZ35" s="800"/>
      <c r="GA35" s="591"/>
      <c r="GB35" s="801"/>
      <c r="GC35" s="593"/>
      <c r="GD35" s="801"/>
      <c r="GE35" s="594"/>
      <c r="GF35" s="837"/>
      <c r="GG35" s="595"/>
      <c r="GH35" s="595"/>
      <c r="GI35" s="595"/>
      <c r="GJ35" s="523"/>
      <c r="GK35" s="523" t="s">
        <v>499</v>
      </c>
      <c r="GL35" s="523"/>
      <c r="GM35" s="572"/>
      <c r="GN35" s="523"/>
      <c r="GO35" s="572"/>
      <c r="GP35" s="572"/>
      <c r="GQ35" s="572"/>
      <c r="GR35" s="572"/>
      <c r="GS35" s="406"/>
      <c r="GT35" s="756"/>
      <c r="GU35" s="822"/>
      <c r="GV35" s="823"/>
      <c r="GW35" s="824"/>
      <c r="GX35" s="626"/>
      <c r="GY35" s="626"/>
      <c r="GZ35" s="626"/>
      <c r="HA35" s="626"/>
      <c r="HB35" s="627"/>
      <c r="HC35" s="523"/>
      <c r="HD35" s="555"/>
      <c r="HE35" s="412"/>
      <c r="HF35" s="412"/>
    </row>
    <row r="36" spans="1:219" ht="20.100000000000001" customHeight="1">
      <c r="A36" s="825"/>
      <c r="B36" s="635"/>
      <c r="C36" s="635"/>
      <c r="D36" s="636" t="s">
        <v>292</v>
      </c>
      <c r="E36" s="635"/>
      <c r="F36" s="635"/>
      <c r="G36" s="838"/>
      <c r="H36" s="839">
        <v>0</v>
      </c>
      <c r="I36" s="840"/>
      <c r="J36" s="841">
        <v>0</v>
      </c>
      <c r="K36" s="842"/>
      <c r="L36" s="841">
        <v>0</v>
      </c>
      <c r="M36" s="842"/>
      <c r="N36" s="841">
        <v>0</v>
      </c>
      <c r="O36" s="842"/>
      <c r="P36" s="841">
        <v>0</v>
      </c>
      <c r="Q36" s="842"/>
      <c r="R36" s="841">
        <v>0</v>
      </c>
      <c r="S36" s="842"/>
      <c r="T36" s="841">
        <v>0</v>
      </c>
      <c r="U36" s="842"/>
      <c r="V36" s="841">
        <v>0</v>
      </c>
      <c r="W36" s="842"/>
      <c r="X36" s="841">
        <v>0</v>
      </c>
      <c r="Y36" s="842"/>
      <c r="Z36" s="841">
        <v>0</v>
      </c>
      <c r="AA36" s="842"/>
      <c r="AB36" s="841">
        <v>0</v>
      </c>
      <c r="AC36" s="842"/>
      <c r="AD36" s="841">
        <v>0</v>
      </c>
      <c r="AE36" s="842"/>
      <c r="AF36" s="841">
        <v>0</v>
      </c>
      <c r="AG36" s="842"/>
      <c r="AH36" s="841">
        <v>0</v>
      </c>
      <c r="AI36" s="842"/>
      <c r="AJ36" s="841">
        <v>0</v>
      </c>
      <c r="AK36" s="842"/>
      <c r="AL36" s="841">
        <v>0</v>
      </c>
      <c r="AM36" s="842"/>
      <c r="AN36" s="841">
        <v>0</v>
      </c>
      <c r="AO36" s="842"/>
      <c r="AP36" s="841">
        <v>0</v>
      </c>
      <c r="AQ36" s="842"/>
      <c r="AR36" s="841">
        <v>0</v>
      </c>
      <c r="AS36" s="842"/>
      <c r="AT36" s="841">
        <v>0</v>
      </c>
      <c r="AU36" s="842"/>
      <c r="AV36" s="841">
        <v>0</v>
      </c>
      <c r="AW36" s="842"/>
      <c r="AX36" s="841">
        <v>0</v>
      </c>
      <c r="AY36" s="842"/>
      <c r="AZ36" s="841">
        <v>0</v>
      </c>
      <c r="BA36" s="842"/>
      <c r="BB36" s="843">
        <v>0</v>
      </c>
      <c r="BC36" s="641"/>
      <c r="BD36" s="825"/>
      <c r="BE36" s="635"/>
      <c r="BF36" s="635"/>
      <c r="BG36" s="636" t="s">
        <v>410</v>
      </c>
      <c r="BH36" s="635"/>
      <c r="BI36" s="635"/>
      <c r="BJ36" s="838"/>
      <c r="BK36" s="839">
        <v>0</v>
      </c>
      <c r="BL36" s="840"/>
      <c r="BM36" s="841">
        <v>0</v>
      </c>
      <c r="BN36" s="842"/>
      <c r="BO36" s="841">
        <v>0</v>
      </c>
      <c r="BP36" s="842"/>
      <c r="BQ36" s="841">
        <v>0</v>
      </c>
      <c r="BR36" s="842"/>
      <c r="BS36" s="841">
        <v>0</v>
      </c>
      <c r="BT36" s="842"/>
      <c r="BU36" s="841">
        <v>0</v>
      </c>
      <c r="BV36" s="842"/>
      <c r="BW36" s="841">
        <v>0</v>
      </c>
      <c r="BX36" s="842"/>
      <c r="BY36" s="841">
        <v>0</v>
      </c>
      <c r="BZ36" s="842"/>
      <c r="CA36" s="841">
        <v>0</v>
      </c>
      <c r="CB36" s="842"/>
      <c r="CC36" s="841">
        <v>0</v>
      </c>
      <c r="CD36" s="842"/>
      <c r="CE36" s="841">
        <v>0</v>
      </c>
      <c r="CF36" s="842"/>
      <c r="CG36" s="841">
        <v>0</v>
      </c>
      <c r="CH36" s="842"/>
      <c r="CI36" s="841">
        <v>0</v>
      </c>
      <c r="CJ36" s="842"/>
      <c r="CK36" s="841">
        <v>0</v>
      </c>
      <c r="CL36" s="842"/>
      <c r="CM36" s="841">
        <v>0</v>
      </c>
      <c r="CN36" s="842"/>
      <c r="CO36" s="841">
        <v>0</v>
      </c>
      <c r="CP36" s="842"/>
      <c r="CQ36" s="841">
        <v>0</v>
      </c>
      <c r="CR36" s="842"/>
      <c r="CS36" s="841">
        <v>0</v>
      </c>
      <c r="CT36" s="842"/>
      <c r="CU36" s="841">
        <v>0</v>
      </c>
      <c r="CV36" s="842"/>
      <c r="CW36" s="841">
        <v>0</v>
      </c>
      <c r="CX36" s="842"/>
      <c r="CY36" s="841">
        <v>0</v>
      </c>
      <c r="CZ36" s="842"/>
      <c r="DA36" s="841">
        <v>0</v>
      </c>
      <c r="DB36" s="842"/>
      <c r="DC36" s="841">
        <v>0</v>
      </c>
      <c r="DD36" s="842"/>
      <c r="DE36" s="843">
        <v>0</v>
      </c>
      <c r="DF36" s="641"/>
      <c r="DG36" s="825"/>
      <c r="DH36" s="635"/>
      <c r="DI36" s="635"/>
      <c r="DJ36" s="636" t="s">
        <v>410</v>
      </c>
      <c r="DK36" s="635"/>
      <c r="DL36" s="635"/>
      <c r="DM36" s="838"/>
      <c r="DN36" s="839">
        <v>0</v>
      </c>
      <c r="DO36" s="840"/>
      <c r="DP36" s="841">
        <v>0</v>
      </c>
      <c r="DQ36" s="842"/>
      <c r="DR36" s="841">
        <v>0</v>
      </c>
      <c r="DS36" s="842"/>
      <c r="DT36" s="841">
        <v>0</v>
      </c>
      <c r="DU36" s="842"/>
      <c r="DV36" s="841">
        <v>0</v>
      </c>
      <c r="DW36" s="842"/>
      <c r="DX36" s="841">
        <v>0</v>
      </c>
      <c r="DY36" s="842"/>
      <c r="DZ36" s="841">
        <v>0</v>
      </c>
      <c r="EA36" s="842"/>
      <c r="EB36" s="841">
        <v>0</v>
      </c>
      <c r="EC36" s="842"/>
      <c r="ED36" s="841">
        <v>0</v>
      </c>
      <c r="EE36" s="842"/>
      <c r="EF36" s="841">
        <v>0</v>
      </c>
      <c r="EG36" s="842"/>
      <c r="EH36" s="841">
        <v>0</v>
      </c>
      <c r="EI36" s="842"/>
      <c r="EJ36" s="841">
        <v>0</v>
      </c>
      <c r="EK36" s="842"/>
      <c r="EL36" s="841">
        <v>0</v>
      </c>
      <c r="EM36" s="842"/>
      <c r="EN36" s="841">
        <v>0</v>
      </c>
      <c r="EO36" s="842"/>
      <c r="EP36" s="841">
        <v>0</v>
      </c>
      <c r="EQ36" s="842"/>
      <c r="ER36" s="841">
        <v>0</v>
      </c>
      <c r="ES36" s="842"/>
      <c r="ET36" s="841">
        <v>0</v>
      </c>
      <c r="EU36" s="842"/>
      <c r="EV36" s="841">
        <v>0</v>
      </c>
      <c r="EW36" s="842"/>
      <c r="EX36" s="841">
        <v>0</v>
      </c>
      <c r="EY36" s="842"/>
      <c r="EZ36" s="841">
        <v>0</v>
      </c>
      <c r="FA36" s="842"/>
      <c r="FB36" s="841">
        <v>0</v>
      </c>
      <c r="FC36" s="842"/>
      <c r="FD36" s="841">
        <v>0</v>
      </c>
      <c r="FE36" s="842"/>
      <c r="FF36" s="841">
        <v>0</v>
      </c>
      <c r="FG36" s="842"/>
      <c r="FH36" s="843">
        <v>0</v>
      </c>
      <c r="FI36" s="642"/>
      <c r="FJ36" s="834"/>
      <c r="FK36" s="635"/>
      <c r="FL36" s="635"/>
      <c r="FM36" s="636" t="s">
        <v>410</v>
      </c>
      <c r="FN36" s="635"/>
      <c r="FO36" s="635"/>
      <c r="FP36" s="643"/>
      <c r="FQ36" s="840"/>
      <c r="FR36" s="839">
        <v>0</v>
      </c>
      <c r="FS36" s="844"/>
      <c r="FT36" s="840"/>
      <c r="FU36" s="845">
        <v>0</v>
      </c>
      <c r="FV36" s="586"/>
      <c r="FW36" s="587"/>
      <c r="FX36" s="799"/>
      <c r="FY36" s="589"/>
      <c r="FZ36" s="800"/>
      <c r="GA36" s="591"/>
      <c r="GB36" s="801"/>
      <c r="GC36" s="593"/>
      <c r="GD36" s="801"/>
      <c r="GE36" s="594"/>
      <c r="GF36" s="647"/>
      <c r="GG36" s="648"/>
      <c r="GH36" s="648"/>
      <c r="GI36" s="648"/>
      <c r="GJ36" s="523"/>
      <c r="GK36" s="821" t="s">
        <v>500</v>
      </c>
      <c r="GL36" s="821"/>
      <c r="GM36" s="821"/>
      <c r="GN36" s="821"/>
      <c r="GO36" s="821"/>
      <c r="GP36" s="821"/>
      <c r="GQ36" s="608">
        <v>10</v>
      </c>
      <c r="GR36" s="572" t="s">
        <v>293</v>
      </c>
      <c r="GS36" s="523"/>
      <c r="GT36" s="756"/>
      <c r="GU36" s="822"/>
      <c r="GV36" s="823"/>
      <c r="GW36" s="824"/>
      <c r="GX36" s="626"/>
      <c r="GY36" s="626"/>
      <c r="GZ36" s="626"/>
      <c r="HA36" s="626"/>
      <c r="HB36" s="627"/>
      <c r="HC36" s="523"/>
      <c r="HD36" s="641"/>
      <c r="HE36" s="412"/>
      <c r="HF36" s="412"/>
    </row>
    <row r="37" spans="1:219" ht="24" customHeight="1">
      <c r="A37" s="846" t="s">
        <v>411</v>
      </c>
      <c r="B37" s="847"/>
      <c r="C37" s="848" t="s">
        <v>412</v>
      </c>
      <c r="D37" s="849"/>
      <c r="E37" s="850" t="s">
        <v>413</v>
      </c>
      <c r="F37" s="851"/>
      <c r="G37" s="655" t="s">
        <v>404</v>
      </c>
      <c r="H37" s="656" t="s">
        <v>414</v>
      </c>
      <c r="I37" s="657" t="s">
        <v>404</v>
      </c>
      <c r="J37" s="656" t="s">
        <v>415</v>
      </c>
      <c r="K37" s="657" t="s">
        <v>404</v>
      </c>
      <c r="L37" s="656" t="s">
        <v>415</v>
      </c>
      <c r="M37" s="657" t="s">
        <v>405</v>
      </c>
      <c r="N37" s="656" t="s">
        <v>415</v>
      </c>
      <c r="O37" s="657" t="s">
        <v>405</v>
      </c>
      <c r="P37" s="656" t="s">
        <v>415</v>
      </c>
      <c r="Q37" s="657" t="s">
        <v>404</v>
      </c>
      <c r="R37" s="656" t="s">
        <v>415</v>
      </c>
      <c r="S37" s="657" t="s">
        <v>404</v>
      </c>
      <c r="T37" s="656" t="s">
        <v>416</v>
      </c>
      <c r="U37" s="657" t="s">
        <v>405</v>
      </c>
      <c r="V37" s="656" t="s">
        <v>415</v>
      </c>
      <c r="W37" s="657" t="s">
        <v>404</v>
      </c>
      <c r="X37" s="656" t="s">
        <v>415</v>
      </c>
      <c r="Y37" s="657" t="s">
        <v>404</v>
      </c>
      <c r="Z37" s="656" t="s">
        <v>415</v>
      </c>
      <c r="AA37" s="657" t="s">
        <v>405</v>
      </c>
      <c r="AB37" s="656" t="s">
        <v>416</v>
      </c>
      <c r="AC37" s="657" t="s">
        <v>405</v>
      </c>
      <c r="AD37" s="656" t="s">
        <v>415</v>
      </c>
      <c r="AE37" s="657" t="s">
        <v>405</v>
      </c>
      <c r="AF37" s="656" t="s">
        <v>416</v>
      </c>
      <c r="AG37" s="657" t="s">
        <v>405</v>
      </c>
      <c r="AH37" s="656" t="s">
        <v>415</v>
      </c>
      <c r="AI37" s="657" t="s">
        <v>405</v>
      </c>
      <c r="AJ37" s="656" t="s">
        <v>415</v>
      </c>
      <c r="AK37" s="657" t="s">
        <v>404</v>
      </c>
      <c r="AL37" s="656" t="s">
        <v>416</v>
      </c>
      <c r="AM37" s="657" t="s">
        <v>404</v>
      </c>
      <c r="AN37" s="656" t="s">
        <v>416</v>
      </c>
      <c r="AO37" s="657" t="s">
        <v>404</v>
      </c>
      <c r="AP37" s="656" t="s">
        <v>416</v>
      </c>
      <c r="AQ37" s="657" t="s">
        <v>405</v>
      </c>
      <c r="AR37" s="656" t="s">
        <v>415</v>
      </c>
      <c r="AS37" s="657" t="s">
        <v>404</v>
      </c>
      <c r="AT37" s="656" t="s">
        <v>415</v>
      </c>
      <c r="AU37" s="657" t="s">
        <v>405</v>
      </c>
      <c r="AV37" s="656" t="s">
        <v>415</v>
      </c>
      <c r="AW37" s="657" t="s">
        <v>404</v>
      </c>
      <c r="AX37" s="656" t="s">
        <v>415</v>
      </c>
      <c r="AY37" s="657" t="s">
        <v>405</v>
      </c>
      <c r="AZ37" s="656" t="s">
        <v>415</v>
      </c>
      <c r="BA37" s="657" t="s">
        <v>405</v>
      </c>
      <c r="BB37" s="658" t="s">
        <v>416</v>
      </c>
      <c r="BC37" s="716"/>
      <c r="BD37" s="846" t="s">
        <v>411</v>
      </c>
      <c r="BE37" s="847"/>
      <c r="BF37" s="848" t="s">
        <v>417</v>
      </c>
      <c r="BG37" s="849"/>
      <c r="BH37" s="850" t="s">
        <v>418</v>
      </c>
      <c r="BI37" s="851"/>
      <c r="BJ37" s="655" t="s">
        <v>405</v>
      </c>
      <c r="BK37" s="656" t="s">
        <v>294</v>
      </c>
      <c r="BL37" s="657" t="s">
        <v>405</v>
      </c>
      <c r="BM37" s="656" t="s">
        <v>416</v>
      </c>
      <c r="BN37" s="657" t="s">
        <v>404</v>
      </c>
      <c r="BO37" s="656" t="s">
        <v>415</v>
      </c>
      <c r="BP37" s="657" t="s">
        <v>405</v>
      </c>
      <c r="BQ37" s="656" t="s">
        <v>415</v>
      </c>
      <c r="BR37" s="657" t="s">
        <v>405</v>
      </c>
      <c r="BS37" s="656" t="s">
        <v>415</v>
      </c>
      <c r="BT37" s="657" t="s">
        <v>404</v>
      </c>
      <c r="BU37" s="656" t="s">
        <v>416</v>
      </c>
      <c r="BV37" s="657" t="s">
        <v>405</v>
      </c>
      <c r="BW37" s="656" t="s">
        <v>416</v>
      </c>
      <c r="BX37" s="657" t="s">
        <v>405</v>
      </c>
      <c r="BY37" s="656" t="s">
        <v>416</v>
      </c>
      <c r="BZ37" s="657" t="s">
        <v>405</v>
      </c>
      <c r="CA37" s="656" t="s">
        <v>415</v>
      </c>
      <c r="CB37" s="657" t="s">
        <v>404</v>
      </c>
      <c r="CC37" s="656" t="s">
        <v>415</v>
      </c>
      <c r="CD37" s="657" t="s">
        <v>405</v>
      </c>
      <c r="CE37" s="656" t="s">
        <v>415</v>
      </c>
      <c r="CF37" s="657" t="s">
        <v>404</v>
      </c>
      <c r="CG37" s="656" t="s">
        <v>415</v>
      </c>
      <c r="CH37" s="657" t="s">
        <v>405</v>
      </c>
      <c r="CI37" s="656" t="s">
        <v>415</v>
      </c>
      <c r="CJ37" s="657" t="s">
        <v>405</v>
      </c>
      <c r="CK37" s="656" t="s">
        <v>416</v>
      </c>
      <c r="CL37" s="657" t="s">
        <v>404</v>
      </c>
      <c r="CM37" s="656" t="s">
        <v>416</v>
      </c>
      <c r="CN37" s="657" t="s">
        <v>404</v>
      </c>
      <c r="CO37" s="656" t="s">
        <v>416</v>
      </c>
      <c r="CP37" s="657" t="s">
        <v>404</v>
      </c>
      <c r="CQ37" s="656" t="s">
        <v>415</v>
      </c>
      <c r="CR37" s="657" t="s">
        <v>405</v>
      </c>
      <c r="CS37" s="656" t="s">
        <v>416</v>
      </c>
      <c r="CT37" s="657" t="s">
        <v>405</v>
      </c>
      <c r="CU37" s="656" t="s">
        <v>415</v>
      </c>
      <c r="CV37" s="657" t="s">
        <v>405</v>
      </c>
      <c r="CW37" s="656" t="s">
        <v>416</v>
      </c>
      <c r="CX37" s="657" t="s">
        <v>405</v>
      </c>
      <c r="CY37" s="656" t="s">
        <v>415</v>
      </c>
      <c r="CZ37" s="657" t="s">
        <v>405</v>
      </c>
      <c r="DA37" s="656" t="s">
        <v>415</v>
      </c>
      <c r="DB37" s="657" t="s">
        <v>404</v>
      </c>
      <c r="DC37" s="656" t="s">
        <v>416</v>
      </c>
      <c r="DD37" s="657" t="s">
        <v>405</v>
      </c>
      <c r="DE37" s="658" t="s">
        <v>415</v>
      </c>
      <c r="DF37" s="716"/>
      <c r="DG37" s="846" t="s">
        <v>419</v>
      </c>
      <c r="DH37" s="847"/>
      <c r="DI37" s="848" t="s">
        <v>417</v>
      </c>
      <c r="DJ37" s="849"/>
      <c r="DK37" s="850" t="s">
        <v>418</v>
      </c>
      <c r="DL37" s="851"/>
      <c r="DM37" s="655" t="s">
        <v>405</v>
      </c>
      <c r="DN37" s="656" t="s">
        <v>294</v>
      </c>
      <c r="DO37" s="657" t="s">
        <v>405</v>
      </c>
      <c r="DP37" s="656" t="s">
        <v>416</v>
      </c>
      <c r="DQ37" s="657" t="s">
        <v>404</v>
      </c>
      <c r="DR37" s="656" t="s">
        <v>416</v>
      </c>
      <c r="DS37" s="657" t="s">
        <v>405</v>
      </c>
      <c r="DT37" s="656" t="s">
        <v>416</v>
      </c>
      <c r="DU37" s="657" t="s">
        <v>404</v>
      </c>
      <c r="DV37" s="656" t="s">
        <v>415</v>
      </c>
      <c r="DW37" s="657" t="s">
        <v>404</v>
      </c>
      <c r="DX37" s="656" t="s">
        <v>415</v>
      </c>
      <c r="DY37" s="657" t="s">
        <v>405</v>
      </c>
      <c r="DZ37" s="656" t="s">
        <v>416</v>
      </c>
      <c r="EA37" s="657" t="s">
        <v>404</v>
      </c>
      <c r="EB37" s="656" t="s">
        <v>416</v>
      </c>
      <c r="EC37" s="657" t="s">
        <v>404</v>
      </c>
      <c r="ED37" s="656" t="s">
        <v>416</v>
      </c>
      <c r="EE37" s="657" t="s">
        <v>404</v>
      </c>
      <c r="EF37" s="656" t="s">
        <v>415</v>
      </c>
      <c r="EG37" s="657" t="s">
        <v>405</v>
      </c>
      <c r="EH37" s="656" t="s">
        <v>416</v>
      </c>
      <c r="EI37" s="657" t="s">
        <v>404</v>
      </c>
      <c r="EJ37" s="656" t="s">
        <v>416</v>
      </c>
      <c r="EK37" s="657" t="s">
        <v>405</v>
      </c>
      <c r="EL37" s="656" t="s">
        <v>415</v>
      </c>
      <c r="EM37" s="657" t="s">
        <v>404</v>
      </c>
      <c r="EN37" s="656" t="s">
        <v>415</v>
      </c>
      <c r="EO37" s="657" t="s">
        <v>404</v>
      </c>
      <c r="EP37" s="656" t="s">
        <v>416</v>
      </c>
      <c r="EQ37" s="657" t="s">
        <v>405</v>
      </c>
      <c r="ER37" s="656" t="s">
        <v>416</v>
      </c>
      <c r="ES37" s="657" t="s">
        <v>404</v>
      </c>
      <c r="ET37" s="656" t="s">
        <v>415</v>
      </c>
      <c r="EU37" s="657" t="s">
        <v>405</v>
      </c>
      <c r="EV37" s="656" t="s">
        <v>416</v>
      </c>
      <c r="EW37" s="657" t="s">
        <v>405</v>
      </c>
      <c r="EX37" s="656" t="s">
        <v>416</v>
      </c>
      <c r="EY37" s="657" t="s">
        <v>405</v>
      </c>
      <c r="EZ37" s="656" t="s">
        <v>415</v>
      </c>
      <c r="FA37" s="657" t="s">
        <v>405</v>
      </c>
      <c r="FB37" s="656" t="s">
        <v>415</v>
      </c>
      <c r="FC37" s="657" t="s">
        <v>404</v>
      </c>
      <c r="FD37" s="656" t="s">
        <v>415</v>
      </c>
      <c r="FE37" s="657" t="s">
        <v>405</v>
      </c>
      <c r="FF37" s="656" t="s">
        <v>416</v>
      </c>
      <c r="FG37" s="657" t="s">
        <v>405</v>
      </c>
      <c r="FH37" s="658" t="s">
        <v>416</v>
      </c>
      <c r="FI37" s="739"/>
      <c r="FJ37" s="820" t="s">
        <v>411</v>
      </c>
      <c r="FK37" s="847"/>
      <c r="FL37" s="848" t="s">
        <v>412</v>
      </c>
      <c r="FM37" s="849"/>
      <c r="FN37" s="850" t="s">
        <v>418</v>
      </c>
      <c r="FO37" s="851"/>
      <c r="FP37" s="665"/>
      <c r="FQ37" s="852" t="s">
        <v>420</v>
      </c>
      <c r="FR37" s="656" t="s">
        <v>415</v>
      </c>
      <c r="FS37" s="667"/>
      <c r="FT37" s="852" t="s">
        <v>420</v>
      </c>
      <c r="FU37" s="668" t="s">
        <v>415</v>
      </c>
      <c r="FV37" s="586"/>
      <c r="FW37" s="587"/>
      <c r="FX37" s="799"/>
      <c r="FY37" s="589"/>
      <c r="FZ37" s="800"/>
      <c r="GA37" s="591"/>
      <c r="GB37" s="801"/>
      <c r="GC37" s="593"/>
      <c r="GD37" s="801"/>
      <c r="GE37" s="594"/>
      <c r="GF37" s="853"/>
      <c r="GG37" s="743"/>
      <c r="GH37" s="743"/>
      <c r="GI37" s="743"/>
      <c r="GJ37" s="523"/>
      <c r="GK37" s="410"/>
      <c r="GL37" s="573"/>
      <c r="GM37" s="410"/>
      <c r="GN37" s="573"/>
      <c r="GO37" s="410"/>
      <c r="GP37" s="410"/>
      <c r="GQ37" s="410"/>
      <c r="GR37" s="410"/>
      <c r="GS37" s="523"/>
      <c r="GT37" s="854"/>
      <c r="GU37" s="822"/>
      <c r="GV37" s="823"/>
      <c r="GW37" s="824"/>
      <c r="GX37" s="626"/>
      <c r="GY37" s="626"/>
      <c r="GZ37" s="626"/>
      <c r="HA37" s="626"/>
      <c r="HB37" s="627"/>
      <c r="HC37" s="523"/>
      <c r="HD37" s="716"/>
      <c r="HE37" s="412"/>
      <c r="HF37" s="412"/>
    </row>
    <row r="38" spans="1:219" ht="20.100000000000001" customHeight="1">
      <c r="A38" s="855"/>
      <c r="B38" s="856" t="s">
        <v>422</v>
      </c>
      <c r="C38" s="857"/>
      <c r="D38" s="858"/>
      <c r="E38" s="859"/>
      <c r="F38" s="860"/>
      <c r="G38" s="675"/>
      <c r="H38" s="861">
        <v>0</v>
      </c>
      <c r="I38" s="676"/>
      <c r="J38" s="861">
        <v>0</v>
      </c>
      <c r="K38" s="676"/>
      <c r="L38" s="861">
        <v>0</v>
      </c>
      <c r="M38" s="676"/>
      <c r="N38" s="861">
        <v>0</v>
      </c>
      <c r="O38" s="676"/>
      <c r="P38" s="861">
        <v>0</v>
      </c>
      <c r="Q38" s="676"/>
      <c r="R38" s="861">
        <v>0</v>
      </c>
      <c r="S38" s="676"/>
      <c r="T38" s="861">
        <v>0</v>
      </c>
      <c r="U38" s="676"/>
      <c r="V38" s="861">
        <v>0</v>
      </c>
      <c r="W38" s="676"/>
      <c r="X38" s="861">
        <v>0</v>
      </c>
      <c r="Y38" s="676"/>
      <c r="Z38" s="861">
        <v>0</v>
      </c>
      <c r="AA38" s="676"/>
      <c r="AB38" s="861">
        <v>0</v>
      </c>
      <c r="AC38" s="676"/>
      <c r="AD38" s="861">
        <v>0</v>
      </c>
      <c r="AE38" s="676"/>
      <c r="AF38" s="861">
        <v>0</v>
      </c>
      <c r="AG38" s="676"/>
      <c r="AH38" s="861">
        <v>0</v>
      </c>
      <c r="AI38" s="676"/>
      <c r="AJ38" s="861">
        <v>0</v>
      </c>
      <c r="AK38" s="676"/>
      <c r="AL38" s="861">
        <v>0</v>
      </c>
      <c r="AM38" s="676"/>
      <c r="AN38" s="861">
        <v>0</v>
      </c>
      <c r="AO38" s="676"/>
      <c r="AP38" s="861">
        <v>0</v>
      </c>
      <c r="AQ38" s="676"/>
      <c r="AR38" s="861">
        <v>0</v>
      </c>
      <c r="AS38" s="676"/>
      <c r="AT38" s="861">
        <v>0</v>
      </c>
      <c r="AU38" s="676"/>
      <c r="AV38" s="861">
        <v>0</v>
      </c>
      <c r="AW38" s="676"/>
      <c r="AX38" s="861">
        <v>0</v>
      </c>
      <c r="AY38" s="676"/>
      <c r="AZ38" s="861">
        <v>0</v>
      </c>
      <c r="BA38" s="676"/>
      <c r="BB38" s="862">
        <v>0</v>
      </c>
      <c r="BC38" s="555"/>
      <c r="BD38" s="855"/>
      <c r="BE38" s="856" t="s">
        <v>421</v>
      </c>
      <c r="BF38" s="863"/>
      <c r="BG38" s="864"/>
      <c r="BH38" s="859"/>
      <c r="BI38" s="860"/>
      <c r="BJ38" s="675"/>
      <c r="BK38" s="861">
        <v>0</v>
      </c>
      <c r="BL38" s="676"/>
      <c r="BM38" s="861">
        <v>0</v>
      </c>
      <c r="BN38" s="676"/>
      <c r="BO38" s="861">
        <v>0</v>
      </c>
      <c r="BP38" s="676"/>
      <c r="BQ38" s="861">
        <v>0</v>
      </c>
      <c r="BR38" s="676"/>
      <c r="BS38" s="861">
        <v>0</v>
      </c>
      <c r="BT38" s="676"/>
      <c r="BU38" s="861">
        <v>0</v>
      </c>
      <c r="BV38" s="676"/>
      <c r="BW38" s="861">
        <v>0</v>
      </c>
      <c r="BX38" s="676"/>
      <c r="BY38" s="861">
        <v>0</v>
      </c>
      <c r="BZ38" s="676"/>
      <c r="CA38" s="861">
        <v>0</v>
      </c>
      <c r="CB38" s="676"/>
      <c r="CC38" s="861">
        <v>0</v>
      </c>
      <c r="CD38" s="676"/>
      <c r="CE38" s="861">
        <v>0</v>
      </c>
      <c r="CF38" s="676"/>
      <c r="CG38" s="861">
        <v>0</v>
      </c>
      <c r="CH38" s="676"/>
      <c r="CI38" s="861">
        <v>0</v>
      </c>
      <c r="CJ38" s="676"/>
      <c r="CK38" s="861">
        <v>0</v>
      </c>
      <c r="CL38" s="676"/>
      <c r="CM38" s="861">
        <v>0</v>
      </c>
      <c r="CN38" s="676"/>
      <c r="CO38" s="861">
        <v>0</v>
      </c>
      <c r="CP38" s="676"/>
      <c r="CQ38" s="861">
        <v>0</v>
      </c>
      <c r="CR38" s="676"/>
      <c r="CS38" s="861">
        <v>0</v>
      </c>
      <c r="CT38" s="676"/>
      <c r="CU38" s="861">
        <v>0</v>
      </c>
      <c r="CV38" s="676"/>
      <c r="CW38" s="861">
        <v>0</v>
      </c>
      <c r="CX38" s="676"/>
      <c r="CY38" s="861">
        <v>0</v>
      </c>
      <c r="CZ38" s="676"/>
      <c r="DA38" s="861">
        <v>0</v>
      </c>
      <c r="DB38" s="676"/>
      <c r="DC38" s="861">
        <v>0</v>
      </c>
      <c r="DD38" s="676"/>
      <c r="DE38" s="862">
        <v>0</v>
      </c>
      <c r="DF38" s="555"/>
      <c r="DG38" s="855"/>
      <c r="DH38" s="856" t="s">
        <v>421</v>
      </c>
      <c r="DI38" s="863"/>
      <c r="DJ38" s="864"/>
      <c r="DK38" s="859"/>
      <c r="DL38" s="860"/>
      <c r="DM38" s="675"/>
      <c r="DN38" s="861">
        <v>0</v>
      </c>
      <c r="DO38" s="676"/>
      <c r="DP38" s="861">
        <v>0</v>
      </c>
      <c r="DQ38" s="676"/>
      <c r="DR38" s="861">
        <v>0</v>
      </c>
      <c r="DS38" s="676"/>
      <c r="DT38" s="861">
        <v>0</v>
      </c>
      <c r="DU38" s="676"/>
      <c r="DV38" s="861">
        <v>0</v>
      </c>
      <c r="DW38" s="676"/>
      <c r="DX38" s="861">
        <v>0</v>
      </c>
      <c r="DY38" s="676"/>
      <c r="DZ38" s="861">
        <v>0</v>
      </c>
      <c r="EA38" s="676"/>
      <c r="EB38" s="861">
        <v>0</v>
      </c>
      <c r="EC38" s="676"/>
      <c r="ED38" s="861">
        <v>0</v>
      </c>
      <c r="EE38" s="676"/>
      <c r="EF38" s="861">
        <v>0</v>
      </c>
      <c r="EG38" s="676"/>
      <c r="EH38" s="861">
        <v>0</v>
      </c>
      <c r="EI38" s="676"/>
      <c r="EJ38" s="861">
        <v>0</v>
      </c>
      <c r="EK38" s="676"/>
      <c r="EL38" s="861">
        <v>0</v>
      </c>
      <c r="EM38" s="676"/>
      <c r="EN38" s="861">
        <v>0</v>
      </c>
      <c r="EO38" s="676"/>
      <c r="EP38" s="861">
        <v>0</v>
      </c>
      <c r="EQ38" s="676"/>
      <c r="ER38" s="861">
        <v>0</v>
      </c>
      <c r="ES38" s="676"/>
      <c r="ET38" s="861">
        <v>0</v>
      </c>
      <c r="EU38" s="676"/>
      <c r="EV38" s="861">
        <v>0</v>
      </c>
      <c r="EW38" s="676"/>
      <c r="EX38" s="861">
        <v>0</v>
      </c>
      <c r="EY38" s="676"/>
      <c r="EZ38" s="861">
        <v>0</v>
      </c>
      <c r="FA38" s="676"/>
      <c r="FB38" s="861">
        <v>0</v>
      </c>
      <c r="FC38" s="676"/>
      <c r="FD38" s="861">
        <v>0</v>
      </c>
      <c r="FE38" s="676"/>
      <c r="FF38" s="861">
        <v>0</v>
      </c>
      <c r="FG38" s="676"/>
      <c r="FH38" s="862">
        <v>0</v>
      </c>
      <c r="FI38" s="556"/>
      <c r="FJ38" s="820"/>
      <c r="FK38" s="856" t="s">
        <v>421</v>
      </c>
      <c r="FL38" s="857"/>
      <c r="FM38" s="858"/>
      <c r="FN38" s="859">
        <v>0</v>
      </c>
      <c r="FO38" s="860"/>
      <c r="FP38" s="678"/>
      <c r="FQ38" s="679"/>
      <c r="FR38" s="552">
        <v>0</v>
      </c>
      <c r="FS38" s="680"/>
      <c r="FT38" s="679"/>
      <c r="FU38" s="560">
        <v>0</v>
      </c>
      <c r="FV38" s="586"/>
      <c r="FW38" s="587"/>
      <c r="FX38" s="799"/>
      <c r="FY38" s="589"/>
      <c r="FZ38" s="800"/>
      <c r="GA38" s="591"/>
      <c r="GB38" s="801"/>
      <c r="GC38" s="593"/>
      <c r="GD38" s="801"/>
      <c r="GE38" s="594"/>
      <c r="GF38" s="681"/>
      <c r="GG38" s="595"/>
      <c r="GH38" s="595"/>
      <c r="GI38" s="595"/>
      <c r="GJ38" s="573"/>
      <c r="GK38" s="410" t="s">
        <v>501</v>
      </c>
      <c r="GL38" s="406"/>
      <c r="GM38" s="410"/>
      <c r="GN38" s="406"/>
      <c r="GO38" s="410"/>
      <c r="GP38" s="410"/>
      <c r="GQ38" s="410"/>
      <c r="GR38" s="410"/>
      <c r="GS38" s="573"/>
      <c r="GT38" s="854"/>
      <c r="GU38" s="865" t="s">
        <v>471</v>
      </c>
      <c r="GV38" s="866"/>
      <c r="GW38" s="866"/>
      <c r="GX38" s="866"/>
      <c r="GY38" s="866"/>
      <c r="GZ38" s="867"/>
      <c r="HA38" s="626">
        <v>164.95</v>
      </c>
      <c r="HB38" s="868">
        <v>121</v>
      </c>
      <c r="HC38" s="523"/>
      <c r="HD38" s="523"/>
      <c r="HE38" s="384"/>
      <c r="HF38" s="384"/>
      <c r="HK38" s="412"/>
    </row>
    <row r="39" spans="1:219" ht="20.100000000000001" customHeight="1">
      <c r="A39" s="825"/>
      <c r="B39" s="869" t="s">
        <v>424</v>
      </c>
      <c r="C39" s="870"/>
      <c r="D39" s="871"/>
      <c r="E39" s="872"/>
      <c r="F39" s="873"/>
      <c r="G39" s="687"/>
      <c r="H39" s="874">
        <v>0</v>
      </c>
      <c r="I39" s="688"/>
      <c r="J39" s="874">
        <v>0</v>
      </c>
      <c r="K39" s="688"/>
      <c r="L39" s="874">
        <v>0</v>
      </c>
      <c r="M39" s="688"/>
      <c r="N39" s="874">
        <v>0</v>
      </c>
      <c r="O39" s="688"/>
      <c r="P39" s="874">
        <v>0</v>
      </c>
      <c r="Q39" s="688"/>
      <c r="R39" s="874">
        <v>0</v>
      </c>
      <c r="S39" s="688"/>
      <c r="T39" s="874">
        <v>0</v>
      </c>
      <c r="U39" s="688"/>
      <c r="V39" s="874">
        <v>0</v>
      </c>
      <c r="W39" s="688"/>
      <c r="X39" s="874">
        <v>0</v>
      </c>
      <c r="Y39" s="688"/>
      <c r="Z39" s="874">
        <v>0</v>
      </c>
      <c r="AA39" s="688"/>
      <c r="AB39" s="874">
        <v>0</v>
      </c>
      <c r="AC39" s="688"/>
      <c r="AD39" s="874">
        <v>0</v>
      </c>
      <c r="AE39" s="688"/>
      <c r="AF39" s="874">
        <v>0</v>
      </c>
      <c r="AG39" s="688"/>
      <c r="AH39" s="874">
        <v>0</v>
      </c>
      <c r="AI39" s="688"/>
      <c r="AJ39" s="874">
        <v>0</v>
      </c>
      <c r="AK39" s="688"/>
      <c r="AL39" s="874">
        <v>0</v>
      </c>
      <c r="AM39" s="688"/>
      <c r="AN39" s="874">
        <v>0</v>
      </c>
      <c r="AO39" s="688"/>
      <c r="AP39" s="874">
        <v>0</v>
      </c>
      <c r="AQ39" s="688"/>
      <c r="AR39" s="874">
        <v>0</v>
      </c>
      <c r="AS39" s="688"/>
      <c r="AT39" s="874">
        <v>0</v>
      </c>
      <c r="AU39" s="688"/>
      <c r="AV39" s="874">
        <v>0</v>
      </c>
      <c r="AW39" s="688"/>
      <c r="AX39" s="874">
        <v>0</v>
      </c>
      <c r="AY39" s="688"/>
      <c r="AZ39" s="874">
        <v>0</v>
      </c>
      <c r="BA39" s="688"/>
      <c r="BB39" s="875">
        <v>0</v>
      </c>
      <c r="BC39" s="555"/>
      <c r="BD39" s="825"/>
      <c r="BE39" s="869" t="s">
        <v>423</v>
      </c>
      <c r="BF39" s="876"/>
      <c r="BG39" s="877"/>
      <c r="BH39" s="872"/>
      <c r="BI39" s="873"/>
      <c r="BJ39" s="687"/>
      <c r="BK39" s="874">
        <v>0</v>
      </c>
      <c r="BL39" s="688"/>
      <c r="BM39" s="874">
        <v>0</v>
      </c>
      <c r="BN39" s="688"/>
      <c r="BO39" s="874">
        <v>0</v>
      </c>
      <c r="BP39" s="688"/>
      <c r="BQ39" s="874">
        <v>0</v>
      </c>
      <c r="BR39" s="688"/>
      <c r="BS39" s="874">
        <v>0</v>
      </c>
      <c r="BT39" s="688"/>
      <c r="BU39" s="874">
        <v>0</v>
      </c>
      <c r="BV39" s="688"/>
      <c r="BW39" s="874">
        <v>0</v>
      </c>
      <c r="BX39" s="688"/>
      <c r="BY39" s="874">
        <v>0</v>
      </c>
      <c r="BZ39" s="688"/>
      <c r="CA39" s="874">
        <v>0</v>
      </c>
      <c r="CB39" s="688"/>
      <c r="CC39" s="874">
        <v>0</v>
      </c>
      <c r="CD39" s="688"/>
      <c r="CE39" s="874">
        <v>0</v>
      </c>
      <c r="CF39" s="688"/>
      <c r="CG39" s="874">
        <v>0</v>
      </c>
      <c r="CH39" s="688"/>
      <c r="CI39" s="874">
        <v>0</v>
      </c>
      <c r="CJ39" s="688"/>
      <c r="CK39" s="874">
        <v>0</v>
      </c>
      <c r="CL39" s="688"/>
      <c r="CM39" s="874">
        <v>0</v>
      </c>
      <c r="CN39" s="688"/>
      <c r="CO39" s="874">
        <v>0</v>
      </c>
      <c r="CP39" s="688"/>
      <c r="CQ39" s="874">
        <v>0</v>
      </c>
      <c r="CR39" s="688"/>
      <c r="CS39" s="874">
        <v>0</v>
      </c>
      <c r="CT39" s="688"/>
      <c r="CU39" s="874">
        <v>0</v>
      </c>
      <c r="CV39" s="688"/>
      <c r="CW39" s="874">
        <v>0</v>
      </c>
      <c r="CX39" s="688"/>
      <c r="CY39" s="874">
        <v>0</v>
      </c>
      <c r="CZ39" s="688"/>
      <c r="DA39" s="874">
        <v>0</v>
      </c>
      <c r="DB39" s="688"/>
      <c r="DC39" s="874">
        <v>0</v>
      </c>
      <c r="DD39" s="688"/>
      <c r="DE39" s="875">
        <v>0</v>
      </c>
      <c r="DF39" s="555"/>
      <c r="DG39" s="825"/>
      <c r="DH39" s="869" t="s">
        <v>423</v>
      </c>
      <c r="DI39" s="876"/>
      <c r="DJ39" s="877"/>
      <c r="DK39" s="872"/>
      <c r="DL39" s="873"/>
      <c r="DM39" s="687"/>
      <c r="DN39" s="874">
        <v>0</v>
      </c>
      <c r="DO39" s="688"/>
      <c r="DP39" s="874">
        <v>0</v>
      </c>
      <c r="DQ39" s="688"/>
      <c r="DR39" s="874">
        <v>0</v>
      </c>
      <c r="DS39" s="688"/>
      <c r="DT39" s="874">
        <v>0</v>
      </c>
      <c r="DU39" s="688"/>
      <c r="DV39" s="874">
        <v>0</v>
      </c>
      <c r="DW39" s="688"/>
      <c r="DX39" s="874">
        <v>0</v>
      </c>
      <c r="DY39" s="688"/>
      <c r="DZ39" s="874">
        <v>0</v>
      </c>
      <c r="EA39" s="688"/>
      <c r="EB39" s="874">
        <v>0</v>
      </c>
      <c r="EC39" s="688"/>
      <c r="ED39" s="874">
        <v>0</v>
      </c>
      <c r="EE39" s="688"/>
      <c r="EF39" s="874">
        <v>0</v>
      </c>
      <c r="EG39" s="688"/>
      <c r="EH39" s="874">
        <v>0</v>
      </c>
      <c r="EI39" s="688"/>
      <c r="EJ39" s="874">
        <v>0</v>
      </c>
      <c r="EK39" s="688"/>
      <c r="EL39" s="874">
        <v>0</v>
      </c>
      <c r="EM39" s="688"/>
      <c r="EN39" s="874">
        <v>0</v>
      </c>
      <c r="EO39" s="688"/>
      <c r="EP39" s="874">
        <v>0</v>
      </c>
      <c r="EQ39" s="688"/>
      <c r="ER39" s="874">
        <v>0</v>
      </c>
      <c r="ES39" s="688"/>
      <c r="ET39" s="874">
        <v>0</v>
      </c>
      <c r="EU39" s="688"/>
      <c r="EV39" s="874">
        <v>0</v>
      </c>
      <c r="EW39" s="688"/>
      <c r="EX39" s="874">
        <v>0</v>
      </c>
      <c r="EY39" s="688"/>
      <c r="EZ39" s="874">
        <v>0</v>
      </c>
      <c r="FA39" s="688"/>
      <c r="FB39" s="874">
        <v>0</v>
      </c>
      <c r="FC39" s="688"/>
      <c r="FD39" s="874">
        <v>0</v>
      </c>
      <c r="FE39" s="688"/>
      <c r="FF39" s="874">
        <v>0</v>
      </c>
      <c r="FG39" s="688"/>
      <c r="FH39" s="875">
        <v>0</v>
      </c>
      <c r="FI39" s="556"/>
      <c r="FJ39" s="834"/>
      <c r="FK39" s="869" t="s">
        <v>423</v>
      </c>
      <c r="FL39" s="870"/>
      <c r="FM39" s="871"/>
      <c r="FN39" s="872">
        <v>0</v>
      </c>
      <c r="FO39" s="873"/>
      <c r="FP39" s="689"/>
      <c r="FQ39" s="690"/>
      <c r="FR39" s="580">
        <v>0</v>
      </c>
      <c r="FS39" s="691"/>
      <c r="FT39" s="690"/>
      <c r="FU39" s="585">
        <v>0</v>
      </c>
      <c r="FV39" s="586"/>
      <c r="FW39" s="587"/>
      <c r="FX39" s="799"/>
      <c r="FY39" s="589"/>
      <c r="FZ39" s="800"/>
      <c r="GA39" s="591"/>
      <c r="GB39" s="801"/>
      <c r="GC39" s="593"/>
      <c r="GD39" s="801"/>
      <c r="GE39" s="594"/>
      <c r="GF39" s="681"/>
      <c r="GG39" s="595"/>
      <c r="GH39" s="595"/>
      <c r="GI39" s="595"/>
      <c r="GJ39" s="406"/>
      <c r="GK39" s="878"/>
      <c r="GL39" s="879"/>
      <c r="GM39" s="880" t="s">
        <v>502</v>
      </c>
      <c r="GN39" s="879"/>
      <c r="GO39" s="880" t="s">
        <v>503</v>
      </c>
      <c r="GP39" s="879"/>
      <c r="GQ39" s="880" t="s">
        <v>504</v>
      </c>
      <c r="GR39" s="881"/>
      <c r="GS39" s="410"/>
      <c r="GT39" s="682"/>
      <c r="GU39" s="523" t="s">
        <v>296</v>
      </c>
      <c r="GV39" s="523"/>
      <c r="GW39" s="523"/>
      <c r="GX39" s="523"/>
      <c r="GY39" s="523"/>
      <c r="GZ39" s="523"/>
      <c r="HA39" s="683">
        <v>1.36</v>
      </c>
      <c r="HB39" s="572"/>
      <c r="HC39" s="523"/>
      <c r="HD39" s="555"/>
    </row>
    <row r="40" spans="1:219" ht="20.100000000000001" customHeight="1">
      <c r="A40" s="882"/>
      <c r="B40" s="635"/>
      <c r="C40" s="635"/>
      <c r="D40" s="636" t="s">
        <v>297</v>
      </c>
      <c r="E40" s="635"/>
      <c r="F40" s="635"/>
      <c r="G40" s="838"/>
      <c r="H40" s="839">
        <v>0</v>
      </c>
      <c r="I40" s="840"/>
      <c r="J40" s="841">
        <v>0</v>
      </c>
      <c r="K40" s="842"/>
      <c r="L40" s="841">
        <v>0</v>
      </c>
      <c r="M40" s="842"/>
      <c r="N40" s="841">
        <v>0</v>
      </c>
      <c r="O40" s="842"/>
      <c r="P40" s="841">
        <v>0</v>
      </c>
      <c r="Q40" s="842"/>
      <c r="R40" s="841">
        <v>0</v>
      </c>
      <c r="S40" s="842"/>
      <c r="T40" s="841">
        <v>0</v>
      </c>
      <c r="U40" s="842"/>
      <c r="V40" s="841">
        <v>0</v>
      </c>
      <c r="W40" s="842"/>
      <c r="X40" s="841">
        <v>0</v>
      </c>
      <c r="Y40" s="842"/>
      <c r="Z40" s="841">
        <v>0</v>
      </c>
      <c r="AA40" s="842"/>
      <c r="AB40" s="841">
        <v>0</v>
      </c>
      <c r="AC40" s="842"/>
      <c r="AD40" s="841">
        <v>0</v>
      </c>
      <c r="AE40" s="842"/>
      <c r="AF40" s="841">
        <v>0</v>
      </c>
      <c r="AG40" s="842"/>
      <c r="AH40" s="841">
        <v>0</v>
      </c>
      <c r="AI40" s="842"/>
      <c r="AJ40" s="841">
        <v>0</v>
      </c>
      <c r="AK40" s="842"/>
      <c r="AL40" s="841">
        <v>0</v>
      </c>
      <c r="AM40" s="842"/>
      <c r="AN40" s="841">
        <v>0</v>
      </c>
      <c r="AO40" s="842"/>
      <c r="AP40" s="841">
        <v>0</v>
      </c>
      <c r="AQ40" s="842"/>
      <c r="AR40" s="841">
        <v>0</v>
      </c>
      <c r="AS40" s="842"/>
      <c r="AT40" s="841">
        <v>0</v>
      </c>
      <c r="AU40" s="842"/>
      <c r="AV40" s="841">
        <v>0</v>
      </c>
      <c r="AW40" s="842"/>
      <c r="AX40" s="841">
        <v>0</v>
      </c>
      <c r="AY40" s="842"/>
      <c r="AZ40" s="841">
        <v>0</v>
      </c>
      <c r="BA40" s="842"/>
      <c r="BB40" s="843">
        <v>0</v>
      </c>
      <c r="BC40" s="641"/>
      <c r="BD40" s="882"/>
      <c r="BE40" s="635"/>
      <c r="BF40" s="635"/>
      <c r="BG40" s="636" t="s">
        <v>425</v>
      </c>
      <c r="BH40" s="635"/>
      <c r="BI40" s="635"/>
      <c r="BJ40" s="838"/>
      <c r="BK40" s="839">
        <v>0</v>
      </c>
      <c r="BL40" s="840"/>
      <c r="BM40" s="841">
        <v>0</v>
      </c>
      <c r="BN40" s="842"/>
      <c r="BO40" s="841">
        <v>0</v>
      </c>
      <c r="BP40" s="842"/>
      <c r="BQ40" s="841">
        <v>0</v>
      </c>
      <c r="BR40" s="842"/>
      <c r="BS40" s="841">
        <v>0</v>
      </c>
      <c r="BT40" s="842"/>
      <c r="BU40" s="841">
        <v>0</v>
      </c>
      <c r="BV40" s="842"/>
      <c r="BW40" s="841">
        <v>0</v>
      </c>
      <c r="BX40" s="842"/>
      <c r="BY40" s="841">
        <v>0</v>
      </c>
      <c r="BZ40" s="842"/>
      <c r="CA40" s="841">
        <v>0</v>
      </c>
      <c r="CB40" s="842"/>
      <c r="CC40" s="841">
        <v>0</v>
      </c>
      <c r="CD40" s="842"/>
      <c r="CE40" s="841">
        <v>0</v>
      </c>
      <c r="CF40" s="842"/>
      <c r="CG40" s="841">
        <v>0</v>
      </c>
      <c r="CH40" s="842"/>
      <c r="CI40" s="841">
        <v>0</v>
      </c>
      <c r="CJ40" s="842"/>
      <c r="CK40" s="841">
        <v>0</v>
      </c>
      <c r="CL40" s="842"/>
      <c r="CM40" s="841">
        <v>0</v>
      </c>
      <c r="CN40" s="842"/>
      <c r="CO40" s="841">
        <v>0</v>
      </c>
      <c r="CP40" s="842"/>
      <c r="CQ40" s="841">
        <v>0</v>
      </c>
      <c r="CR40" s="842"/>
      <c r="CS40" s="841">
        <v>0</v>
      </c>
      <c r="CT40" s="842"/>
      <c r="CU40" s="841">
        <v>0</v>
      </c>
      <c r="CV40" s="842"/>
      <c r="CW40" s="841">
        <v>0</v>
      </c>
      <c r="CX40" s="842"/>
      <c r="CY40" s="841">
        <v>0</v>
      </c>
      <c r="CZ40" s="842"/>
      <c r="DA40" s="841">
        <v>0</v>
      </c>
      <c r="DB40" s="842"/>
      <c r="DC40" s="841">
        <v>0</v>
      </c>
      <c r="DD40" s="842"/>
      <c r="DE40" s="843">
        <v>0</v>
      </c>
      <c r="DF40" s="641"/>
      <c r="DG40" s="882"/>
      <c r="DH40" s="635"/>
      <c r="DI40" s="635"/>
      <c r="DJ40" s="636" t="s">
        <v>297</v>
      </c>
      <c r="DK40" s="635"/>
      <c r="DL40" s="635"/>
      <c r="DM40" s="838"/>
      <c r="DN40" s="839">
        <v>0</v>
      </c>
      <c r="DO40" s="840"/>
      <c r="DP40" s="841">
        <v>0</v>
      </c>
      <c r="DQ40" s="842"/>
      <c r="DR40" s="841">
        <v>0</v>
      </c>
      <c r="DS40" s="842"/>
      <c r="DT40" s="841">
        <v>0</v>
      </c>
      <c r="DU40" s="842"/>
      <c r="DV40" s="841">
        <v>0</v>
      </c>
      <c r="DW40" s="842"/>
      <c r="DX40" s="841">
        <v>0</v>
      </c>
      <c r="DY40" s="842"/>
      <c r="DZ40" s="841">
        <v>0</v>
      </c>
      <c r="EA40" s="842"/>
      <c r="EB40" s="841">
        <v>0</v>
      </c>
      <c r="EC40" s="842"/>
      <c r="ED40" s="841">
        <v>0</v>
      </c>
      <c r="EE40" s="842"/>
      <c r="EF40" s="841">
        <v>0</v>
      </c>
      <c r="EG40" s="842"/>
      <c r="EH40" s="841">
        <v>0</v>
      </c>
      <c r="EI40" s="842"/>
      <c r="EJ40" s="841">
        <v>0</v>
      </c>
      <c r="EK40" s="842"/>
      <c r="EL40" s="841">
        <v>0</v>
      </c>
      <c r="EM40" s="842"/>
      <c r="EN40" s="841">
        <v>0</v>
      </c>
      <c r="EO40" s="842"/>
      <c r="EP40" s="841">
        <v>0</v>
      </c>
      <c r="EQ40" s="842"/>
      <c r="ER40" s="841">
        <v>0</v>
      </c>
      <c r="ES40" s="842"/>
      <c r="ET40" s="841">
        <v>0</v>
      </c>
      <c r="EU40" s="842"/>
      <c r="EV40" s="841">
        <v>0</v>
      </c>
      <c r="EW40" s="842"/>
      <c r="EX40" s="841">
        <v>0</v>
      </c>
      <c r="EY40" s="842"/>
      <c r="EZ40" s="841">
        <v>0</v>
      </c>
      <c r="FA40" s="842"/>
      <c r="FB40" s="841">
        <v>0</v>
      </c>
      <c r="FC40" s="842"/>
      <c r="FD40" s="841">
        <v>0</v>
      </c>
      <c r="FE40" s="842"/>
      <c r="FF40" s="841">
        <v>0</v>
      </c>
      <c r="FG40" s="842"/>
      <c r="FH40" s="843">
        <v>0</v>
      </c>
      <c r="FI40" s="642"/>
      <c r="FJ40" s="834"/>
      <c r="FK40" s="635"/>
      <c r="FL40" s="635"/>
      <c r="FM40" s="636" t="s">
        <v>425</v>
      </c>
      <c r="FN40" s="635"/>
      <c r="FO40" s="635"/>
      <c r="FP40" s="643"/>
      <c r="FQ40" s="840"/>
      <c r="FR40" s="839">
        <v>0</v>
      </c>
      <c r="FS40" s="844"/>
      <c r="FT40" s="840"/>
      <c r="FU40" s="845">
        <v>0</v>
      </c>
      <c r="FV40" s="586"/>
      <c r="FW40" s="587"/>
      <c r="FX40" s="799"/>
      <c r="FY40" s="589"/>
      <c r="FZ40" s="800"/>
      <c r="GA40" s="591"/>
      <c r="GB40" s="801"/>
      <c r="GC40" s="593"/>
      <c r="GD40" s="801"/>
      <c r="GE40" s="594"/>
      <c r="GF40" s="647"/>
      <c r="GG40" s="648"/>
      <c r="GH40" s="648"/>
      <c r="GI40" s="648"/>
      <c r="GJ40" s="523"/>
      <c r="GK40" s="883"/>
      <c r="GL40" s="884"/>
      <c r="GM40" s="884"/>
      <c r="GN40" s="884"/>
      <c r="GO40" s="884"/>
      <c r="GP40" s="884"/>
      <c r="GQ40" s="884"/>
      <c r="GR40" s="885"/>
      <c r="GS40" s="886"/>
      <c r="GT40" s="682"/>
      <c r="GU40" s="523" t="s">
        <v>525</v>
      </c>
      <c r="GV40" s="523"/>
      <c r="GW40" s="523"/>
      <c r="GX40" s="523"/>
      <c r="GY40" s="523"/>
      <c r="GZ40" s="523"/>
      <c r="HA40" s="887">
        <v>31</v>
      </c>
      <c r="HB40" s="410"/>
      <c r="HC40" s="523"/>
      <c r="HD40" s="573"/>
      <c r="HK40" s="412"/>
    </row>
    <row r="41" spans="1:219" ht="20.100000000000001" customHeight="1">
      <c r="A41" s="855" t="s">
        <v>426</v>
      </c>
      <c r="B41" s="731"/>
      <c r="C41" s="888"/>
      <c r="D41" s="888"/>
      <c r="E41" s="888"/>
      <c r="F41" s="889"/>
      <c r="G41" s="733"/>
      <c r="H41" s="656" t="s">
        <v>385</v>
      </c>
      <c r="I41" s="734"/>
      <c r="J41" s="656" t="s">
        <v>388</v>
      </c>
      <c r="K41" s="735"/>
      <c r="L41" s="656" t="s">
        <v>385</v>
      </c>
      <c r="M41" s="735"/>
      <c r="N41" s="656" t="s">
        <v>385</v>
      </c>
      <c r="O41" s="735"/>
      <c r="P41" s="656" t="s">
        <v>388</v>
      </c>
      <c r="Q41" s="735"/>
      <c r="R41" s="656" t="s">
        <v>388</v>
      </c>
      <c r="S41" s="735"/>
      <c r="T41" s="656" t="s">
        <v>388</v>
      </c>
      <c r="U41" s="735"/>
      <c r="V41" s="656" t="s">
        <v>388</v>
      </c>
      <c r="W41" s="735"/>
      <c r="X41" s="656" t="s">
        <v>388</v>
      </c>
      <c r="Y41" s="735" t="s">
        <v>404</v>
      </c>
      <c r="Z41" s="656" t="s">
        <v>388</v>
      </c>
      <c r="AA41" s="735" t="s">
        <v>404</v>
      </c>
      <c r="AB41" s="656" t="s">
        <v>388</v>
      </c>
      <c r="AC41" s="735"/>
      <c r="AD41" s="656" t="s">
        <v>388</v>
      </c>
      <c r="AE41" s="735"/>
      <c r="AF41" s="656" t="s">
        <v>385</v>
      </c>
      <c r="AG41" s="735"/>
      <c r="AH41" s="656" t="s">
        <v>388</v>
      </c>
      <c r="AI41" s="735"/>
      <c r="AJ41" s="656" t="s">
        <v>385</v>
      </c>
      <c r="AK41" s="735"/>
      <c r="AL41" s="656" t="s">
        <v>388</v>
      </c>
      <c r="AM41" s="735"/>
      <c r="AN41" s="656" t="s">
        <v>385</v>
      </c>
      <c r="AO41" s="735"/>
      <c r="AP41" s="656" t="s">
        <v>385</v>
      </c>
      <c r="AQ41" s="735"/>
      <c r="AR41" s="656" t="s">
        <v>385</v>
      </c>
      <c r="AS41" s="735"/>
      <c r="AT41" s="656" t="s">
        <v>388</v>
      </c>
      <c r="AU41" s="735"/>
      <c r="AV41" s="656" t="s">
        <v>385</v>
      </c>
      <c r="AW41" s="735"/>
      <c r="AX41" s="656" t="s">
        <v>388</v>
      </c>
      <c r="AY41" s="735"/>
      <c r="AZ41" s="656" t="s">
        <v>388</v>
      </c>
      <c r="BA41" s="735"/>
      <c r="BB41" s="658" t="s">
        <v>385</v>
      </c>
      <c r="BC41" s="716"/>
      <c r="BD41" s="855" t="s">
        <v>426</v>
      </c>
      <c r="BE41" s="731"/>
      <c r="BF41" s="888"/>
      <c r="BG41" s="888"/>
      <c r="BH41" s="888"/>
      <c r="BI41" s="889"/>
      <c r="BJ41" s="733"/>
      <c r="BK41" s="656" t="s">
        <v>385</v>
      </c>
      <c r="BL41" s="734"/>
      <c r="BM41" s="656" t="s">
        <v>385</v>
      </c>
      <c r="BN41" s="735"/>
      <c r="BO41" s="656" t="s">
        <v>388</v>
      </c>
      <c r="BP41" s="735"/>
      <c r="BQ41" s="656" t="s">
        <v>388</v>
      </c>
      <c r="BR41" s="735"/>
      <c r="BS41" s="656" t="s">
        <v>385</v>
      </c>
      <c r="BT41" s="735"/>
      <c r="BU41" s="656" t="s">
        <v>385</v>
      </c>
      <c r="BV41" s="735"/>
      <c r="BW41" s="656" t="s">
        <v>388</v>
      </c>
      <c r="BX41" s="735"/>
      <c r="BY41" s="656" t="s">
        <v>385</v>
      </c>
      <c r="BZ41" s="735"/>
      <c r="CA41" s="656" t="s">
        <v>388</v>
      </c>
      <c r="CB41" s="735" t="s">
        <v>405</v>
      </c>
      <c r="CC41" s="656" t="s">
        <v>385</v>
      </c>
      <c r="CD41" s="735" t="s">
        <v>404</v>
      </c>
      <c r="CE41" s="656" t="s">
        <v>385</v>
      </c>
      <c r="CF41" s="735"/>
      <c r="CG41" s="656" t="s">
        <v>388</v>
      </c>
      <c r="CH41" s="735"/>
      <c r="CI41" s="656" t="s">
        <v>388</v>
      </c>
      <c r="CJ41" s="735"/>
      <c r="CK41" s="656" t="s">
        <v>385</v>
      </c>
      <c r="CL41" s="735"/>
      <c r="CM41" s="656" t="s">
        <v>385</v>
      </c>
      <c r="CN41" s="735"/>
      <c r="CO41" s="656" t="s">
        <v>385</v>
      </c>
      <c r="CP41" s="735"/>
      <c r="CQ41" s="656" t="s">
        <v>388</v>
      </c>
      <c r="CR41" s="735"/>
      <c r="CS41" s="656" t="s">
        <v>388</v>
      </c>
      <c r="CT41" s="735"/>
      <c r="CU41" s="656" t="s">
        <v>385</v>
      </c>
      <c r="CV41" s="735"/>
      <c r="CW41" s="656" t="s">
        <v>385</v>
      </c>
      <c r="CX41" s="735"/>
      <c r="CY41" s="656" t="s">
        <v>388</v>
      </c>
      <c r="CZ41" s="735"/>
      <c r="DA41" s="656" t="s">
        <v>385</v>
      </c>
      <c r="DB41" s="735"/>
      <c r="DC41" s="656" t="s">
        <v>388</v>
      </c>
      <c r="DD41" s="735"/>
      <c r="DE41" s="658" t="s">
        <v>388</v>
      </c>
      <c r="DF41" s="716"/>
      <c r="DG41" s="855" t="s">
        <v>426</v>
      </c>
      <c r="DH41" s="731"/>
      <c r="DI41" s="888"/>
      <c r="DJ41" s="888"/>
      <c r="DK41" s="888"/>
      <c r="DL41" s="889"/>
      <c r="DM41" s="733"/>
      <c r="DN41" s="656" t="s">
        <v>385</v>
      </c>
      <c r="DO41" s="734"/>
      <c r="DP41" s="656" t="s">
        <v>388</v>
      </c>
      <c r="DQ41" s="735"/>
      <c r="DR41" s="656" t="s">
        <v>385</v>
      </c>
      <c r="DS41" s="735"/>
      <c r="DT41" s="656" t="s">
        <v>388</v>
      </c>
      <c r="DU41" s="735"/>
      <c r="DV41" s="656" t="s">
        <v>388</v>
      </c>
      <c r="DW41" s="735"/>
      <c r="DX41" s="656" t="s">
        <v>385</v>
      </c>
      <c r="DY41" s="735"/>
      <c r="DZ41" s="656" t="s">
        <v>388</v>
      </c>
      <c r="EA41" s="735"/>
      <c r="EB41" s="656" t="s">
        <v>385</v>
      </c>
      <c r="EC41" s="735"/>
      <c r="ED41" s="656" t="s">
        <v>388</v>
      </c>
      <c r="EE41" s="735" t="s">
        <v>404</v>
      </c>
      <c r="EF41" s="656" t="s">
        <v>385</v>
      </c>
      <c r="EG41" s="735" t="s">
        <v>404</v>
      </c>
      <c r="EH41" s="656" t="s">
        <v>385</v>
      </c>
      <c r="EI41" s="735"/>
      <c r="EJ41" s="656" t="s">
        <v>385</v>
      </c>
      <c r="EK41" s="735"/>
      <c r="EL41" s="656" t="s">
        <v>388</v>
      </c>
      <c r="EM41" s="735"/>
      <c r="EN41" s="656" t="s">
        <v>388</v>
      </c>
      <c r="EO41" s="735"/>
      <c r="EP41" s="656" t="s">
        <v>385</v>
      </c>
      <c r="EQ41" s="735"/>
      <c r="ER41" s="656" t="s">
        <v>388</v>
      </c>
      <c r="ES41" s="735"/>
      <c r="ET41" s="656" t="s">
        <v>385</v>
      </c>
      <c r="EU41" s="735"/>
      <c r="EV41" s="656" t="s">
        <v>388</v>
      </c>
      <c r="EW41" s="735"/>
      <c r="EX41" s="656" t="s">
        <v>385</v>
      </c>
      <c r="EY41" s="735"/>
      <c r="EZ41" s="656" t="s">
        <v>385</v>
      </c>
      <c r="FA41" s="735"/>
      <c r="FB41" s="656" t="s">
        <v>388</v>
      </c>
      <c r="FC41" s="735"/>
      <c r="FD41" s="656" t="s">
        <v>388</v>
      </c>
      <c r="FE41" s="735"/>
      <c r="FF41" s="656" t="s">
        <v>388</v>
      </c>
      <c r="FG41" s="735"/>
      <c r="FH41" s="658" t="s">
        <v>388</v>
      </c>
      <c r="FI41" s="739"/>
      <c r="FJ41" s="820" t="s">
        <v>427</v>
      </c>
      <c r="FK41" s="736"/>
      <c r="FL41" s="890"/>
      <c r="FM41" s="890"/>
      <c r="FN41" s="890"/>
      <c r="FO41" s="891"/>
      <c r="FP41" s="740"/>
      <c r="FQ41" s="666"/>
      <c r="FR41" s="656" t="s">
        <v>391</v>
      </c>
      <c r="FS41" s="741"/>
      <c r="FT41" s="666"/>
      <c r="FU41" s="668" t="s">
        <v>391</v>
      </c>
      <c r="FV41" s="586"/>
      <c r="FW41" s="587"/>
      <c r="FX41" s="799"/>
      <c r="FY41" s="589"/>
      <c r="FZ41" s="800"/>
      <c r="GA41" s="591"/>
      <c r="GB41" s="801"/>
      <c r="GC41" s="593"/>
      <c r="GD41" s="801"/>
      <c r="GE41" s="594"/>
      <c r="GF41" s="742"/>
      <c r="GG41" s="743"/>
      <c r="GH41" s="743"/>
      <c r="GI41" s="743"/>
      <c r="GJ41" s="573"/>
      <c r="GK41" s="892" t="s">
        <v>505</v>
      </c>
      <c r="GL41" s="893"/>
      <c r="GM41" s="894" t="s">
        <v>506</v>
      </c>
      <c r="GN41" s="894"/>
      <c r="GO41" s="894" t="s">
        <v>507</v>
      </c>
      <c r="GP41" s="894"/>
      <c r="GQ41" s="894"/>
      <c r="GR41" s="895"/>
      <c r="GS41" s="854"/>
      <c r="GT41" s="682"/>
      <c r="GU41" s="523" t="s">
        <v>526</v>
      </c>
      <c r="GV41" s="523"/>
      <c r="GW41" s="523"/>
      <c r="GX41" s="523"/>
      <c r="GY41" s="523"/>
      <c r="GZ41" s="523"/>
      <c r="HA41" s="887">
        <v>26.4</v>
      </c>
      <c r="HB41" s="410"/>
      <c r="HC41" s="523"/>
      <c r="HD41" s="406"/>
    </row>
    <row r="42" spans="1:219" ht="20.100000000000001" customHeight="1">
      <c r="A42" s="825"/>
      <c r="B42" s="896" t="s">
        <v>428</v>
      </c>
      <c r="C42" s="897"/>
      <c r="D42" s="897"/>
      <c r="E42" s="898"/>
      <c r="F42" s="899"/>
      <c r="G42" s="829"/>
      <c r="H42" s="830"/>
      <c r="I42" s="831"/>
      <c r="J42" s="792"/>
      <c r="K42" s="832"/>
      <c r="L42" s="792"/>
      <c r="M42" s="832"/>
      <c r="N42" s="792"/>
      <c r="O42" s="832"/>
      <c r="P42" s="792"/>
      <c r="Q42" s="832"/>
      <c r="R42" s="792"/>
      <c r="S42" s="832"/>
      <c r="T42" s="792"/>
      <c r="U42" s="832"/>
      <c r="V42" s="792"/>
      <c r="W42" s="832"/>
      <c r="X42" s="792">
        <v>1210</v>
      </c>
      <c r="Y42" s="832"/>
      <c r="Z42" s="792">
        <v>847</v>
      </c>
      <c r="AA42" s="832"/>
      <c r="AB42" s="792">
        <v>847</v>
      </c>
      <c r="AC42" s="832"/>
      <c r="AD42" s="792">
        <v>847</v>
      </c>
      <c r="AE42" s="832"/>
      <c r="AF42" s="792">
        <v>847</v>
      </c>
      <c r="AG42" s="832"/>
      <c r="AH42" s="792">
        <v>847</v>
      </c>
      <c r="AI42" s="832"/>
      <c r="AJ42" s="792">
        <v>847</v>
      </c>
      <c r="AK42" s="832"/>
      <c r="AL42" s="792">
        <v>847</v>
      </c>
      <c r="AM42" s="832"/>
      <c r="AN42" s="792">
        <v>847</v>
      </c>
      <c r="AO42" s="832"/>
      <c r="AP42" s="792">
        <v>847</v>
      </c>
      <c r="AQ42" s="832"/>
      <c r="AR42" s="792"/>
      <c r="AS42" s="832"/>
      <c r="AT42" s="792"/>
      <c r="AU42" s="832"/>
      <c r="AV42" s="792"/>
      <c r="AW42" s="832"/>
      <c r="AX42" s="792"/>
      <c r="AY42" s="832"/>
      <c r="AZ42" s="792"/>
      <c r="BA42" s="832"/>
      <c r="BB42" s="833"/>
      <c r="BC42" s="555"/>
      <c r="BD42" s="825"/>
      <c r="BE42" s="900" t="s">
        <v>429</v>
      </c>
      <c r="BF42" s="897"/>
      <c r="BG42" s="897"/>
      <c r="BH42" s="898"/>
      <c r="BI42" s="899"/>
      <c r="BJ42" s="829"/>
      <c r="BK42" s="830"/>
      <c r="BL42" s="831"/>
      <c r="BM42" s="792"/>
      <c r="BN42" s="832"/>
      <c r="BO42" s="792"/>
      <c r="BP42" s="832"/>
      <c r="BQ42" s="792"/>
      <c r="BR42" s="832"/>
      <c r="BS42" s="792"/>
      <c r="BT42" s="832"/>
      <c r="BU42" s="792"/>
      <c r="BV42" s="832"/>
      <c r="BW42" s="792"/>
      <c r="BX42" s="832"/>
      <c r="BY42" s="792"/>
      <c r="BZ42" s="832"/>
      <c r="CA42" s="792">
        <v>1210</v>
      </c>
      <c r="CB42" s="832"/>
      <c r="CC42" s="792">
        <v>847</v>
      </c>
      <c r="CD42" s="832"/>
      <c r="CE42" s="792">
        <v>847</v>
      </c>
      <c r="CF42" s="832"/>
      <c r="CG42" s="792">
        <v>847</v>
      </c>
      <c r="CH42" s="832"/>
      <c r="CI42" s="792">
        <v>847</v>
      </c>
      <c r="CJ42" s="832"/>
      <c r="CK42" s="792">
        <v>847</v>
      </c>
      <c r="CL42" s="832"/>
      <c r="CM42" s="792">
        <v>847</v>
      </c>
      <c r="CN42" s="832"/>
      <c r="CO42" s="792">
        <v>847</v>
      </c>
      <c r="CP42" s="832"/>
      <c r="CQ42" s="792">
        <v>847</v>
      </c>
      <c r="CR42" s="832"/>
      <c r="CS42" s="792">
        <v>847</v>
      </c>
      <c r="CT42" s="832"/>
      <c r="CU42" s="792"/>
      <c r="CV42" s="832"/>
      <c r="CW42" s="792"/>
      <c r="CX42" s="832"/>
      <c r="CY42" s="792"/>
      <c r="CZ42" s="832"/>
      <c r="DA42" s="792"/>
      <c r="DB42" s="832"/>
      <c r="DC42" s="792"/>
      <c r="DD42" s="832"/>
      <c r="DE42" s="833"/>
      <c r="DF42" s="555"/>
      <c r="DG42" s="825"/>
      <c r="DH42" s="900" t="s">
        <v>429</v>
      </c>
      <c r="DI42" s="897"/>
      <c r="DJ42" s="897"/>
      <c r="DK42" s="898"/>
      <c r="DL42" s="899"/>
      <c r="DM42" s="829"/>
      <c r="DN42" s="830"/>
      <c r="DO42" s="831"/>
      <c r="DP42" s="792"/>
      <c r="DQ42" s="832"/>
      <c r="DR42" s="792"/>
      <c r="DS42" s="832"/>
      <c r="DT42" s="792"/>
      <c r="DU42" s="832"/>
      <c r="DV42" s="792"/>
      <c r="DW42" s="832"/>
      <c r="DX42" s="792"/>
      <c r="DY42" s="832"/>
      <c r="DZ42" s="792"/>
      <c r="EA42" s="832"/>
      <c r="EB42" s="792"/>
      <c r="EC42" s="832"/>
      <c r="ED42" s="792">
        <v>1210</v>
      </c>
      <c r="EE42" s="832"/>
      <c r="EF42" s="792">
        <v>847</v>
      </c>
      <c r="EG42" s="832"/>
      <c r="EH42" s="792">
        <v>847</v>
      </c>
      <c r="EI42" s="832"/>
      <c r="EJ42" s="792">
        <v>847</v>
      </c>
      <c r="EK42" s="832"/>
      <c r="EL42" s="792">
        <v>847</v>
      </c>
      <c r="EM42" s="832"/>
      <c r="EN42" s="792">
        <v>847</v>
      </c>
      <c r="EO42" s="832"/>
      <c r="EP42" s="792">
        <v>847</v>
      </c>
      <c r="EQ42" s="832"/>
      <c r="ER42" s="792">
        <v>847</v>
      </c>
      <c r="ES42" s="832"/>
      <c r="ET42" s="792">
        <v>847</v>
      </c>
      <c r="EU42" s="832"/>
      <c r="EV42" s="792">
        <v>847</v>
      </c>
      <c r="EW42" s="832"/>
      <c r="EX42" s="792"/>
      <c r="EY42" s="832"/>
      <c r="EZ42" s="792"/>
      <c r="FA42" s="832"/>
      <c r="FB42" s="792"/>
      <c r="FC42" s="832"/>
      <c r="FD42" s="792"/>
      <c r="FE42" s="832"/>
      <c r="FF42" s="792"/>
      <c r="FG42" s="832"/>
      <c r="FH42" s="833"/>
      <c r="FI42" s="556"/>
      <c r="FJ42" s="834"/>
      <c r="FK42" s="900" t="s">
        <v>428</v>
      </c>
      <c r="FL42" s="897"/>
      <c r="FM42" s="897"/>
      <c r="FN42" s="898"/>
      <c r="FO42" s="899"/>
      <c r="FP42" s="835"/>
      <c r="FQ42" s="831"/>
      <c r="FR42" s="830">
        <v>5324</v>
      </c>
      <c r="FS42" s="836"/>
      <c r="FT42" s="831"/>
      <c r="FU42" s="798">
        <v>5324</v>
      </c>
      <c r="FV42" s="586"/>
      <c r="FW42" s="587"/>
      <c r="FX42" s="799"/>
      <c r="FY42" s="589"/>
      <c r="FZ42" s="800"/>
      <c r="GA42" s="591"/>
      <c r="GB42" s="801"/>
      <c r="GC42" s="593"/>
      <c r="GD42" s="801"/>
      <c r="GE42" s="594"/>
      <c r="GF42" s="837"/>
      <c r="GG42" s="595"/>
      <c r="GH42" s="595"/>
      <c r="GI42" s="595"/>
      <c r="GJ42" s="406"/>
      <c r="GK42" s="901"/>
      <c r="GL42" s="902"/>
      <c r="GM42" s="903">
        <v>0</v>
      </c>
      <c r="GN42" s="903"/>
      <c r="GO42" s="903">
        <v>10</v>
      </c>
      <c r="GP42" s="903"/>
      <c r="GQ42" s="903">
        <v>10</v>
      </c>
      <c r="GR42" s="904"/>
      <c r="GS42" s="573"/>
      <c r="GT42" s="493"/>
      <c r="GU42" s="493"/>
      <c r="GV42" s="493"/>
      <c r="GW42" s="572"/>
      <c r="GX42" s="572"/>
      <c r="GY42" s="572"/>
      <c r="GZ42" s="571"/>
      <c r="HA42" s="493"/>
      <c r="HB42" s="493"/>
      <c r="HC42" s="523"/>
      <c r="HD42" s="523"/>
    </row>
    <row r="43" spans="1:219" ht="20.100000000000001" customHeight="1">
      <c r="A43" s="825"/>
      <c r="B43" s="905" t="s">
        <v>430</v>
      </c>
      <c r="C43" s="906"/>
      <c r="D43" s="906"/>
      <c r="E43" s="906"/>
      <c r="F43" s="907"/>
      <c r="G43" s="687"/>
      <c r="H43" s="908">
        <v>0</v>
      </c>
      <c r="I43" s="688"/>
      <c r="J43" s="908">
        <v>0</v>
      </c>
      <c r="K43" s="688"/>
      <c r="L43" s="908">
        <v>0</v>
      </c>
      <c r="M43" s="688"/>
      <c r="N43" s="908">
        <v>0</v>
      </c>
      <c r="O43" s="688"/>
      <c r="P43" s="908">
        <v>0</v>
      </c>
      <c r="Q43" s="688"/>
      <c r="R43" s="908">
        <v>0</v>
      </c>
      <c r="S43" s="688"/>
      <c r="T43" s="908">
        <v>0</v>
      </c>
      <c r="U43" s="688"/>
      <c r="V43" s="908">
        <v>0</v>
      </c>
      <c r="W43" s="909"/>
      <c r="X43" s="908">
        <v>0</v>
      </c>
      <c r="Y43" s="688"/>
      <c r="Z43" s="908">
        <v>0</v>
      </c>
      <c r="AA43" s="688"/>
      <c r="AB43" s="908">
        <v>0</v>
      </c>
      <c r="AC43" s="688"/>
      <c r="AD43" s="908">
        <v>0</v>
      </c>
      <c r="AE43" s="688"/>
      <c r="AF43" s="908">
        <v>0</v>
      </c>
      <c r="AG43" s="688"/>
      <c r="AH43" s="908">
        <v>0</v>
      </c>
      <c r="AI43" s="688"/>
      <c r="AJ43" s="908">
        <v>0</v>
      </c>
      <c r="AK43" s="688"/>
      <c r="AL43" s="908">
        <v>0</v>
      </c>
      <c r="AM43" s="688"/>
      <c r="AN43" s="908">
        <v>0</v>
      </c>
      <c r="AO43" s="688"/>
      <c r="AP43" s="908">
        <v>0</v>
      </c>
      <c r="AQ43" s="688"/>
      <c r="AR43" s="908">
        <v>0</v>
      </c>
      <c r="AS43" s="688"/>
      <c r="AT43" s="908">
        <v>0</v>
      </c>
      <c r="AU43" s="688"/>
      <c r="AV43" s="908">
        <v>0</v>
      </c>
      <c r="AW43" s="688"/>
      <c r="AX43" s="908">
        <v>0</v>
      </c>
      <c r="AY43" s="688"/>
      <c r="AZ43" s="908">
        <v>0</v>
      </c>
      <c r="BA43" s="688"/>
      <c r="BB43" s="875">
        <v>0</v>
      </c>
      <c r="BC43" s="555"/>
      <c r="BD43" s="825"/>
      <c r="BE43" s="910" t="s">
        <v>431</v>
      </c>
      <c r="BF43" s="906"/>
      <c r="BG43" s="906"/>
      <c r="BH43" s="906"/>
      <c r="BI43" s="907"/>
      <c r="BJ43" s="687"/>
      <c r="BK43" s="908">
        <v>0</v>
      </c>
      <c r="BL43" s="688"/>
      <c r="BM43" s="908">
        <v>0</v>
      </c>
      <c r="BN43" s="688"/>
      <c r="BO43" s="908">
        <v>0</v>
      </c>
      <c r="BP43" s="688"/>
      <c r="BQ43" s="908">
        <v>0</v>
      </c>
      <c r="BR43" s="688"/>
      <c r="BS43" s="908">
        <v>0</v>
      </c>
      <c r="BT43" s="688"/>
      <c r="BU43" s="908">
        <v>0</v>
      </c>
      <c r="BV43" s="688"/>
      <c r="BW43" s="908">
        <v>0</v>
      </c>
      <c r="BX43" s="688"/>
      <c r="BY43" s="908">
        <v>0</v>
      </c>
      <c r="BZ43" s="909"/>
      <c r="CA43" s="908">
        <v>0</v>
      </c>
      <c r="CB43" s="688"/>
      <c r="CC43" s="908">
        <v>0</v>
      </c>
      <c r="CD43" s="688"/>
      <c r="CE43" s="908">
        <v>0</v>
      </c>
      <c r="CF43" s="688"/>
      <c r="CG43" s="908">
        <v>0</v>
      </c>
      <c r="CH43" s="688"/>
      <c r="CI43" s="908">
        <v>0</v>
      </c>
      <c r="CJ43" s="688"/>
      <c r="CK43" s="908">
        <v>0</v>
      </c>
      <c r="CL43" s="688"/>
      <c r="CM43" s="908">
        <v>0</v>
      </c>
      <c r="CN43" s="688"/>
      <c r="CO43" s="908">
        <v>0</v>
      </c>
      <c r="CP43" s="688"/>
      <c r="CQ43" s="908">
        <v>0</v>
      </c>
      <c r="CR43" s="688"/>
      <c r="CS43" s="908">
        <v>0</v>
      </c>
      <c r="CT43" s="688"/>
      <c r="CU43" s="908">
        <v>0</v>
      </c>
      <c r="CV43" s="688"/>
      <c r="CW43" s="908">
        <v>0</v>
      </c>
      <c r="CX43" s="688"/>
      <c r="CY43" s="908">
        <v>0</v>
      </c>
      <c r="CZ43" s="688"/>
      <c r="DA43" s="908">
        <v>0</v>
      </c>
      <c r="DB43" s="688"/>
      <c r="DC43" s="908">
        <v>0</v>
      </c>
      <c r="DD43" s="688"/>
      <c r="DE43" s="875">
        <v>0</v>
      </c>
      <c r="DF43" s="555"/>
      <c r="DG43" s="825"/>
      <c r="DH43" s="910" t="s">
        <v>430</v>
      </c>
      <c r="DI43" s="906"/>
      <c r="DJ43" s="906"/>
      <c r="DK43" s="906"/>
      <c r="DL43" s="907"/>
      <c r="DM43" s="687"/>
      <c r="DN43" s="908">
        <v>0</v>
      </c>
      <c r="DO43" s="688"/>
      <c r="DP43" s="908">
        <v>0</v>
      </c>
      <c r="DQ43" s="688"/>
      <c r="DR43" s="908">
        <v>0</v>
      </c>
      <c r="DS43" s="688"/>
      <c r="DT43" s="908">
        <v>0</v>
      </c>
      <c r="DU43" s="688"/>
      <c r="DV43" s="908">
        <v>0</v>
      </c>
      <c r="DW43" s="688"/>
      <c r="DX43" s="908">
        <v>0</v>
      </c>
      <c r="DY43" s="688"/>
      <c r="DZ43" s="908">
        <v>0</v>
      </c>
      <c r="EA43" s="688"/>
      <c r="EB43" s="908">
        <v>0</v>
      </c>
      <c r="EC43" s="909"/>
      <c r="ED43" s="908">
        <v>0</v>
      </c>
      <c r="EE43" s="688"/>
      <c r="EF43" s="908">
        <v>0</v>
      </c>
      <c r="EG43" s="688"/>
      <c r="EH43" s="908">
        <v>0</v>
      </c>
      <c r="EI43" s="688"/>
      <c r="EJ43" s="908">
        <v>0</v>
      </c>
      <c r="EK43" s="688"/>
      <c r="EL43" s="908">
        <v>0</v>
      </c>
      <c r="EM43" s="688"/>
      <c r="EN43" s="908">
        <v>0</v>
      </c>
      <c r="EO43" s="688"/>
      <c r="EP43" s="908">
        <v>0</v>
      </c>
      <c r="EQ43" s="688"/>
      <c r="ER43" s="908">
        <v>0</v>
      </c>
      <c r="ES43" s="688"/>
      <c r="ET43" s="908">
        <v>0</v>
      </c>
      <c r="EU43" s="688"/>
      <c r="EV43" s="908">
        <v>0</v>
      </c>
      <c r="EW43" s="688"/>
      <c r="EX43" s="908">
        <v>0</v>
      </c>
      <c r="EY43" s="688"/>
      <c r="EZ43" s="908">
        <v>0</v>
      </c>
      <c r="FA43" s="688"/>
      <c r="FB43" s="908">
        <v>0</v>
      </c>
      <c r="FC43" s="688"/>
      <c r="FD43" s="908">
        <v>0</v>
      </c>
      <c r="FE43" s="688"/>
      <c r="FF43" s="908">
        <v>0</v>
      </c>
      <c r="FG43" s="688"/>
      <c r="FH43" s="875">
        <v>0</v>
      </c>
      <c r="FI43" s="556"/>
      <c r="FJ43" s="834"/>
      <c r="FK43" s="910" t="s">
        <v>431</v>
      </c>
      <c r="FL43" s="906"/>
      <c r="FM43" s="906"/>
      <c r="FN43" s="906"/>
      <c r="FO43" s="907"/>
      <c r="FP43" s="689"/>
      <c r="FQ43" s="690"/>
      <c r="FR43" s="580">
        <v>0</v>
      </c>
      <c r="FS43" s="691"/>
      <c r="FT43" s="690"/>
      <c r="FU43" s="585">
        <v>0</v>
      </c>
      <c r="FV43" s="911"/>
      <c r="FW43" s="912"/>
      <c r="FX43" s="913"/>
      <c r="FY43" s="914"/>
      <c r="FZ43" s="915"/>
      <c r="GA43" s="916"/>
      <c r="GB43" s="917"/>
      <c r="GC43" s="918"/>
      <c r="GD43" s="917"/>
      <c r="GE43" s="919"/>
      <c r="GF43" s="681"/>
      <c r="GG43" s="595"/>
      <c r="GH43" s="595"/>
      <c r="GI43" s="595"/>
      <c r="GJ43" s="920"/>
      <c r="GK43" s="921" t="s">
        <v>508</v>
      </c>
      <c r="GL43" s="922"/>
      <c r="GM43" s="923" t="s">
        <v>506</v>
      </c>
      <c r="GN43" s="923"/>
      <c r="GO43" s="923" t="s">
        <v>509</v>
      </c>
      <c r="GP43" s="923"/>
      <c r="GQ43" s="923"/>
      <c r="GR43" s="924"/>
      <c r="GS43" s="573"/>
      <c r="GT43" s="602"/>
      <c r="GU43" s="523" t="s">
        <v>481</v>
      </c>
      <c r="GV43" s="410"/>
      <c r="GW43" s="406"/>
      <c r="GX43" s="410"/>
      <c r="GY43" s="410"/>
      <c r="GZ43" s="410"/>
      <c r="HA43" s="406"/>
      <c r="HB43" s="410"/>
      <c r="HC43" s="925"/>
      <c r="HD43" s="412"/>
    </row>
    <row r="44" spans="1:219" ht="20.100000000000001" customHeight="1" thickBot="1">
      <c r="A44" s="926"/>
      <c r="B44" s="635"/>
      <c r="C44" s="635"/>
      <c r="D44" s="636" t="s">
        <v>298</v>
      </c>
      <c r="E44" s="635"/>
      <c r="F44" s="635"/>
      <c r="G44" s="838"/>
      <c r="H44" s="839">
        <v>0</v>
      </c>
      <c r="I44" s="840"/>
      <c r="J44" s="841">
        <v>0</v>
      </c>
      <c r="K44" s="842"/>
      <c r="L44" s="841">
        <v>0</v>
      </c>
      <c r="M44" s="842"/>
      <c r="N44" s="841">
        <v>0</v>
      </c>
      <c r="O44" s="842"/>
      <c r="P44" s="841">
        <v>0</v>
      </c>
      <c r="Q44" s="842"/>
      <c r="R44" s="841">
        <v>0</v>
      </c>
      <c r="S44" s="842"/>
      <c r="T44" s="841">
        <v>0</v>
      </c>
      <c r="U44" s="842"/>
      <c r="V44" s="841">
        <v>0</v>
      </c>
      <c r="W44" s="842"/>
      <c r="X44" s="841">
        <v>1210</v>
      </c>
      <c r="Y44" s="842"/>
      <c r="Z44" s="841">
        <v>847</v>
      </c>
      <c r="AA44" s="842"/>
      <c r="AB44" s="841">
        <v>847</v>
      </c>
      <c r="AC44" s="842"/>
      <c r="AD44" s="841">
        <v>847</v>
      </c>
      <c r="AE44" s="842"/>
      <c r="AF44" s="841">
        <v>847</v>
      </c>
      <c r="AG44" s="842"/>
      <c r="AH44" s="841">
        <v>847</v>
      </c>
      <c r="AI44" s="842"/>
      <c r="AJ44" s="841">
        <v>847</v>
      </c>
      <c r="AK44" s="842"/>
      <c r="AL44" s="841">
        <v>847</v>
      </c>
      <c r="AM44" s="842"/>
      <c r="AN44" s="841">
        <v>847</v>
      </c>
      <c r="AO44" s="842"/>
      <c r="AP44" s="841">
        <v>847</v>
      </c>
      <c r="AQ44" s="842"/>
      <c r="AR44" s="841">
        <v>0</v>
      </c>
      <c r="AS44" s="842"/>
      <c r="AT44" s="841">
        <v>0</v>
      </c>
      <c r="AU44" s="842"/>
      <c r="AV44" s="841">
        <v>0</v>
      </c>
      <c r="AW44" s="842"/>
      <c r="AX44" s="841">
        <v>0</v>
      </c>
      <c r="AY44" s="842"/>
      <c r="AZ44" s="841">
        <v>0</v>
      </c>
      <c r="BA44" s="842"/>
      <c r="BB44" s="843">
        <v>0</v>
      </c>
      <c r="BC44" s="641"/>
      <c r="BD44" s="926"/>
      <c r="BE44" s="635"/>
      <c r="BF44" s="635"/>
      <c r="BG44" s="636" t="s">
        <v>298</v>
      </c>
      <c r="BH44" s="635"/>
      <c r="BI44" s="635"/>
      <c r="BJ44" s="838"/>
      <c r="BK44" s="839">
        <v>0</v>
      </c>
      <c r="BL44" s="840"/>
      <c r="BM44" s="841">
        <v>0</v>
      </c>
      <c r="BN44" s="842"/>
      <c r="BO44" s="841">
        <v>0</v>
      </c>
      <c r="BP44" s="842"/>
      <c r="BQ44" s="841">
        <v>0</v>
      </c>
      <c r="BR44" s="842"/>
      <c r="BS44" s="841">
        <v>0</v>
      </c>
      <c r="BT44" s="842"/>
      <c r="BU44" s="841">
        <v>0</v>
      </c>
      <c r="BV44" s="842"/>
      <c r="BW44" s="841">
        <v>0</v>
      </c>
      <c r="BX44" s="842"/>
      <c r="BY44" s="841">
        <v>0</v>
      </c>
      <c r="BZ44" s="842"/>
      <c r="CA44" s="841">
        <v>1210</v>
      </c>
      <c r="CB44" s="842"/>
      <c r="CC44" s="841">
        <v>847</v>
      </c>
      <c r="CD44" s="842"/>
      <c r="CE44" s="841">
        <v>847</v>
      </c>
      <c r="CF44" s="842"/>
      <c r="CG44" s="841">
        <v>847</v>
      </c>
      <c r="CH44" s="842"/>
      <c r="CI44" s="841">
        <v>847</v>
      </c>
      <c r="CJ44" s="842"/>
      <c r="CK44" s="841">
        <v>847</v>
      </c>
      <c r="CL44" s="842"/>
      <c r="CM44" s="841">
        <v>847</v>
      </c>
      <c r="CN44" s="842"/>
      <c r="CO44" s="841">
        <v>847</v>
      </c>
      <c r="CP44" s="842"/>
      <c r="CQ44" s="841">
        <v>847</v>
      </c>
      <c r="CR44" s="842"/>
      <c r="CS44" s="841">
        <v>847</v>
      </c>
      <c r="CT44" s="842"/>
      <c r="CU44" s="841">
        <v>0</v>
      </c>
      <c r="CV44" s="842"/>
      <c r="CW44" s="841">
        <v>0</v>
      </c>
      <c r="CX44" s="842"/>
      <c r="CY44" s="841">
        <v>0</v>
      </c>
      <c r="CZ44" s="842"/>
      <c r="DA44" s="841">
        <v>0</v>
      </c>
      <c r="DB44" s="842"/>
      <c r="DC44" s="841">
        <v>0</v>
      </c>
      <c r="DD44" s="842"/>
      <c r="DE44" s="843">
        <v>0</v>
      </c>
      <c r="DF44" s="641"/>
      <c r="DG44" s="926"/>
      <c r="DH44" s="635"/>
      <c r="DI44" s="635"/>
      <c r="DJ44" s="636" t="s">
        <v>298</v>
      </c>
      <c r="DK44" s="635"/>
      <c r="DL44" s="635"/>
      <c r="DM44" s="838"/>
      <c r="DN44" s="839">
        <v>0</v>
      </c>
      <c r="DO44" s="840"/>
      <c r="DP44" s="841">
        <v>0</v>
      </c>
      <c r="DQ44" s="842"/>
      <c r="DR44" s="841">
        <v>0</v>
      </c>
      <c r="DS44" s="842"/>
      <c r="DT44" s="841">
        <v>0</v>
      </c>
      <c r="DU44" s="842"/>
      <c r="DV44" s="841">
        <v>0</v>
      </c>
      <c r="DW44" s="842"/>
      <c r="DX44" s="841">
        <v>0</v>
      </c>
      <c r="DY44" s="842"/>
      <c r="DZ44" s="841">
        <v>0</v>
      </c>
      <c r="EA44" s="842"/>
      <c r="EB44" s="841">
        <v>0</v>
      </c>
      <c r="EC44" s="842"/>
      <c r="ED44" s="841">
        <v>1210</v>
      </c>
      <c r="EE44" s="842"/>
      <c r="EF44" s="841">
        <v>847</v>
      </c>
      <c r="EG44" s="842"/>
      <c r="EH44" s="841">
        <v>847</v>
      </c>
      <c r="EI44" s="842"/>
      <c r="EJ44" s="841">
        <v>847</v>
      </c>
      <c r="EK44" s="842"/>
      <c r="EL44" s="841">
        <v>847</v>
      </c>
      <c r="EM44" s="842"/>
      <c r="EN44" s="841">
        <v>847</v>
      </c>
      <c r="EO44" s="842"/>
      <c r="EP44" s="841">
        <v>847</v>
      </c>
      <c r="EQ44" s="842"/>
      <c r="ER44" s="841">
        <v>847</v>
      </c>
      <c r="ES44" s="842"/>
      <c r="ET44" s="841">
        <v>847</v>
      </c>
      <c r="EU44" s="842"/>
      <c r="EV44" s="841">
        <v>847</v>
      </c>
      <c r="EW44" s="842"/>
      <c r="EX44" s="841">
        <v>0</v>
      </c>
      <c r="EY44" s="842"/>
      <c r="EZ44" s="841">
        <v>0</v>
      </c>
      <c r="FA44" s="842"/>
      <c r="FB44" s="841">
        <v>0</v>
      </c>
      <c r="FC44" s="842"/>
      <c r="FD44" s="841">
        <v>0</v>
      </c>
      <c r="FE44" s="842"/>
      <c r="FF44" s="841">
        <v>0</v>
      </c>
      <c r="FG44" s="842"/>
      <c r="FH44" s="843">
        <v>0</v>
      </c>
      <c r="FI44" s="642"/>
      <c r="FJ44" s="927"/>
      <c r="FK44" s="635"/>
      <c r="FL44" s="635"/>
      <c r="FM44" s="636" t="s">
        <v>298</v>
      </c>
      <c r="FN44" s="635"/>
      <c r="FO44" s="635"/>
      <c r="FP44" s="643"/>
      <c r="FQ44" s="840"/>
      <c r="FR44" s="839">
        <v>5324</v>
      </c>
      <c r="FS44" s="844"/>
      <c r="FT44" s="840"/>
      <c r="FU44" s="845">
        <v>5324</v>
      </c>
      <c r="FV44" s="586" t="s">
        <v>299</v>
      </c>
      <c r="FW44" s="587"/>
      <c r="FX44" s="799" t="s">
        <v>300</v>
      </c>
      <c r="FY44" s="589"/>
      <c r="FZ44" s="800" t="s">
        <v>301</v>
      </c>
      <c r="GA44" s="591"/>
      <c r="GB44" s="801" t="s">
        <v>302</v>
      </c>
      <c r="GC44" s="593"/>
      <c r="GD44" s="801" t="s">
        <v>303</v>
      </c>
      <c r="GE44" s="594"/>
      <c r="GF44" s="647"/>
      <c r="GG44" s="648"/>
      <c r="GH44" s="648"/>
      <c r="GI44" s="648"/>
      <c r="GJ44" s="523"/>
      <c r="GK44" s="901"/>
      <c r="GL44" s="902"/>
      <c r="GM44" s="928">
        <v>0</v>
      </c>
      <c r="GN44" s="928"/>
      <c r="GO44" s="928">
        <v>7</v>
      </c>
      <c r="GP44" s="928"/>
      <c r="GQ44" s="903">
        <v>7</v>
      </c>
      <c r="GR44" s="904"/>
      <c r="GS44" s="929"/>
      <c r="GT44" s="930"/>
      <c r="GU44" s="523" t="s">
        <v>510</v>
      </c>
      <c r="GV44" s="608"/>
      <c r="GW44" s="608"/>
      <c r="GX44" s="608"/>
      <c r="GY44" s="410"/>
      <c r="GZ44" s="410"/>
      <c r="HA44" s="744">
        <v>-3.9</v>
      </c>
      <c r="HB44" s="410" t="s">
        <v>304</v>
      </c>
      <c r="HC44" s="931"/>
      <c r="HD44" s="412"/>
    </row>
    <row r="45" spans="1:219" ht="20.100000000000001" customHeight="1" thickTop="1">
      <c r="A45" s="932" t="s">
        <v>432</v>
      </c>
      <c r="B45" s="933"/>
      <c r="C45" s="933"/>
      <c r="D45" s="933"/>
      <c r="E45" s="933"/>
      <c r="F45" s="934"/>
      <c r="G45" s="935"/>
      <c r="H45" s="936">
        <v>68289</v>
      </c>
      <c r="I45" s="937"/>
      <c r="J45" s="936">
        <v>68265</v>
      </c>
      <c r="K45" s="937"/>
      <c r="L45" s="936">
        <v>68241</v>
      </c>
      <c r="M45" s="937"/>
      <c r="N45" s="936">
        <v>68223</v>
      </c>
      <c r="O45" s="937"/>
      <c r="P45" s="936">
        <v>68203</v>
      </c>
      <c r="Q45" s="937"/>
      <c r="R45" s="936">
        <v>68189</v>
      </c>
      <c r="S45" s="937"/>
      <c r="T45" s="936">
        <v>68275</v>
      </c>
      <c r="U45" s="937"/>
      <c r="V45" s="936">
        <v>68463</v>
      </c>
      <c r="W45" s="937"/>
      <c r="X45" s="936">
        <v>70080</v>
      </c>
      <c r="Y45" s="937"/>
      <c r="Z45" s="936">
        <v>69899</v>
      </c>
      <c r="AA45" s="937"/>
      <c r="AB45" s="936">
        <v>70043</v>
      </c>
      <c r="AC45" s="937"/>
      <c r="AD45" s="936">
        <v>70154</v>
      </c>
      <c r="AE45" s="937"/>
      <c r="AF45" s="936">
        <v>70302</v>
      </c>
      <c r="AG45" s="937"/>
      <c r="AH45" s="936">
        <v>70336</v>
      </c>
      <c r="AI45" s="937"/>
      <c r="AJ45" s="936">
        <v>70367</v>
      </c>
      <c r="AK45" s="937"/>
      <c r="AL45" s="936">
        <v>70319</v>
      </c>
      <c r="AM45" s="937"/>
      <c r="AN45" s="936">
        <v>70182</v>
      </c>
      <c r="AO45" s="937"/>
      <c r="AP45" s="936">
        <v>70071</v>
      </c>
      <c r="AQ45" s="937"/>
      <c r="AR45" s="936">
        <v>68893</v>
      </c>
      <c r="AS45" s="937"/>
      <c r="AT45" s="936">
        <v>68785</v>
      </c>
      <c r="AU45" s="937"/>
      <c r="AV45" s="936">
        <v>68666</v>
      </c>
      <c r="AW45" s="937"/>
      <c r="AX45" s="936">
        <v>68550</v>
      </c>
      <c r="AY45" s="937"/>
      <c r="AZ45" s="936">
        <v>68430</v>
      </c>
      <c r="BA45" s="937"/>
      <c r="BB45" s="938">
        <v>68360</v>
      </c>
      <c r="BC45" s="641"/>
      <c r="BD45" s="932" t="s">
        <v>433</v>
      </c>
      <c r="BE45" s="933"/>
      <c r="BF45" s="933"/>
      <c r="BG45" s="933"/>
      <c r="BH45" s="933"/>
      <c r="BI45" s="934"/>
      <c r="BJ45" s="935"/>
      <c r="BK45" s="936">
        <v>68292</v>
      </c>
      <c r="BL45" s="937"/>
      <c r="BM45" s="936">
        <v>68261</v>
      </c>
      <c r="BN45" s="937"/>
      <c r="BO45" s="936">
        <v>68237</v>
      </c>
      <c r="BP45" s="937"/>
      <c r="BQ45" s="936">
        <v>68213</v>
      </c>
      <c r="BR45" s="937"/>
      <c r="BS45" s="936">
        <v>68196</v>
      </c>
      <c r="BT45" s="937"/>
      <c r="BU45" s="936">
        <v>68178</v>
      </c>
      <c r="BV45" s="937"/>
      <c r="BW45" s="936">
        <v>68312</v>
      </c>
      <c r="BX45" s="937"/>
      <c r="BY45" s="936">
        <v>68554</v>
      </c>
      <c r="BZ45" s="937"/>
      <c r="CA45" s="936">
        <v>70210</v>
      </c>
      <c r="CB45" s="937"/>
      <c r="CC45" s="936">
        <v>70032</v>
      </c>
      <c r="CD45" s="937"/>
      <c r="CE45" s="936">
        <v>70181</v>
      </c>
      <c r="CF45" s="937"/>
      <c r="CG45" s="936">
        <v>70291</v>
      </c>
      <c r="CH45" s="937"/>
      <c r="CI45" s="936">
        <v>70401</v>
      </c>
      <c r="CJ45" s="937"/>
      <c r="CK45" s="936">
        <v>70473</v>
      </c>
      <c r="CL45" s="937"/>
      <c r="CM45" s="936">
        <v>70463</v>
      </c>
      <c r="CN45" s="937"/>
      <c r="CO45" s="936">
        <v>70450</v>
      </c>
      <c r="CP45" s="937"/>
      <c r="CQ45" s="936">
        <v>70353</v>
      </c>
      <c r="CR45" s="937"/>
      <c r="CS45" s="936">
        <v>70168</v>
      </c>
      <c r="CT45" s="937"/>
      <c r="CU45" s="936">
        <v>68960</v>
      </c>
      <c r="CV45" s="937"/>
      <c r="CW45" s="936">
        <v>68763</v>
      </c>
      <c r="CX45" s="937"/>
      <c r="CY45" s="936">
        <v>68644</v>
      </c>
      <c r="CZ45" s="937"/>
      <c r="DA45" s="936">
        <v>68522</v>
      </c>
      <c r="DB45" s="937"/>
      <c r="DC45" s="936">
        <v>68398</v>
      </c>
      <c r="DD45" s="937"/>
      <c r="DE45" s="938">
        <v>68323</v>
      </c>
      <c r="DF45" s="641"/>
      <c r="DG45" s="932" t="s">
        <v>432</v>
      </c>
      <c r="DH45" s="933"/>
      <c r="DI45" s="933"/>
      <c r="DJ45" s="933"/>
      <c r="DK45" s="933"/>
      <c r="DL45" s="934"/>
      <c r="DM45" s="935"/>
      <c r="DN45" s="936">
        <v>68144</v>
      </c>
      <c r="DO45" s="937"/>
      <c r="DP45" s="936">
        <v>68144</v>
      </c>
      <c r="DQ45" s="937"/>
      <c r="DR45" s="936">
        <v>68144</v>
      </c>
      <c r="DS45" s="937"/>
      <c r="DT45" s="936">
        <v>68144</v>
      </c>
      <c r="DU45" s="937"/>
      <c r="DV45" s="936">
        <v>68144</v>
      </c>
      <c r="DW45" s="937"/>
      <c r="DX45" s="936">
        <v>68144</v>
      </c>
      <c r="DY45" s="937"/>
      <c r="DZ45" s="936">
        <v>68144</v>
      </c>
      <c r="EA45" s="937"/>
      <c r="EB45" s="936">
        <v>68144</v>
      </c>
      <c r="EC45" s="937"/>
      <c r="ED45" s="936">
        <v>69581</v>
      </c>
      <c r="EE45" s="937"/>
      <c r="EF45" s="936">
        <v>69293</v>
      </c>
      <c r="EG45" s="937"/>
      <c r="EH45" s="936">
        <v>69407</v>
      </c>
      <c r="EI45" s="937"/>
      <c r="EJ45" s="936">
        <v>69521</v>
      </c>
      <c r="EK45" s="937"/>
      <c r="EL45" s="936">
        <v>69573</v>
      </c>
      <c r="EM45" s="937"/>
      <c r="EN45" s="936">
        <v>69611</v>
      </c>
      <c r="EO45" s="937"/>
      <c r="EP45" s="936">
        <v>69604</v>
      </c>
      <c r="EQ45" s="937"/>
      <c r="ER45" s="936">
        <v>69514</v>
      </c>
      <c r="ES45" s="937"/>
      <c r="ET45" s="936">
        <v>69380</v>
      </c>
      <c r="EU45" s="937"/>
      <c r="EV45" s="936">
        <v>69342</v>
      </c>
      <c r="EW45" s="937"/>
      <c r="EX45" s="936">
        <v>68254</v>
      </c>
      <c r="EY45" s="937"/>
      <c r="EZ45" s="936">
        <v>68227</v>
      </c>
      <c r="FA45" s="937"/>
      <c r="FB45" s="936">
        <v>68196</v>
      </c>
      <c r="FC45" s="937"/>
      <c r="FD45" s="936">
        <v>68165</v>
      </c>
      <c r="FE45" s="937"/>
      <c r="FF45" s="936">
        <v>68144</v>
      </c>
      <c r="FG45" s="937"/>
      <c r="FH45" s="938">
        <v>68144</v>
      </c>
      <c r="FI45" s="641"/>
      <c r="FJ45" s="932" t="s">
        <v>432</v>
      </c>
      <c r="FK45" s="933"/>
      <c r="FL45" s="933"/>
      <c r="FM45" s="933"/>
      <c r="FN45" s="933"/>
      <c r="FO45" s="934"/>
      <c r="FP45" s="939"/>
      <c r="FQ45" s="940"/>
      <c r="FR45" s="936">
        <v>0</v>
      </c>
      <c r="FS45" s="941"/>
      <c r="FT45" s="940"/>
      <c r="FU45" s="942">
        <v>0</v>
      </c>
      <c r="FV45" s="586"/>
      <c r="FW45" s="587"/>
      <c r="FX45" s="799"/>
      <c r="FY45" s="589"/>
      <c r="FZ45" s="800"/>
      <c r="GA45" s="591"/>
      <c r="GB45" s="801"/>
      <c r="GC45" s="593"/>
      <c r="GD45" s="801"/>
      <c r="GE45" s="594"/>
      <c r="GF45" s="647"/>
      <c r="GG45" s="648"/>
      <c r="GH45" s="648"/>
      <c r="GI45" s="648"/>
      <c r="GJ45" s="493"/>
      <c r="GK45" s="943"/>
      <c r="GL45" s="943"/>
      <c r="GM45" s="944"/>
      <c r="GN45" s="944"/>
      <c r="GO45" s="945"/>
      <c r="GP45" s="943"/>
      <c r="GQ45" s="943"/>
      <c r="GR45" s="943"/>
      <c r="GS45" s="946"/>
      <c r="GT45" s="854"/>
      <c r="GU45" s="523" t="s">
        <v>511</v>
      </c>
      <c r="GV45" s="410"/>
      <c r="GW45" s="410"/>
      <c r="GX45" s="410"/>
      <c r="GY45" s="523"/>
      <c r="GZ45" s="726"/>
      <c r="HA45" s="744">
        <v>24</v>
      </c>
      <c r="HB45" s="410" t="s">
        <v>484</v>
      </c>
      <c r="HC45" s="931"/>
      <c r="HD45" s="412"/>
    </row>
    <row r="46" spans="1:219" ht="20.100000000000001" customHeight="1">
      <c r="A46" s="947" t="s">
        <v>434</v>
      </c>
      <c r="B46" s="948"/>
      <c r="C46" s="948"/>
      <c r="D46" s="948"/>
      <c r="E46" s="948"/>
      <c r="F46" s="949"/>
      <c r="G46" s="950" t="s">
        <v>435</v>
      </c>
      <c r="H46" s="951"/>
      <c r="I46" s="952" t="s">
        <v>435</v>
      </c>
      <c r="J46" s="951"/>
      <c r="K46" s="952" t="s">
        <v>435</v>
      </c>
      <c r="L46" s="951"/>
      <c r="M46" s="952" t="s">
        <v>435</v>
      </c>
      <c r="N46" s="951"/>
      <c r="O46" s="952" t="s">
        <v>435</v>
      </c>
      <c r="P46" s="951"/>
      <c r="Q46" s="952" t="s">
        <v>435</v>
      </c>
      <c r="R46" s="951"/>
      <c r="S46" s="952" t="s">
        <v>435</v>
      </c>
      <c r="T46" s="951"/>
      <c r="U46" s="952" t="s">
        <v>435</v>
      </c>
      <c r="V46" s="951"/>
      <c r="W46" s="952" t="s">
        <v>435</v>
      </c>
      <c r="X46" s="951"/>
      <c r="Y46" s="952" t="s">
        <v>435</v>
      </c>
      <c r="Z46" s="951"/>
      <c r="AA46" s="952" t="s">
        <v>435</v>
      </c>
      <c r="AB46" s="951"/>
      <c r="AC46" s="952" t="s">
        <v>435</v>
      </c>
      <c r="AD46" s="951"/>
      <c r="AE46" s="952" t="s">
        <v>435</v>
      </c>
      <c r="AF46" s="951"/>
      <c r="AG46" s="952" t="s">
        <v>435</v>
      </c>
      <c r="AH46" s="951"/>
      <c r="AI46" s="952" t="s">
        <v>435</v>
      </c>
      <c r="AJ46" s="951"/>
      <c r="AK46" s="952" t="s">
        <v>435</v>
      </c>
      <c r="AL46" s="951"/>
      <c r="AM46" s="952" t="s">
        <v>435</v>
      </c>
      <c r="AN46" s="951"/>
      <c r="AO46" s="952" t="s">
        <v>435</v>
      </c>
      <c r="AP46" s="951"/>
      <c r="AQ46" s="952" t="s">
        <v>435</v>
      </c>
      <c r="AR46" s="951"/>
      <c r="AS46" s="952" t="s">
        <v>435</v>
      </c>
      <c r="AT46" s="951"/>
      <c r="AU46" s="952" t="s">
        <v>435</v>
      </c>
      <c r="AV46" s="951"/>
      <c r="AW46" s="952" t="s">
        <v>435</v>
      </c>
      <c r="AX46" s="951"/>
      <c r="AY46" s="952" t="s">
        <v>435</v>
      </c>
      <c r="AZ46" s="953"/>
      <c r="BA46" s="954" t="s">
        <v>435</v>
      </c>
      <c r="BB46" s="955"/>
      <c r="BC46" s="956"/>
      <c r="BD46" s="947" t="s">
        <v>434</v>
      </c>
      <c r="BE46" s="948"/>
      <c r="BF46" s="948"/>
      <c r="BG46" s="948"/>
      <c r="BH46" s="948"/>
      <c r="BI46" s="949"/>
      <c r="BJ46" s="950" t="s">
        <v>435</v>
      </c>
      <c r="BK46" s="951"/>
      <c r="BL46" s="952" t="s">
        <v>435</v>
      </c>
      <c r="BM46" s="951"/>
      <c r="BN46" s="952" t="s">
        <v>435</v>
      </c>
      <c r="BO46" s="951"/>
      <c r="BP46" s="952" t="s">
        <v>435</v>
      </c>
      <c r="BQ46" s="951"/>
      <c r="BR46" s="952" t="s">
        <v>435</v>
      </c>
      <c r="BS46" s="951"/>
      <c r="BT46" s="952" t="s">
        <v>435</v>
      </c>
      <c r="BU46" s="951"/>
      <c r="BV46" s="952" t="s">
        <v>435</v>
      </c>
      <c r="BW46" s="951"/>
      <c r="BX46" s="952" t="s">
        <v>435</v>
      </c>
      <c r="BY46" s="951"/>
      <c r="BZ46" s="952" t="s">
        <v>435</v>
      </c>
      <c r="CA46" s="951"/>
      <c r="CB46" s="952" t="s">
        <v>435</v>
      </c>
      <c r="CC46" s="951"/>
      <c r="CD46" s="952" t="s">
        <v>435</v>
      </c>
      <c r="CE46" s="951"/>
      <c r="CF46" s="952" t="s">
        <v>435</v>
      </c>
      <c r="CG46" s="951"/>
      <c r="CH46" s="952" t="s">
        <v>435</v>
      </c>
      <c r="CI46" s="951"/>
      <c r="CJ46" s="952" t="s">
        <v>435</v>
      </c>
      <c r="CK46" s="951"/>
      <c r="CL46" s="952" t="s">
        <v>435</v>
      </c>
      <c r="CM46" s="951"/>
      <c r="CN46" s="952" t="s">
        <v>435</v>
      </c>
      <c r="CO46" s="951"/>
      <c r="CP46" s="952" t="s">
        <v>435</v>
      </c>
      <c r="CQ46" s="951"/>
      <c r="CR46" s="952" t="s">
        <v>435</v>
      </c>
      <c r="CS46" s="951"/>
      <c r="CT46" s="952" t="s">
        <v>435</v>
      </c>
      <c r="CU46" s="951"/>
      <c r="CV46" s="952" t="s">
        <v>435</v>
      </c>
      <c r="CW46" s="951"/>
      <c r="CX46" s="952" t="s">
        <v>435</v>
      </c>
      <c r="CY46" s="951"/>
      <c r="CZ46" s="952" t="s">
        <v>435</v>
      </c>
      <c r="DA46" s="951"/>
      <c r="DB46" s="952" t="s">
        <v>435</v>
      </c>
      <c r="DC46" s="953"/>
      <c r="DD46" s="954" t="s">
        <v>435</v>
      </c>
      <c r="DE46" s="955"/>
      <c r="DF46" s="956"/>
      <c r="DG46" s="947" t="s">
        <v>434</v>
      </c>
      <c r="DH46" s="948"/>
      <c r="DI46" s="948"/>
      <c r="DJ46" s="948"/>
      <c r="DK46" s="948"/>
      <c r="DL46" s="949"/>
      <c r="DM46" s="950" t="s">
        <v>435</v>
      </c>
      <c r="DN46" s="951"/>
      <c r="DO46" s="952" t="s">
        <v>435</v>
      </c>
      <c r="DP46" s="951"/>
      <c r="DQ46" s="952" t="s">
        <v>435</v>
      </c>
      <c r="DR46" s="951"/>
      <c r="DS46" s="952" t="s">
        <v>435</v>
      </c>
      <c r="DT46" s="951"/>
      <c r="DU46" s="952" t="s">
        <v>435</v>
      </c>
      <c r="DV46" s="951"/>
      <c r="DW46" s="952" t="s">
        <v>435</v>
      </c>
      <c r="DX46" s="951"/>
      <c r="DY46" s="952" t="s">
        <v>435</v>
      </c>
      <c r="DZ46" s="951"/>
      <c r="EA46" s="952" t="s">
        <v>435</v>
      </c>
      <c r="EB46" s="951"/>
      <c r="EC46" s="952" t="s">
        <v>435</v>
      </c>
      <c r="ED46" s="951"/>
      <c r="EE46" s="952" t="s">
        <v>435</v>
      </c>
      <c r="EF46" s="951"/>
      <c r="EG46" s="952" t="s">
        <v>435</v>
      </c>
      <c r="EH46" s="951"/>
      <c r="EI46" s="952" t="s">
        <v>435</v>
      </c>
      <c r="EJ46" s="951"/>
      <c r="EK46" s="952" t="s">
        <v>435</v>
      </c>
      <c r="EL46" s="951"/>
      <c r="EM46" s="952" t="s">
        <v>435</v>
      </c>
      <c r="EN46" s="951"/>
      <c r="EO46" s="952" t="s">
        <v>435</v>
      </c>
      <c r="EP46" s="951"/>
      <c r="EQ46" s="952" t="s">
        <v>435</v>
      </c>
      <c r="ER46" s="951"/>
      <c r="ES46" s="952" t="s">
        <v>435</v>
      </c>
      <c r="ET46" s="951"/>
      <c r="EU46" s="952" t="s">
        <v>435</v>
      </c>
      <c r="EV46" s="951"/>
      <c r="EW46" s="952" t="s">
        <v>435</v>
      </c>
      <c r="EX46" s="951"/>
      <c r="EY46" s="952" t="s">
        <v>435</v>
      </c>
      <c r="EZ46" s="951"/>
      <c r="FA46" s="952" t="s">
        <v>435</v>
      </c>
      <c r="FB46" s="951"/>
      <c r="FC46" s="952" t="s">
        <v>435</v>
      </c>
      <c r="FD46" s="951"/>
      <c r="FE46" s="952" t="s">
        <v>435</v>
      </c>
      <c r="FF46" s="953"/>
      <c r="FG46" s="954" t="s">
        <v>435</v>
      </c>
      <c r="FH46" s="955"/>
      <c r="FI46" s="956"/>
      <c r="FJ46" s="947" t="s">
        <v>436</v>
      </c>
      <c r="FK46" s="948"/>
      <c r="FL46" s="948"/>
      <c r="FM46" s="948"/>
      <c r="FN46" s="948"/>
      <c r="FO46" s="949"/>
      <c r="FP46" s="957"/>
      <c r="FQ46" s="958">
        <v>1</v>
      </c>
      <c r="FR46" s="951"/>
      <c r="FS46" s="959"/>
      <c r="FT46" s="960">
        <v>1</v>
      </c>
      <c r="FU46" s="961"/>
      <c r="FV46" s="911"/>
      <c r="FW46" s="912"/>
      <c r="FX46" s="913"/>
      <c r="FY46" s="914"/>
      <c r="FZ46" s="915"/>
      <c r="GA46" s="916"/>
      <c r="GB46" s="917"/>
      <c r="GC46" s="918"/>
      <c r="GD46" s="917"/>
      <c r="GE46" s="919"/>
      <c r="GF46" s="681"/>
      <c r="GG46" s="962"/>
      <c r="GH46" s="962"/>
      <c r="GI46" s="962"/>
      <c r="GJ46" s="410"/>
      <c r="GK46" s="406"/>
      <c r="GL46" s="410"/>
      <c r="GM46" s="743"/>
      <c r="GN46" s="743"/>
      <c r="GO46" s="743"/>
      <c r="GP46" s="743"/>
      <c r="GQ46" s="743"/>
      <c r="GR46" s="854"/>
      <c r="GS46" s="573"/>
      <c r="GT46" s="756"/>
      <c r="GU46" s="767" t="s">
        <v>512</v>
      </c>
      <c r="GV46" s="767"/>
      <c r="GW46" s="767"/>
      <c r="GX46" s="767"/>
      <c r="GY46" s="608"/>
      <c r="GZ46" s="768"/>
      <c r="HA46" s="744">
        <v>27.9</v>
      </c>
      <c r="HB46" s="410" t="s">
        <v>484</v>
      </c>
      <c r="HC46" s="931"/>
      <c r="HD46" s="412"/>
    </row>
    <row r="47" spans="1:219" ht="20.100000000000001" customHeight="1" thickBot="1">
      <c r="A47" s="963" t="s">
        <v>307</v>
      </c>
      <c r="B47" s="964"/>
      <c r="C47" s="964"/>
      <c r="D47" s="965"/>
      <c r="E47" s="966"/>
      <c r="F47" s="966"/>
      <c r="G47" s="967"/>
      <c r="H47" s="968">
        <v>71703</v>
      </c>
      <c r="I47" s="969"/>
      <c r="J47" s="968">
        <v>71678</v>
      </c>
      <c r="K47" s="969"/>
      <c r="L47" s="968">
        <v>71653</v>
      </c>
      <c r="M47" s="969"/>
      <c r="N47" s="968">
        <v>71634</v>
      </c>
      <c r="O47" s="969"/>
      <c r="P47" s="968">
        <v>71613</v>
      </c>
      <c r="Q47" s="969"/>
      <c r="R47" s="968">
        <v>71598</v>
      </c>
      <c r="S47" s="969"/>
      <c r="T47" s="968">
        <v>71689</v>
      </c>
      <c r="U47" s="969"/>
      <c r="V47" s="968">
        <v>71886</v>
      </c>
      <c r="W47" s="969"/>
      <c r="X47" s="968">
        <v>73584</v>
      </c>
      <c r="Y47" s="969"/>
      <c r="Z47" s="968">
        <v>73394</v>
      </c>
      <c r="AA47" s="969"/>
      <c r="AB47" s="968">
        <v>73545</v>
      </c>
      <c r="AC47" s="969"/>
      <c r="AD47" s="968">
        <v>73662</v>
      </c>
      <c r="AE47" s="969"/>
      <c r="AF47" s="968">
        <v>73817</v>
      </c>
      <c r="AG47" s="969"/>
      <c r="AH47" s="968">
        <v>73853</v>
      </c>
      <c r="AI47" s="969"/>
      <c r="AJ47" s="968">
        <v>73885</v>
      </c>
      <c r="AK47" s="969"/>
      <c r="AL47" s="968">
        <v>73835</v>
      </c>
      <c r="AM47" s="969"/>
      <c r="AN47" s="968">
        <v>73691</v>
      </c>
      <c r="AO47" s="969"/>
      <c r="AP47" s="968">
        <v>73575</v>
      </c>
      <c r="AQ47" s="969"/>
      <c r="AR47" s="968">
        <v>72338</v>
      </c>
      <c r="AS47" s="969"/>
      <c r="AT47" s="968">
        <v>72224</v>
      </c>
      <c r="AU47" s="969"/>
      <c r="AV47" s="968">
        <v>72099</v>
      </c>
      <c r="AW47" s="969"/>
      <c r="AX47" s="968">
        <v>71978</v>
      </c>
      <c r="AY47" s="970"/>
      <c r="AZ47" s="971">
        <v>71852</v>
      </c>
      <c r="BA47" s="972"/>
      <c r="BB47" s="973">
        <v>71778</v>
      </c>
      <c r="BC47" s="974"/>
      <c r="BD47" s="963" t="s">
        <v>437</v>
      </c>
      <c r="BE47" s="964"/>
      <c r="BF47" s="964"/>
      <c r="BG47" s="965"/>
      <c r="BH47" s="966"/>
      <c r="BI47" s="966"/>
      <c r="BJ47" s="967"/>
      <c r="BK47" s="968">
        <v>71707</v>
      </c>
      <c r="BL47" s="969"/>
      <c r="BM47" s="968">
        <v>71674</v>
      </c>
      <c r="BN47" s="969"/>
      <c r="BO47" s="968">
        <v>71649</v>
      </c>
      <c r="BP47" s="969"/>
      <c r="BQ47" s="968">
        <v>71624</v>
      </c>
      <c r="BR47" s="969"/>
      <c r="BS47" s="968">
        <v>71606</v>
      </c>
      <c r="BT47" s="969"/>
      <c r="BU47" s="968">
        <v>71587</v>
      </c>
      <c r="BV47" s="969"/>
      <c r="BW47" s="968">
        <v>71728</v>
      </c>
      <c r="BX47" s="969"/>
      <c r="BY47" s="968">
        <v>71982</v>
      </c>
      <c r="BZ47" s="969"/>
      <c r="CA47" s="968">
        <v>73721</v>
      </c>
      <c r="CB47" s="969"/>
      <c r="CC47" s="968">
        <v>73534</v>
      </c>
      <c r="CD47" s="969"/>
      <c r="CE47" s="968">
        <v>73690</v>
      </c>
      <c r="CF47" s="969"/>
      <c r="CG47" s="968">
        <v>73806</v>
      </c>
      <c r="CH47" s="969"/>
      <c r="CI47" s="968">
        <v>73921</v>
      </c>
      <c r="CJ47" s="969"/>
      <c r="CK47" s="968">
        <v>73997</v>
      </c>
      <c r="CL47" s="969"/>
      <c r="CM47" s="968">
        <v>73986</v>
      </c>
      <c r="CN47" s="969"/>
      <c r="CO47" s="968">
        <v>73973</v>
      </c>
      <c r="CP47" s="969"/>
      <c r="CQ47" s="968">
        <v>73871</v>
      </c>
      <c r="CR47" s="969"/>
      <c r="CS47" s="968">
        <v>73676</v>
      </c>
      <c r="CT47" s="969"/>
      <c r="CU47" s="968">
        <v>72408</v>
      </c>
      <c r="CV47" s="969"/>
      <c r="CW47" s="968">
        <v>72201</v>
      </c>
      <c r="CX47" s="969"/>
      <c r="CY47" s="968">
        <v>72076</v>
      </c>
      <c r="CZ47" s="969"/>
      <c r="DA47" s="968">
        <v>71948</v>
      </c>
      <c r="DB47" s="970"/>
      <c r="DC47" s="971">
        <v>71818</v>
      </c>
      <c r="DD47" s="972"/>
      <c r="DE47" s="973">
        <v>71739</v>
      </c>
      <c r="DF47" s="974"/>
      <c r="DG47" s="963" t="s">
        <v>307</v>
      </c>
      <c r="DH47" s="964"/>
      <c r="DI47" s="964"/>
      <c r="DJ47" s="965"/>
      <c r="DK47" s="966"/>
      <c r="DL47" s="966"/>
      <c r="DM47" s="967"/>
      <c r="DN47" s="968">
        <v>71551</v>
      </c>
      <c r="DO47" s="969"/>
      <c r="DP47" s="968">
        <v>71551</v>
      </c>
      <c r="DQ47" s="969"/>
      <c r="DR47" s="968">
        <v>71551</v>
      </c>
      <c r="DS47" s="969"/>
      <c r="DT47" s="968">
        <v>71551</v>
      </c>
      <c r="DU47" s="969"/>
      <c r="DV47" s="968">
        <v>71551</v>
      </c>
      <c r="DW47" s="969"/>
      <c r="DX47" s="968">
        <v>71551</v>
      </c>
      <c r="DY47" s="969"/>
      <c r="DZ47" s="968">
        <v>71551</v>
      </c>
      <c r="EA47" s="969"/>
      <c r="EB47" s="968">
        <v>71551</v>
      </c>
      <c r="EC47" s="969"/>
      <c r="ED47" s="968">
        <v>73060</v>
      </c>
      <c r="EE47" s="969"/>
      <c r="EF47" s="968">
        <v>72758</v>
      </c>
      <c r="EG47" s="969"/>
      <c r="EH47" s="968">
        <v>72877</v>
      </c>
      <c r="EI47" s="969"/>
      <c r="EJ47" s="968">
        <v>72997</v>
      </c>
      <c r="EK47" s="969"/>
      <c r="EL47" s="968">
        <v>73052</v>
      </c>
      <c r="EM47" s="969"/>
      <c r="EN47" s="968">
        <v>73092</v>
      </c>
      <c r="EO47" s="969"/>
      <c r="EP47" s="968">
        <v>73084</v>
      </c>
      <c r="EQ47" s="969"/>
      <c r="ER47" s="968">
        <v>72990</v>
      </c>
      <c r="ES47" s="969"/>
      <c r="ET47" s="968">
        <v>72849</v>
      </c>
      <c r="EU47" s="969"/>
      <c r="EV47" s="968">
        <v>72809</v>
      </c>
      <c r="EW47" s="969"/>
      <c r="EX47" s="968">
        <v>71667</v>
      </c>
      <c r="EY47" s="969"/>
      <c r="EZ47" s="968">
        <v>71638</v>
      </c>
      <c r="FA47" s="969"/>
      <c r="FB47" s="968">
        <v>71606</v>
      </c>
      <c r="FC47" s="969"/>
      <c r="FD47" s="968">
        <v>71573</v>
      </c>
      <c r="FE47" s="970"/>
      <c r="FF47" s="971">
        <v>71551</v>
      </c>
      <c r="FG47" s="972"/>
      <c r="FH47" s="973">
        <v>71551</v>
      </c>
      <c r="FI47" s="974"/>
      <c r="FJ47" s="963" t="s">
        <v>307</v>
      </c>
      <c r="FK47" s="964"/>
      <c r="FL47" s="964"/>
      <c r="FM47" s="965"/>
      <c r="FN47" s="966"/>
      <c r="FO47" s="966"/>
      <c r="FP47" s="975"/>
      <c r="FQ47" s="976"/>
      <c r="FR47" s="968">
        <v>0</v>
      </c>
      <c r="FS47" s="977"/>
      <c r="FT47" s="976"/>
      <c r="FU47" s="978">
        <v>0</v>
      </c>
      <c r="FV47" s="979">
        <v>15</v>
      </c>
      <c r="FW47" s="968">
        <v>73885</v>
      </c>
      <c r="FX47" s="980">
        <v>14</v>
      </c>
      <c r="FY47" s="968">
        <v>73997</v>
      </c>
      <c r="FZ47" s="980">
        <v>14</v>
      </c>
      <c r="GA47" s="968">
        <v>73092</v>
      </c>
      <c r="GB47" s="981" t="s">
        <v>337</v>
      </c>
      <c r="GC47" s="968">
        <v>73997</v>
      </c>
      <c r="GD47" s="981" t="s">
        <v>339</v>
      </c>
      <c r="GE47" s="982">
        <v>0</v>
      </c>
      <c r="GF47" s="681"/>
      <c r="GG47" s="983"/>
      <c r="GH47" s="983"/>
      <c r="GI47" s="983"/>
      <c r="GJ47" s="886"/>
      <c r="GK47" s="410" t="s">
        <v>513</v>
      </c>
      <c r="GL47" s="886"/>
      <c r="GM47" s="523"/>
      <c r="GN47" s="886"/>
      <c r="GO47" s="523"/>
      <c r="GP47" s="523"/>
      <c r="GQ47" s="523"/>
      <c r="GR47" s="886"/>
      <c r="GS47" s="523"/>
      <c r="GT47" s="756"/>
      <c r="GU47" s="767" t="s">
        <v>514</v>
      </c>
      <c r="GV47" s="767"/>
      <c r="GW47" s="767"/>
      <c r="GX47" s="767"/>
      <c r="GY47" s="523"/>
      <c r="GZ47" s="410"/>
      <c r="HA47" s="771">
        <v>0.37</v>
      </c>
      <c r="HB47" s="410"/>
      <c r="HC47" s="974"/>
      <c r="HD47" s="412"/>
    </row>
    <row r="48" spans="1:219" ht="20.100000000000001" customHeight="1">
      <c r="A48" s="984" t="s">
        <v>438</v>
      </c>
      <c r="B48" s="985" t="s">
        <v>439</v>
      </c>
      <c r="C48" s="888"/>
      <c r="D48" s="818"/>
      <c r="E48" s="818"/>
      <c r="F48" s="819"/>
      <c r="G48" s="733" t="s">
        <v>440</v>
      </c>
      <c r="H48" s="656" t="s">
        <v>388</v>
      </c>
      <c r="I48" s="735" t="s">
        <v>440</v>
      </c>
      <c r="J48" s="986" t="s">
        <v>385</v>
      </c>
      <c r="K48" s="735" t="s">
        <v>440</v>
      </c>
      <c r="L48" s="986" t="s">
        <v>385</v>
      </c>
      <c r="M48" s="735" t="s">
        <v>440</v>
      </c>
      <c r="N48" s="986" t="s">
        <v>388</v>
      </c>
      <c r="O48" s="735" t="s">
        <v>440</v>
      </c>
      <c r="P48" s="986" t="s">
        <v>388</v>
      </c>
      <c r="Q48" s="735" t="s">
        <v>440</v>
      </c>
      <c r="R48" s="986" t="s">
        <v>385</v>
      </c>
      <c r="S48" s="735" t="s">
        <v>440</v>
      </c>
      <c r="T48" s="986" t="s">
        <v>385</v>
      </c>
      <c r="U48" s="735" t="s">
        <v>440</v>
      </c>
      <c r="V48" s="986" t="s">
        <v>388</v>
      </c>
      <c r="W48" s="735" t="s">
        <v>440</v>
      </c>
      <c r="X48" s="986" t="s">
        <v>388</v>
      </c>
      <c r="Y48" s="735" t="s">
        <v>441</v>
      </c>
      <c r="Z48" s="986" t="s">
        <v>385</v>
      </c>
      <c r="AA48" s="735" t="s">
        <v>441</v>
      </c>
      <c r="AB48" s="986" t="s">
        <v>385</v>
      </c>
      <c r="AC48" s="735" t="s">
        <v>440</v>
      </c>
      <c r="AD48" s="986" t="s">
        <v>385</v>
      </c>
      <c r="AE48" s="735" t="s">
        <v>440</v>
      </c>
      <c r="AF48" s="986" t="s">
        <v>388</v>
      </c>
      <c r="AG48" s="735" t="s">
        <v>441</v>
      </c>
      <c r="AH48" s="986" t="s">
        <v>385</v>
      </c>
      <c r="AI48" s="735" t="s">
        <v>440</v>
      </c>
      <c r="AJ48" s="986" t="s">
        <v>385</v>
      </c>
      <c r="AK48" s="735" t="s">
        <v>440</v>
      </c>
      <c r="AL48" s="986" t="s">
        <v>385</v>
      </c>
      <c r="AM48" s="735" t="s">
        <v>440</v>
      </c>
      <c r="AN48" s="986" t="s">
        <v>385</v>
      </c>
      <c r="AO48" s="735" t="s">
        <v>441</v>
      </c>
      <c r="AP48" s="986" t="s">
        <v>388</v>
      </c>
      <c r="AQ48" s="735" t="s">
        <v>441</v>
      </c>
      <c r="AR48" s="986" t="s">
        <v>388</v>
      </c>
      <c r="AS48" s="735" t="s">
        <v>441</v>
      </c>
      <c r="AT48" s="986" t="s">
        <v>385</v>
      </c>
      <c r="AU48" s="735" t="s">
        <v>440</v>
      </c>
      <c r="AV48" s="986" t="s">
        <v>385</v>
      </c>
      <c r="AW48" s="735" t="s">
        <v>440</v>
      </c>
      <c r="AX48" s="986" t="s">
        <v>385</v>
      </c>
      <c r="AY48" s="735" t="s">
        <v>441</v>
      </c>
      <c r="AZ48" s="987" t="s">
        <v>388</v>
      </c>
      <c r="BA48" s="988" t="s">
        <v>440</v>
      </c>
      <c r="BB48" s="989" t="s">
        <v>388</v>
      </c>
      <c r="BC48" s="925"/>
      <c r="BD48" s="984" t="s">
        <v>438</v>
      </c>
      <c r="BE48" s="985" t="s">
        <v>439</v>
      </c>
      <c r="BF48" s="888"/>
      <c r="BG48" s="818"/>
      <c r="BH48" s="818"/>
      <c r="BI48" s="819"/>
      <c r="BJ48" s="733" t="s">
        <v>441</v>
      </c>
      <c r="BK48" s="656" t="s">
        <v>385</v>
      </c>
      <c r="BL48" s="735" t="s">
        <v>440</v>
      </c>
      <c r="BM48" s="986" t="s">
        <v>388</v>
      </c>
      <c r="BN48" s="735" t="s">
        <v>440</v>
      </c>
      <c r="BO48" s="986" t="s">
        <v>388</v>
      </c>
      <c r="BP48" s="735" t="s">
        <v>441</v>
      </c>
      <c r="BQ48" s="986" t="s">
        <v>385</v>
      </c>
      <c r="BR48" s="735" t="s">
        <v>440</v>
      </c>
      <c r="BS48" s="986" t="s">
        <v>388</v>
      </c>
      <c r="BT48" s="735" t="s">
        <v>441</v>
      </c>
      <c r="BU48" s="986" t="s">
        <v>388</v>
      </c>
      <c r="BV48" s="735" t="s">
        <v>441</v>
      </c>
      <c r="BW48" s="986" t="s">
        <v>388</v>
      </c>
      <c r="BX48" s="735" t="s">
        <v>441</v>
      </c>
      <c r="BY48" s="986" t="s">
        <v>388</v>
      </c>
      <c r="BZ48" s="735" t="s">
        <v>440</v>
      </c>
      <c r="CA48" s="986" t="s">
        <v>388</v>
      </c>
      <c r="CB48" s="735" t="s">
        <v>440</v>
      </c>
      <c r="CC48" s="986" t="s">
        <v>388</v>
      </c>
      <c r="CD48" s="735" t="s">
        <v>440</v>
      </c>
      <c r="CE48" s="986" t="s">
        <v>388</v>
      </c>
      <c r="CF48" s="735" t="s">
        <v>440</v>
      </c>
      <c r="CG48" s="986" t="s">
        <v>385</v>
      </c>
      <c r="CH48" s="735" t="s">
        <v>440</v>
      </c>
      <c r="CI48" s="986" t="s">
        <v>385</v>
      </c>
      <c r="CJ48" s="735" t="s">
        <v>440</v>
      </c>
      <c r="CK48" s="986" t="s">
        <v>388</v>
      </c>
      <c r="CL48" s="735" t="s">
        <v>441</v>
      </c>
      <c r="CM48" s="986" t="s">
        <v>385</v>
      </c>
      <c r="CN48" s="735" t="s">
        <v>441</v>
      </c>
      <c r="CO48" s="986" t="s">
        <v>385</v>
      </c>
      <c r="CP48" s="735" t="s">
        <v>440</v>
      </c>
      <c r="CQ48" s="986" t="s">
        <v>385</v>
      </c>
      <c r="CR48" s="735" t="s">
        <v>440</v>
      </c>
      <c r="CS48" s="986" t="s">
        <v>388</v>
      </c>
      <c r="CT48" s="735" t="s">
        <v>441</v>
      </c>
      <c r="CU48" s="986" t="s">
        <v>385</v>
      </c>
      <c r="CV48" s="735" t="s">
        <v>440</v>
      </c>
      <c r="CW48" s="986" t="s">
        <v>385</v>
      </c>
      <c r="CX48" s="735" t="s">
        <v>440</v>
      </c>
      <c r="CY48" s="986" t="s">
        <v>385</v>
      </c>
      <c r="CZ48" s="735" t="s">
        <v>440</v>
      </c>
      <c r="DA48" s="986" t="s">
        <v>385</v>
      </c>
      <c r="DB48" s="735" t="s">
        <v>441</v>
      </c>
      <c r="DC48" s="987" t="s">
        <v>388</v>
      </c>
      <c r="DD48" s="988" t="s">
        <v>441</v>
      </c>
      <c r="DE48" s="989" t="s">
        <v>388</v>
      </c>
      <c r="DF48" s="925"/>
      <c r="DG48" s="984" t="s">
        <v>438</v>
      </c>
      <c r="DH48" s="985" t="s">
        <v>442</v>
      </c>
      <c r="DI48" s="888"/>
      <c r="DJ48" s="818"/>
      <c r="DK48" s="818"/>
      <c r="DL48" s="819"/>
      <c r="DM48" s="733" t="s">
        <v>441</v>
      </c>
      <c r="DN48" s="656" t="s">
        <v>385</v>
      </c>
      <c r="DO48" s="735" t="s">
        <v>440</v>
      </c>
      <c r="DP48" s="986" t="s">
        <v>385</v>
      </c>
      <c r="DQ48" s="735" t="s">
        <v>441</v>
      </c>
      <c r="DR48" s="986" t="s">
        <v>385</v>
      </c>
      <c r="DS48" s="735" t="s">
        <v>440</v>
      </c>
      <c r="DT48" s="986" t="s">
        <v>388</v>
      </c>
      <c r="DU48" s="735" t="s">
        <v>441</v>
      </c>
      <c r="DV48" s="986" t="s">
        <v>385</v>
      </c>
      <c r="DW48" s="735" t="s">
        <v>441</v>
      </c>
      <c r="DX48" s="986" t="s">
        <v>388</v>
      </c>
      <c r="DY48" s="735" t="s">
        <v>441</v>
      </c>
      <c r="DZ48" s="986" t="s">
        <v>388</v>
      </c>
      <c r="EA48" s="735" t="s">
        <v>440</v>
      </c>
      <c r="EB48" s="986" t="s">
        <v>388</v>
      </c>
      <c r="EC48" s="735" t="s">
        <v>441</v>
      </c>
      <c r="ED48" s="986" t="s">
        <v>385</v>
      </c>
      <c r="EE48" s="735" t="s">
        <v>440</v>
      </c>
      <c r="EF48" s="986" t="s">
        <v>388</v>
      </c>
      <c r="EG48" s="735" t="s">
        <v>441</v>
      </c>
      <c r="EH48" s="986" t="s">
        <v>388</v>
      </c>
      <c r="EI48" s="735" t="s">
        <v>441</v>
      </c>
      <c r="EJ48" s="986" t="s">
        <v>388</v>
      </c>
      <c r="EK48" s="735" t="s">
        <v>441</v>
      </c>
      <c r="EL48" s="986" t="s">
        <v>388</v>
      </c>
      <c r="EM48" s="735" t="s">
        <v>441</v>
      </c>
      <c r="EN48" s="986" t="s">
        <v>388</v>
      </c>
      <c r="EO48" s="735" t="s">
        <v>440</v>
      </c>
      <c r="EP48" s="986" t="s">
        <v>388</v>
      </c>
      <c r="EQ48" s="735" t="s">
        <v>440</v>
      </c>
      <c r="ER48" s="986" t="s">
        <v>388</v>
      </c>
      <c r="ES48" s="735" t="s">
        <v>440</v>
      </c>
      <c r="ET48" s="986" t="s">
        <v>385</v>
      </c>
      <c r="EU48" s="735" t="s">
        <v>440</v>
      </c>
      <c r="EV48" s="986" t="s">
        <v>385</v>
      </c>
      <c r="EW48" s="735" t="s">
        <v>440</v>
      </c>
      <c r="EX48" s="986" t="s">
        <v>388</v>
      </c>
      <c r="EY48" s="735" t="s">
        <v>441</v>
      </c>
      <c r="EZ48" s="986" t="s">
        <v>385</v>
      </c>
      <c r="FA48" s="735" t="s">
        <v>441</v>
      </c>
      <c r="FB48" s="986" t="s">
        <v>385</v>
      </c>
      <c r="FC48" s="735" t="s">
        <v>440</v>
      </c>
      <c r="FD48" s="986" t="s">
        <v>385</v>
      </c>
      <c r="FE48" s="735" t="s">
        <v>440</v>
      </c>
      <c r="FF48" s="987" t="s">
        <v>388</v>
      </c>
      <c r="FG48" s="988" t="s">
        <v>441</v>
      </c>
      <c r="FH48" s="989" t="s">
        <v>385</v>
      </c>
      <c r="FI48" s="925"/>
      <c r="FJ48" s="984" t="s">
        <v>443</v>
      </c>
      <c r="FK48" s="731" t="s">
        <v>442</v>
      </c>
      <c r="FL48" s="888"/>
      <c r="FM48" s="818"/>
      <c r="FN48" s="818"/>
      <c r="FO48" s="819"/>
      <c r="FP48" s="740" t="s">
        <v>407</v>
      </c>
      <c r="FQ48" s="666" t="s">
        <v>440</v>
      </c>
      <c r="FR48" s="656" t="s">
        <v>391</v>
      </c>
      <c r="FS48" s="990" t="s">
        <v>407</v>
      </c>
      <c r="FT48" s="666" t="s">
        <v>440</v>
      </c>
      <c r="FU48" s="991" t="s">
        <v>391</v>
      </c>
      <c r="FV48" s="992"/>
      <c r="FW48" s="986" t="s">
        <v>289</v>
      </c>
      <c r="FX48" s="990"/>
      <c r="FY48" s="986" t="s">
        <v>289</v>
      </c>
      <c r="FZ48" s="990"/>
      <c r="GA48" s="986" t="s">
        <v>289</v>
      </c>
      <c r="GB48" s="990"/>
      <c r="GC48" s="986" t="s">
        <v>289</v>
      </c>
      <c r="GD48" s="990"/>
      <c r="GE48" s="993" t="s">
        <v>290</v>
      </c>
      <c r="GF48" s="681"/>
      <c r="GG48" s="648"/>
      <c r="GH48" s="648"/>
      <c r="GI48" s="648"/>
      <c r="GJ48" s="523"/>
      <c r="GK48" s="608" t="s">
        <v>515</v>
      </c>
      <c r="GL48" s="523"/>
      <c r="GM48" s="608"/>
      <c r="GN48" s="523"/>
      <c r="GO48" s="608"/>
      <c r="GP48" s="608"/>
      <c r="GQ48" s="608"/>
      <c r="GR48" s="523"/>
      <c r="GS48" s="523"/>
      <c r="GT48" s="493"/>
      <c r="GU48" s="493"/>
      <c r="GV48" s="493"/>
      <c r="GW48" s="572"/>
      <c r="GX48" s="572"/>
      <c r="GY48" s="572"/>
      <c r="GZ48" s="571"/>
      <c r="HA48" s="493"/>
      <c r="HB48" s="493"/>
      <c r="HC48" s="974"/>
      <c r="HD48" s="412"/>
    </row>
    <row r="49" spans="1:212" ht="20.100000000000001" customHeight="1">
      <c r="A49" s="994"/>
      <c r="B49" s="745" t="s">
        <v>394</v>
      </c>
      <c r="C49" s="995"/>
      <c r="D49" s="747">
        <v>40</v>
      </c>
      <c r="E49" s="748">
        <v>2</v>
      </c>
      <c r="F49" s="996" t="s">
        <v>393</v>
      </c>
      <c r="G49" s="750">
        <v>1</v>
      </c>
      <c r="H49" s="552">
        <v>80</v>
      </c>
      <c r="I49" s="751">
        <v>1</v>
      </c>
      <c r="J49" s="552">
        <v>80</v>
      </c>
      <c r="K49" s="751">
        <v>1</v>
      </c>
      <c r="L49" s="552">
        <v>80</v>
      </c>
      <c r="M49" s="751">
        <v>1</v>
      </c>
      <c r="N49" s="552">
        <v>80</v>
      </c>
      <c r="O49" s="751">
        <v>1</v>
      </c>
      <c r="P49" s="552">
        <v>80</v>
      </c>
      <c r="Q49" s="751">
        <v>1</v>
      </c>
      <c r="R49" s="552">
        <v>80</v>
      </c>
      <c r="S49" s="751">
        <v>1</v>
      </c>
      <c r="T49" s="552">
        <v>80</v>
      </c>
      <c r="U49" s="751">
        <v>1</v>
      </c>
      <c r="V49" s="552">
        <v>80</v>
      </c>
      <c r="W49" s="751">
        <v>1</v>
      </c>
      <c r="X49" s="552">
        <v>80</v>
      </c>
      <c r="Y49" s="751">
        <v>1</v>
      </c>
      <c r="Z49" s="552">
        <v>80</v>
      </c>
      <c r="AA49" s="751">
        <v>1</v>
      </c>
      <c r="AB49" s="552">
        <v>80</v>
      </c>
      <c r="AC49" s="751">
        <v>1</v>
      </c>
      <c r="AD49" s="552">
        <v>80</v>
      </c>
      <c r="AE49" s="751">
        <v>1</v>
      </c>
      <c r="AF49" s="552">
        <v>80</v>
      </c>
      <c r="AG49" s="751">
        <v>1</v>
      </c>
      <c r="AH49" s="552">
        <v>80</v>
      </c>
      <c r="AI49" s="751">
        <v>1</v>
      </c>
      <c r="AJ49" s="552">
        <v>80</v>
      </c>
      <c r="AK49" s="751">
        <v>1</v>
      </c>
      <c r="AL49" s="552">
        <v>80</v>
      </c>
      <c r="AM49" s="751">
        <v>1</v>
      </c>
      <c r="AN49" s="552">
        <v>80</v>
      </c>
      <c r="AO49" s="751">
        <v>1</v>
      </c>
      <c r="AP49" s="552">
        <v>80</v>
      </c>
      <c r="AQ49" s="751">
        <v>1</v>
      </c>
      <c r="AR49" s="552">
        <v>80</v>
      </c>
      <c r="AS49" s="751">
        <v>1</v>
      </c>
      <c r="AT49" s="552">
        <v>80</v>
      </c>
      <c r="AU49" s="751">
        <v>1</v>
      </c>
      <c r="AV49" s="552">
        <v>80</v>
      </c>
      <c r="AW49" s="751">
        <v>1</v>
      </c>
      <c r="AX49" s="552">
        <v>80</v>
      </c>
      <c r="AY49" s="997">
        <v>1</v>
      </c>
      <c r="AZ49" s="998">
        <v>80</v>
      </c>
      <c r="BA49" s="999">
        <v>1</v>
      </c>
      <c r="BB49" s="1000">
        <v>80</v>
      </c>
      <c r="BC49" s="931"/>
      <c r="BD49" s="994"/>
      <c r="BE49" s="745" t="s">
        <v>392</v>
      </c>
      <c r="BF49" s="995"/>
      <c r="BG49" s="747"/>
      <c r="BH49" s="748">
        <v>2</v>
      </c>
      <c r="BI49" s="996" t="s">
        <v>393</v>
      </c>
      <c r="BJ49" s="750">
        <v>1</v>
      </c>
      <c r="BK49" s="552">
        <v>80</v>
      </c>
      <c r="BL49" s="751">
        <v>1</v>
      </c>
      <c r="BM49" s="552">
        <v>80</v>
      </c>
      <c r="BN49" s="751">
        <v>1</v>
      </c>
      <c r="BO49" s="552">
        <v>80</v>
      </c>
      <c r="BP49" s="751">
        <v>1</v>
      </c>
      <c r="BQ49" s="552">
        <v>80</v>
      </c>
      <c r="BR49" s="751">
        <v>1</v>
      </c>
      <c r="BS49" s="552">
        <v>80</v>
      </c>
      <c r="BT49" s="751">
        <v>1</v>
      </c>
      <c r="BU49" s="552">
        <v>80</v>
      </c>
      <c r="BV49" s="751">
        <v>1</v>
      </c>
      <c r="BW49" s="552">
        <v>80</v>
      </c>
      <c r="BX49" s="751">
        <v>1</v>
      </c>
      <c r="BY49" s="552">
        <v>80</v>
      </c>
      <c r="BZ49" s="751">
        <v>1</v>
      </c>
      <c r="CA49" s="552">
        <v>80</v>
      </c>
      <c r="CB49" s="751">
        <v>1</v>
      </c>
      <c r="CC49" s="552">
        <v>80</v>
      </c>
      <c r="CD49" s="751">
        <v>1</v>
      </c>
      <c r="CE49" s="552">
        <v>80</v>
      </c>
      <c r="CF49" s="751">
        <v>1</v>
      </c>
      <c r="CG49" s="552">
        <v>80</v>
      </c>
      <c r="CH49" s="751">
        <v>1</v>
      </c>
      <c r="CI49" s="552">
        <v>80</v>
      </c>
      <c r="CJ49" s="751">
        <v>1</v>
      </c>
      <c r="CK49" s="552">
        <v>80</v>
      </c>
      <c r="CL49" s="751">
        <v>1</v>
      </c>
      <c r="CM49" s="552">
        <v>80</v>
      </c>
      <c r="CN49" s="751">
        <v>1</v>
      </c>
      <c r="CO49" s="552">
        <v>80</v>
      </c>
      <c r="CP49" s="751">
        <v>1</v>
      </c>
      <c r="CQ49" s="552">
        <v>80</v>
      </c>
      <c r="CR49" s="751">
        <v>1</v>
      </c>
      <c r="CS49" s="552">
        <v>80</v>
      </c>
      <c r="CT49" s="751">
        <v>1</v>
      </c>
      <c r="CU49" s="552">
        <v>80</v>
      </c>
      <c r="CV49" s="751">
        <v>1</v>
      </c>
      <c r="CW49" s="552">
        <v>80</v>
      </c>
      <c r="CX49" s="751">
        <v>1</v>
      </c>
      <c r="CY49" s="552">
        <v>80</v>
      </c>
      <c r="CZ49" s="751">
        <v>1</v>
      </c>
      <c r="DA49" s="552">
        <v>80</v>
      </c>
      <c r="DB49" s="997">
        <v>1</v>
      </c>
      <c r="DC49" s="998">
        <v>80</v>
      </c>
      <c r="DD49" s="999">
        <v>1</v>
      </c>
      <c r="DE49" s="1000">
        <v>80</v>
      </c>
      <c r="DF49" s="931"/>
      <c r="DG49" s="994"/>
      <c r="DH49" s="745" t="s">
        <v>392</v>
      </c>
      <c r="DI49" s="995"/>
      <c r="DJ49" s="747"/>
      <c r="DK49" s="748">
        <v>2</v>
      </c>
      <c r="DL49" s="996" t="s">
        <v>393</v>
      </c>
      <c r="DM49" s="750">
        <v>1</v>
      </c>
      <c r="DN49" s="552">
        <v>80</v>
      </c>
      <c r="DO49" s="751">
        <v>1</v>
      </c>
      <c r="DP49" s="552">
        <v>80</v>
      </c>
      <c r="DQ49" s="751">
        <v>1</v>
      </c>
      <c r="DR49" s="552">
        <v>80</v>
      </c>
      <c r="DS49" s="751">
        <v>1</v>
      </c>
      <c r="DT49" s="552">
        <v>80</v>
      </c>
      <c r="DU49" s="751">
        <v>1</v>
      </c>
      <c r="DV49" s="552">
        <v>80</v>
      </c>
      <c r="DW49" s="751">
        <v>1</v>
      </c>
      <c r="DX49" s="552">
        <v>80</v>
      </c>
      <c r="DY49" s="751">
        <v>1</v>
      </c>
      <c r="DZ49" s="552">
        <v>80</v>
      </c>
      <c r="EA49" s="751">
        <v>1</v>
      </c>
      <c r="EB49" s="552">
        <v>80</v>
      </c>
      <c r="EC49" s="751">
        <v>1</v>
      </c>
      <c r="ED49" s="552">
        <v>80</v>
      </c>
      <c r="EE49" s="751">
        <v>1</v>
      </c>
      <c r="EF49" s="552">
        <v>80</v>
      </c>
      <c r="EG49" s="751">
        <v>1</v>
      </c>
      <c r="EH49" s="552">
        <v>80</v>
      </c>
      <c r="EI49" s="751">
        <v>1</v>
      </c>
      <c r="EJ49" s="552">
        <v>80</v>
      </c>
      <c r="EK49" s="751">
        <v>1</v>
      </c>
      <c r="EL49" s="552">
        <v>80</v>
      </c>
      <c r="EM49" s="751">
        <v>1</v>
      </c>
      <c r="EN49" s="552">
        <v>80</v>
      </c>
      <c r="EO49" s="751">
        <v>1</v>
      </c>
      <c r="EP49" s="552">
        <v>80</v>
      </c>
      <c r="EQ49" s="751">
        <v>1</v>
      </c>
      <c r="ER49" s="552">
        <v>80</v>
      </c>
      <c r="ES49" s="751">
        <v>1</v>
      </c>
      <c r="ET49" s="552">
        <v>80</v>
      </c>
      <c r="EU49" s="751">
        <v>1</v>
      </c>
      <c r="EV49" s="552">
        <v>80</v>
      </c>
      <c r="EW49" s="751">
        <v>1</v>
      </c>
      <c r="EX49" s="552">
        <v>80</v>
      </c>
      <c r="EY49" s="751">
        <v>1</v>
      </c>
      <c r="EZ49" s="552">
        <v>80</v>
      </c>
      <c r="FA49" s="751">
        <v>1</v>
      </c>
      <c r="FB49" s="552">
        <v>80</v>
      </c>
      <c r="FC49" s="751">
        <v>1</v>
      </c>
      <c r="FD49" s="552">
        <v>80</v>
      </c>
      <c r="FE49" s="997">
        <v>1</v>
      </c>
      <c r="FF49" s="998">
        <v>80</v>
      </c>
      <c r="FG49" s="999">
        <v>1</v>
      </c>
      <c r="FH49" s="1000">
        <v>80</v>
      </c>
      <c r="FI49" s="931"/>
      <c r="FJ49" s="994"/>
      <c r="FK49" s="745" t="s">
        <v>394</v>
      </c>
      <c r="FL49" s="995"/>
      <c r="FM49" s="752"/>
      <c r="FN49" s="748">
        <v>0</v>
      </c>
      <c r="FO49" s="996"/>
      <c r="FP49" s="678"/>
      <c r="FQ49" s="753"/>
      <c r="FR49" s="580">
        <v>0</v>
      </c>
      <c r="FS49" s="754"/>
      <c r="FT49" s="753"/>
      <c r="FU49" s="560">
        <v>0</v>
      </c>
      <c r="FV49" s="1001" t="s">
        <v>308</v>
      </c>
      <c r="FW49" s="1002"/>
      <c r="FX49" s="1003" t="s">
        <v>309</v>
      </c>
      <c r="FY49" s="1004"/>
      <c r="FZ49" s="1005" t="s">
        <v>310</v>
      </c>
      <c r="GA49" s="1006"/>
      <c r="GB49" s="1007" t="s">
        <v>311</v>
      </c>
      <c r="GC49" s="1008"/>
      <c r="GD49" s="1007" t="s">
        <v>312</v>
      </c>
      <c r="GE49" s="1009"/>
      <c r="GF49" s="681"/>
      <c r="GG49" s="595"/>
      <c r="GH49" s="595"/>
      <c r="GI49" s="595"/>
      <c r="GJ49" s="573"/>
      <c r="GK49" s="410" t="s">
        <v>516</v>
      </c>
      <c r="GL49" s="573"/>
      <c r="GM49" s="410"/>
      <c r="GN49" s="573"/>
      <c r="GO49" s="410"/>
      <c r="GP49" s="410"/>
      <c r="GQ49" s="410"/>
      <c r="GR49" s="573"/>
      <c r="GS49" s="523"/>
      <c r="GT49" s="854"/>
      <c r="GU49" s="523" t="s">
        <v>497</v>
      </c>
      <c r="GV49" s="608"/>
      <c r="GW49" s="523"/>
      <c r="GX49" s="608"/>
      <c r="GY49" s="523"/>
      <c r="GZ49" s="388"/>
      <c r="HA49" s="573"/>
      <c r="HB49" s="388"/>
      <c r="HC49" s="1010"/>
      <c r="HD49" s="412"/>
    </row>
    <row r="50" spans="1:212" ht="20.100000000000001" customHeight="1">
      <c r="A50" s="994"/>
      <c r="B50" s="757" t="s">
        <v>403</v>
      </c>
      <c r="C50" s="1011"/>
      <c r="D50" s="1012">
        <v>0</v>
      </c>
      <c r="E50" s="1013">
        <v>0</v>
      </c>
      <c r="F50" s="1014"/>
      <c r="G50" s="1015"/>
      <c r="H50" s="580">
        <v>0</v>
      </c>
      <c r="I50" s="1016"/>
      <c r="J50" s="580">
        <v>0</v>
      </c>
      <c r="K50" s="1016"/>
      <c r="L50" s="580">
        <v>0</v>
      </c>
      <c r="M50" s="1016"/>
      <c r="N50" s="580">
        <v>0</v>
      </c>
      <c r="O50" s="1016"/>
      <c r="P50" s="580">
        <v>0</v>
      </c>
      <c r="Q50" s="1016"/>
      <c r="R50" s="580">
        <v>0</v>
      </c>
      <c r="S50" s="1016"/>
      <c r="T50" s="580">
        <v>0</v>
      </c>
      <c r="U50" s="1016"/>
      <c r="V50" s="580">
        <v>0</v>
      </c>
      <c r="W50" s="1016"/>
      <c r="X50" s="580">
        <v>0</v>
      </c>
      <c r="Y50" s="1016"/>
      <c r="Z50" s="580">
        <v>0</v>
      </c>
      <c r="AA50" s="1016"/>
      <c r="AB50" s="580">
        <v>0</v>
      </c>
      <c r="AC50" s="1016"/>
      <c r="AD50" s="580">
        <v>0</v>
      </c>
      <c r="AE50" s="1016"/>
      <c r="AF50" s="580">
        <v>0</v>
      </c>
      <c r="AG50" s="1016"/>
      <c r="AH50" s="580">
        <v>0</v>
      </c>
      <c r="AI50" s="1016"/>
      <c r="AJ50" s="580">
        <v>0</v>
      </c>
      <c r="AK50" s="1016"/>
      <c r="AL50" s="580">
        <v>0</v>
      </c>
      <c r="AM50" s="1016"/>
      <c r="AN50" s="580">
        <v>0</v>
      </c>
      <c r="AO50" s="1016"/>
      <c r="AP50" s="580">
        <v>0</v>
      </c>
      <c r="AQ50" s="1016"/>
      <c r="AR50" s="580">
        <v>0</v>
      </c>
      <c r="AS50" s="1016"/>
      <c r="AT50" s="580">
        <v>0</v>
      </c>
      <c r="AU50" s="1016"/>
      <c r="AV50" s="580">
        <v>0</v>
      </c>
      <c r="AW50" s="1016"/>
      <c r="AX50" s="580">
        <v>0</v>
      </c>
      <c r="AY50" s="1017"/>
      <c r="AZ50" s="1018">
        <v>0</v>
      </c>
      <c r="BA50" s="1019"/>
      <c r="BB50" s="1020">
        <v>0</v>
      </c>
      <c r="BC50" s="931"/>
      <c r="BD50" s="994"/>
      <c r="BE50" s="757" t="s">
        <v>406</v>
      </c>
      <c r="BF50" s="1011"/>
      <c r="BG50" s="1012">
        <v>0</v>
      </c>
      <c r="BH50" s="1013">
        <v>0</v>
      </c>
      <c r="BI50" s="1014"/>
      <c r="BJ50" s="1015"/>
      <c r="BK50" s="580">
        <v>0</v>
      </c>
      <c r="BL50" s="1016"/>
      <c r="BM50" s="580">
        <v>0</v>
      </c>
      <c r="BN50" s="1016"/>
      <c r="BO50" s="580">
        <v>0</v>
      </c>
      <c r="BP50" s="1016"/>
      <c r="BQ50" s="580">
        <v>0</v>
      </c>
      <c r="BR50" s="1016"/>
      <c r="BS50" s="580">
        <v>0</v>
      </c>
      <c r="BT50" s="1016"/>
      <c r="BU50" s="580">
        <v>0</v>
      </c>
      <c r="BV50" s="1016"/>
      <c r="BW50" s="580">
        <v>0</v>
      </c>
      <c r="BX50" s="1016"/>
      <c r="BY50" s="580">
        <v>0</v>
      </c>
      <c r="BZ50" s="1016"/>
      <c r="CA50" s="580">
        <v>0</v>
      </c>
      <c r="CB50" s="1016"/>
      <c r="CC50" s="580">
        <v>0</v>
      </c>
      <c r="CD50" s="1016"/>
      <c r="CE50" s="580">
        <v>0</v>
      </c>
      <c r="CF50" s="1016"/>
      <c r="CG50" s="580">
        <v>0</v>
      </c>
      <c r="CH50" s="1016"/>
      <c r="CI50" s="580">
        <v>0</v>
      </c>
      <c r="CJ50" s="1016"/>
      <c r="CK50" s="580">
        <v>0</v>
      </c>
      <c r="CL50" s="1016"/>
      <c r="CM50" s="580">
        <v>0</v>
      </c>
      <c r="CN50" s="1016"/>
      <c r="CO50" s="580">
        <v>0</v>
      </c>
      <c r="CP50" s="1016"/>
      <c r="CQ50" s="580">
        <v>0</v>
      </c>
      <c r="CR50" s="1016"/>
      <c r="CS50" s="580">
        <v>0</v>
      </c>
      <c r="CT50" s="1016"/>
      <c r="CU50" s="580">
        <v>0</v>
      </c>
      <c r="CV50" s="1016"/>
      <c r="CW50" s="580">
        <v>0</v>
      </c>
      <c r="CX50" s="1016"/>
      <c r="CY50" s="580">
        <v>0</v>
      </c>
      <c r="CZ50" s="1016"/>
      <c r="DA50" s="580">
        <v>0</v>
      </c>
      <c r="DB50" s="1017"/>
      <c r="DC50" s="1018">
        <v>0</v>
      </c>
      <c r="DD50" s="1019"/>
      <c r="DE50" s="1020">
        <v>0</v>
      </c>
      <c r="DF50" s="931"/>
      <c r="DG50" s="994"/>
      <c r="DH50" s="757" t="s">
        <v>406</v>
      </c>
      <c r="DI50" s="1011"/>
      <c r="DJ50" s="1012">
        <v>0</v>
      </c>
      <c r="DK50" s="1013">
        <v>0</v>
      </c>
      <c r="DL50" s="1014"/>
      <c r="DM50" s="1015"/>
      <c r="DN50" s="580">
        <v>0</v>
      </c>
      <c r="DO50" s="1016"/>
      <c r="DP50" s="580">
        <v>0</v>
      </c>
      <c r="DQ50" s="1016"/>
      <c r="DR50" s="580">
        <v>0</v>
      </c>
      <c r="DS50" s="1016"/>
      <c r="DT50" s="580">
        <v>0</v>
      </c>
      <c r="DU50" s="1016"/>
      <c r="DV50" s="580">
        <v>0</v>
      </c>
      <c r="DW50" s="1016"/>
      <c r="DX50" s="580">
        <v>0</v>
      </c>
      <c r="DY50" s="1016"/>
      <c r="DZ50" s="580">
        <v>0</v>
      </c>
      <c r="EA50" s="1016"/>
      <c r="EB50" s="580">
        <v>0</v>
      </c>
      <c r="EC50" s="1016"/>
      <c r="ED50" s="580">
        <v>0</v>
      </c>
      <c r="EE50" s="1016"/>
      <c r="EF50" s="580">
        <v>0</v>
      </c>
      <c r="EG50" s="1016"/>
      <c r="EH50" s="580">
        <v>0</v>
      </c>
      <c r="EI50" s="1016"/>
      <c r="EJ50" s="580">
        <v>0</v>
      </c>
      <c r="EK50" s="1016"/>
      <c r="EL50" s="580">
        <v>0</v>
      </c>
      <c r="EM50" s="1016"/>
      <c r="EN50" s="580">
        <v>0</v>
      </c>
      <c r="EO50" s="1016"/>
      <c r="EP50" s="580">
        <v>0</v>
      </c>
      <c r="EQ50" s="1016"/>
      <c r="ER50" s="580">
        <v>0</v>
      </c>
      <c r="ES50" s="1016"/>
      <c r="ET50" s="580">
        <v>0</v>
      </c>
      <c r="EU50" s="1016"/>
      <c r="EV50" s="580">
        <v>0</v>
      </c>
      <c r="EW50" s="1016"/>
      <c r="EX50" s="580">
        <v>0</v>
      </c>
      <c r="EY50" s="1016"/>
      <c r="EZ50" s="580">
        <v>0</v>
      </c>
      <c r="FA50" s="1016"/>
      <c r="FB50" s="580">
        <v>0</v>
      </c>
      <c r="FC50" s="1016"/>
      <c r="FD50" s="580">
        <v>0</v>
      </c>
      <c r="FE50" s="1017"/>
      <c r="FF50" s="1018">
        <v>0</v>
      </c>
      <c r="FG50" s="1019"/>
      <c r="FH50" s="1020">
        <v>0</v>
      </c>
      <c r="FI50" s="931"/>
      <c r="FJ50" s="994"/>
      <c r="FK50" s="757" t="s">
        <v>406</v>
      </c>
      <c r="FL50" s="1011"/>
      <c r="FM50" s="1012">
        <v>0</v>
      </c>
      <c r="FN50" s="1013">
        <v>0</v>
      </c>
      <c r="FO50" s="1014"/>
      <c r="FP50" s="689"/>
      <c r="FQ50" s="1021"/>
      <c r="FR50" s="580">
        <v>0</v>
      </c>
      <c r="FS50" s="766"/>
      <c r="FT50" s="1021"/>
      <c r="FU50" s="585">
        <v>0</v>
      </c>
      <c r="FV50" s="1022"/>
      <c r="FW50" s="1023"/>
      <c r="FX50" s="1024"/>
      <c r="FY50" s="1025"/>
      <c r="FZ50" s="1026"/>
      <c r="GA50" s="1027"/>
      <c r="GB50" s="1028"/>
      <c r="GC50" s="1029"/>
      <c r="GD50" s="1028"/>
      <c r="GE50" s="1030"/>
      <c r="GF50" s="681"/>
      <c r="GG50" s="595"/>
      <c r="GH50" s="595"/>
      <c r="GI50" s="595"/>
      <c r="GJ50" s="573"/>
      <c r="GK50" s="410" t="s">
        <v>517</v>
      </c>
      <c r="GL50" s="573"/>
      <c r="GM50" s="410"/>
      <c r="GN50" s="573"/>
      <c r="GO50" s="410"/>
      <c r="GP50" s="410"/>
      <c r="GQ50" s="410"/>
      <c r="GR50" s="573"/>
      <c r="GS50" s="946"/>
      <c r="GT50" s="930"/>
      <c r="GU50" s="573" t="s">
        <v>498</v>
      </c>
      <c r="GV50" s="573"/>
      <c r="GW50" s="573"/>
      <c r="GX50" s="573"/>
      <c r="GY50" s="608"/>
      <c r="GZ50" s="572"/>
      <c r="HA50" s="608">
        <v>0</v>
      </c>
      <c r="HB50" s="572" t="s">
        <v>293</v>
      </c>
      <c r="HC50" s="1031"/>
      <c r="HD50" s="412"/>
    </row>
    <row r="51" spans="1:212" ht="20.100000000000001" customHeight="1" thickBot="1">
      <c r="A51" s="1032"/>
      <c r="B51" s="459" t="s">
        <v>444</v>
      </c>
      <c r="C51" s="1033"/>
      <c r="D51" s="778"/>
      <c r="E51" s="789"/>
      <c r="F51" s="1034"/>
      <c r="G51" s="791"/>
      <c r="H51" s="792">
        <v>0</v>
      </c>
      <c r="I51" s="793"/>
      <c r="J51" s="792">
        <v>0</v>
      </c>
      <c r="K51" s="793"/>
      <c r="L51" s="792">
        <v>0</v>
      </c>
      <c r="M51" s="793"/>
      <c r="N51" s="792">
        <v>0</v>
      </c>
      <c r="O51" s="793"/>
      <c r="P51" s="792">
        <v>0</v>
      </c>
      <c r="Q51" s="793"/>
      <c r="R51" s="792">
        <v>0</v>
      </c>
      <c r="S51" s="793"/>
      <c r="T51" s="792">
        <v>0</v>
      </c>
      <c r="U51" s="793"/>
      <c r="V51" s="792">
        <v>0</v>
      </c>
      <c r="W51" s="793"/>
      <c r="X51" s="792">
        <v>0</v>
      </c>
      <c r="Y51" s="793"/>
      <c r="Z51" s="792">
        <v>0</v>
      </c>
      <c r="AA51" s="793"/>
      <c r="AB51" s="792">
        <v>0</v>
      </c>
      <c r="AC51" s="793"/>
      <c r="AD51" s="792">
        <v>0</v>
      </c>
      <c r="AE51" s="793"/>
      <c r="AF51" s="792">
        <v>0</v>
      </c>
      <c r="AG51" s="793"/>
      <c r="AH51" s="792">
        <v>0</v>
      </c>
      <c r="AI51" s="793"/>
      <c r="AJ51" s="792">
        <v>0</v>
      </c>
      <c r="AK51" s="793"/>
      <c r="AL51" s="792">
        <v>0</v>
      </c>
      <c r="AM51" s="793"/>
      <c r="AN51" s="792">
        <v>0</v>
      </c>
      <c r="AO51" s="793"/>
      <c r="AP51" s="792">
        <v>0</v>
      </c>
      <c r="AQ51" s="793"/>
      <c r="AR51" s="792">
        <v>0</v>
      </c>
      <c r="AS51" s="793"/>
      <c r="AT51" s="792">
        <v>0</v>
      </c>
      <c r="AU51" s="793"/>
      <c r="AV51" s="792">
        <v>0</v>
      </c>
      <c r="AW51" s="793"/>
      <c r="AX51" s="792">
        <v>0</v>
      </c>
      <c r="AY51" s="1035"/>
      <c r="AZ51" s="1036">
        <v>0</v>
      </c>
      <c r="BA51" s="1037"/>
      <c r="BB51" s="1038">
        <v>0</v>
      </c>
      <c r="BC51" s="931"/>
      <c r="BD51" s="1032"/>
      <c r="BE51" s="459" t="s">
        <v>445</v>
      </c>
      <c r="BF51" s="1033"/>
      <c r="BG51" s="778"/>
      <c r="BH51" s="789"/>
      <c r="BI51" s="1034"/>
      <c r="BJ51" s="791"/>
      <c r="BK51" s="792">
        <v>0</v>
      </c>
      <c r="BL51" s="793"/>
      <c r="BM51" s="792">
        <v>0</v>
      </c>
      <c r="BN51" s="793"/>
      <c r="BO51" s="792">
        <v>0</v>
      </c>
      <c r="BP51" s="793"/>
      <c r="BQ51" s="792">
        <v>0</v>
      </c>
      <c r="BR51" s="793"/>
      <c r="BS51" s="792">
        <v>0</v>
      </c>
      <c r="BT51" s="793"/>
      <c r="BU51" s="792">
        <v>0</v>
      </c>
      <c r="BV51" s="793"/>
      <c r="BW51" s="792">
        <v>0</v>
      </c>
      <c r="BX51" s="793"/>
      <c r="BY51" s="792">
        <v>0</v>
      </c>
      <c r="BZ51" s="793"/>
      <c r="CA51" s="792">
        <v>0</v>
      </c>
      <c r="CB51" s="793"/>
      <c r="CC51" s="792">
        <v>0</v>
      </c>
      <c r="CD51" s="793"/>
      <c r="CE51" s="792">
        <v>0</v>
      </c>
      <c r="CF51" s="793"/>
      <c r="CG51" s="792">
        <v>0</v>
      </c>
      <c r="CH51" s="793"/>
      <c r="CI51" s="792">
        <v>0</v>
      </c>
      <c r="CJ51" s="793"/>
      <c r="CK51" s="792">
        <v>0</v>
      </c>
      <c r="CL51" s="793"/>
      <c r="CM51" s="792">
        <v>0</v>
      </c>
      <c r="CN51" s="793"/>
      <c r="CO51" s="792">
        <v>0</v>
      </c>
      <c r="CP51" s="793"/>
      <c r="CQ51" s="792">
        <v>0</v>
      </c>
      <c r="CR51" s="793"/>
      <c r="CS51" s="792">
        <v>0</v>
      </c>
      <c r="CT51" s="793"/>
      <c r="CU51" s="792">
        <v>0</v>
      </c>
      <c r="CV51" s="793"/>
      <c r="CW51" s="792">
        <v>0</v>
      </c>
      <c r="CX51" s="793"/>
      <c r="CY51" s="792">
        <v>0</v>
      </c>
      <c r="CZ51" s="793"/>
      <c r="DA51" s="792">
        <v>0</v>
      </c>
      <c r="DB51" s="1035"/>
      <c r="DC51" s="1036">
        <v>0</v>
      </c>
      <c r="DD51" s="1037"/>
      <c r="DE51" s="1038">
        <v>0</v>
      </c>
      <c r="DF51" s="931"/>
      <c r="DG51" s="1032"/>
      <c r="DH51" s="459" t="s">
        <v>444</v>
      </c>
      <c r="DI51" s="1033"/>
      <c r="DJ51" s="778"/>
      <c r="DK51" s="789"/>
      <c r="DL51" s="1034"/>
      <c r="DM51" s="791"/>
      <c r="DN51" s="792">
        <v>0</v>
      </c>
      <c r="DO51" s="793"/>
      <c r="DP51" s="792">
        <v>0</v>
      </c>
      <c r="DQ51" s="793"/>
      <c r="DR51" s="792">
        <v>0</v>
      </c>
      <c r="DS51" s="793"/>
      <c r="DT51" s="792">
        <v>0</v>
      </c>
      <c r="DU51" s="793"/>
      <c r="DV51" s="792">
        <v>0</v>
      </c>
      <c r="DW51" s="793"/>
      <c r="DX51" s="792">
        <v>0</v>
      </c>
      <c r="DY51" s="793"/>
      <c r="DZ51" s="792">
        <v>0</v>
      </c>
      <c r="EA51" s="793"/>
      <c r="EB51" s="792">
        <v>0</v>
      </c>
      <c r="EC51" s="793"/>
      <c r="ED51" s="792">
        <v>0</v>
      </c>
      <c r="EE51" s="793"/>
      <c r="EF51" s="792">
        <v>0</v>
      </c>
      <c r="EG51" s="793"/>
      <c r="EH51" s="792">
        <v>0</v>
      </c>
      <c r="EI51" s="793"/>
      <c r="EJ51" s="792">
        <v>0</v>
      </c>
      <c r="EK51" s="793"/>
      <c r="EL51" s="792">
        <v>0</v>
      </c>
      <c r="EM51" s="793"/>
      <c r="EN51" s="792">
        <v>0</v>
      </c>
      <c r="EO51" s="793"/>
      <c r="EP51" s="792">
        <v>0</v>
      </c>
      <c r="EQ51" s="793"/>
      <c r="ER51" s="792">
        <v>0</v>
      </c>
      <c r="ES51" s="793"/>
      <c r="ET51" s="792">
        <v>0</v>
      </c>
      <c r="EU51" s="793"/>
      <c r="EV51" s="792">
        <v>0</v>
      </c>
      <c r="EW51" s="793"/>
      <c r="EX51" s="792">
        <v>0</v>
      </c>
      <c r="EY51" s="793"/>
      <c r="EZ51" s="792">
        <v>0</v>
      </c>
      <c r="FA51" s="793"/>
      <c r="FB51" s="792">
        <v>0</v>
      </c>
      <c r="FC51" s="793"/>
      <c r="FD51" s="792">
        <v>0</v>
      </c>
      <c r="FE51" s="1035"/>
      <c r="FF51" s="1036">
        <v>0</v>
      </c>
      <c r="FG51" s="1037"/>
      <c r="FH51" s="1038">
        <v>0</v>
      </c>
      <c r="FI51" s="931"/>
      <c r="FJ51" s="1032"/>
      <c r="FK51" s="459" t="s">
        <v>444</v>
      </c>
      <c r="FL51" s="1033"/>
      <c r="FM51" s="781"/>
      <c r="FN51" s="789">
        <v>0</v>
      </c>
      <c r="FO51" s="1034"/>
      <c r="FP51" s="795"/>
      <c r="FQ51" s="796"/>
      <c r="FR51" s="792">
        <v>0</v>
      </c>
      <c r="FS51" s="797"/>
      <c r="FT51" s="796"/>
      <c r="FU51" s="798">
        <v>0</v>
      </c>
      <c r="FV51" s="1022"/>
      <c r="FW51" s="1023"/>
      <c r="FX51" s="1024"/>
      <c r="FY51" s="1025"/>
      <c r="FZ51" s="1026"/>
      <c r="GA51" s="1027"/>
      <c r="GB51" s="1028"/>
      <c r="GC51" s="1029"/>
      <c r="GD51" s="1028"/>
      <c r="GE51" s="1030"/>
      <c r="GF51" s="681"/>
      <c r="GG51" s="595"/>
      <c r="GH51" s="595"/>
      <c r="GI51" s="595"/>
      <c r="GJ51" s="929"/>
      <c r="GK51" s="726"/>
      <c r="GL51" s="1039" t="s">
        <v>390</v>
      </c>
      <c r="GM51" s="1040" t="s">
        <v>518</v>
      </c>
      <c r="GN51" s="1041" t="s">
        <v>519</v>
      </c>
      <c r="GO51" s="1042" t="s">
        <v>520</v>
      </c>
      <c r="GP51" s="1042" t="s">
        <v>503</v>
      </c>
      <c r="GQ51" s="1043" t="s">
        <v>521</v>
      </c>
      <c r="GR51" s="726"/>
      <c r="GS51" s="946"/>
      <c r="GT51" s="756"/>
      <c r="GU51" s="573"/>
      <c r="GV51" s="573"/>
      <c r="GW51" s="573"/>
      <c r="GX51" s="573"/>
      <c r="GY51" s="410"/>
      <c r="GZ51" s="1044"/>
      <c r="HA51" s="608">
        <v>0</v>
      </c>
      <c r="HB51" s="572" t="s">
        <v>293</v>
      </c>
      <c r="HC51" s="1045"/>
      <c r="HD51" s="412"/>
    </row>
    <row r="52" spans="1:212" ht="20.100000000000001" customHeight="1" thickBot="1">
      <c r="A52" s="1046" t="s">
        <v>314</v>
      </c>
      <c r="B52" s="1047"/>
      <c r="C52" s="1048"/>
      <c r="D52" s="1048"/>
      <c r="E52" s="1049"/>
      <c r="F52" s="1048"/>
      <c r="G52" s="1050"/>
      <c r="H52" s="1051">
        <v>80</v>
      </c>
      <c r="I52" s="1052"/>
      <c r="J52" s="1051">
        <v>80</v>
      </c>
      <c r="K52" s="1052"/>
      <c r="L52" s="1051">
        <v>80</v>
      </c>
      <c r="M52" s="1052"/>
      <c r="N52" s="1051">
        <v>80</v>
      </c>
      <c r="O52" s="1052"/>
      <c r="P52" s="1051">
        <v>80</v>
      </c>
      <c r="Q52" s="1052"/>
      <c r="R52" s="1051">
        <v>80</v>
      </c>
      <c r="S52" s="1052"/>
      <c r="T52" s="1051">
        <v>80</v>
      </c>
      <c r="U52" s="1052"/>
      <c r="V52" s="1051">
        <v>80</v>
      </c>
      <c r="W52" s="1052"/>
      <c r="X52" s="1051">
        <v>80</v>
      </c>
      <c r="Y52" s="1052"/>
      <c r="Z52" s="1051">
        <v>80</v>
      </c>
      <c r="AA52" s="1052"/>
      <c r="AB52" s="1051">
        <v>80</v>
      </c>
      <c r="AC52" s="1052"/>
      <c r="AD52" s="1051">
        <v>80</v>
      </c>
      <c r="AE52" s="1052"/>
      <c r="AF52" s="1051">
        <v>80</v>
      </c>
      <c r="AG52" s="1052"/>
      <c r="AH52" s="1051">
        <v>80</v>
      </c>
      <c r="AI52" s="1052"/>
      <c r="AJ52" s="1051">
        <v>80</v>
      </c>
      <c r="AK52" s="1052"/>
      <c r="AL52" s="1051">
        <v>80</v>
      </c>
      <c r="AM52" s="1052"/>
      <c r="AN52" s="1051">
        <v>80</v>
      </c>
      <c r="AO52" s="1052"/>
      <c r="AP52" s="1051">
        <v>80</v>
      </c>
      <c r="AQ52" s="1052"/>
      <c r="AR52" s="1051">
        <v>80</v>
      </c>
      <c r="AS52" s="1052"/>
      <c r="AT52" s="1051">
        <v>80</v>
      </c>
      <c r="AU52" s="1052"/>
      <c r="AV52" s="1051">
        <v>80</v>
      </c>
      <c r="AW52" s="1052"/>
      <c r="AX52" s="1051">
        <v>80</v>
      </c>
      <c r="AY52" s="1053"/>
      <c r="AZ52" s="1054">
        <v>80</v>
      </c>
      <c r="BA52" s="1055"/>
      <c r="BB52" s="1056">
        <v>80</v>
      </c>
      <c r="BC52" s="974"/>
      <c r="BD52" s="1046" t="s">
        <v>446</v>
      </c>
      <c r="BE52" s="1047"/>
      <c r="BF52" s="1048"/>
      <c r="BG52" s="1048"/>
      <c r="BH52" s="1049"/>
      <c r="BI52" s="1048"/>
      <c r="BJ52" s="1050"/>
      <c r="BK52" s="1051">
        <v>80</v>
      </c>
      <c r="BL52" s="1052"/>
      <c r="BM52" s="1051">
        <v>80</v>
      </c>
      <c r="BN52" s="1052"/>
      <c r="BO52" s="1051">
        <v>80</v>
      </c>
      <c r="BP52" s="1052"/>
      <c r="BQ52" s="1051">
        <v>80</v>
      </c>
      <c r="BR52" s="1052"/>
      <c r="BS52" s="1051">
        <v>80</v>
      </c>
      <c r="BT52" s="1052"/>
      <c r="BU52" s="1051">
        <v>80</v>
      </c>
      <c r="BV52" s="1052"/>
      <c r="BW52" s="1051">
        <v>80</v>
      </c>
      <c r="BX52" s="1052"/>
      <c r="BY52" s="1051">
        <v>80</v>
      </c>
      <c r="BZ52" s="1052"/>
      <c r="CA52" s="1051">
        <v>80</v>
      </c>
      <c r="CB52" s="1052"/>
      <c r="CC52" s="1051">
        <v>80</v>
      </c>
      <c r="CD52" s="1052"/>
      <c r="CE52" s="1051">
        <v>80</v>
      </c>
      <c r="CF52" s="1052"/>
      <c r="CG52" s="1051">
        <v>80</v>
      </c>
      <c r="CH52" s="1052"/>
      <c r="CI52" s="1051">
        <v>80</v>
      </c>
      <c r="CJ52" s="1052"/>
      <c r="CK52" s="1051">
        <v>80</v>
      </c>
      <c r="CL52" s="1052"/>
      <c r="CM52" s="1051">
        <v>80</v>
      </c>
      <c r="CN52" s="1052"/>
      <c r="CO52" s="1051">
        <v>80</v>
      </c>
      <c r="CP52" s="1052"/>
      <c r="CQ52" s="1051">
        <v>80</v>
      </c>
      <c r="CR52" s="1052"/>
      <c r="CS52" s="1051">
        <v>80</v>
      </c>
      <c r="CT52" s="1052"/>
      <c r="CU52" s="1051">
        <v>80</v>
      </c>
      <c r="CV52" s="1052"/>
      <c r="CW52" s="1051">
        <v>80</v>
      </c>
      <c r="CX52" s="1052"/>
      <c r="CY52" s="1051">
        <v>80</v>
      </c>
      <c r="CZ52" s="1052"/>
      <c r="DA52" s="1051">
        <v>80</v>
      </c>
      <c r="DB52" s="1053"/>
      <c r="DC52" s="1054">
        <v>80</v>
      </c>
      <c r="DD52" s="1055"/>
      <c r="DE52" s="1056">
        <v>80</v>
      </c>
      <c r="DF52" s="974"/>
      <c r="DG52" s="1046" t="s">
        <v>314</v>
      </c>
      <c r="DH52" s="1047"/>
      <c r="DI52" s="1048"/>
      <c r="DJ52" s="1048"/>
      <c r="DK52" s="1049"/>
      <c r="DL52" s="1048"/>
      <c r="DM52" s="1050"/>
      <c r="DN52" s="1051">
        <v>80</v>
      </c>
      <c r="DO52" s="1052"/>
      <c r="DP52" s="1051">
        <v>80</v>
      </c>
      <c r="DQ52" s="1052"/>
      <c r="DR52" s="1051">
        <v>80</v>
      </c>
      <c r="DS52" s="1052"/>
      <c r="DT52" s="1051">
        <v>80</v>
      </c>
      <c r="DU52" s="1052"/>
      <c r="DV52" s="1051">
        <v>80</v>
      </c>
      <c r="DW52" s="1052"/>
      <c r="DX52" s="1051">
        <v>80</v>
      </c>
      <c r="DY52" s="1052"/>
      <c r="DZ52" s="1051">
        <v>80</v>
      </c>
      <c r="EA52" s="1052"/>
      <c r="EB52" s="1051">
        <v>80</v>
      </c>
      <c r="EC52" s="1052"/>
      <c r="ED52" s="1051">
        <v>80</v>
      </c>
      <c r="EE52" s="1052"/>
      <c r="EF52" s="1051">
        <v>80</v>
      </c>
      <c r="EG52" s="1052"/>
      <c r="EH52" s="1051">
        <v>80</v>
      </c>
      <c r="EI52" s="1052"/>
      <c r="EJ52" s="1051">
        <v>80</v>
      </c>
      <c r="EK52" s="1052"/>
      <c r="EL52" s="1051">
        <v>80</v>
      </c>
      <c r="EM52" s="1052"/>
      <c r="EN52" s="1051">
        <v>80</v>
      </c>
      <c r="EO52" s="1052"/>
      <c r="EP52" s="1051">
        <v>80</v>
      </c>
      <c r="EQ52" s="1052"/>
      <c r="ER52" s="1051">
        <v>80</v>
      </c>
      <c r="ES52" s="1052"/>
      <c r="ET52" s="1051">
        <v>80</v>
      </c>
      <c r="EU52" s="1052"/>
      <c r="EV52" s="1051">
        <v>80</v>
      </c>
      <c r="EW52" s="1052"/>
      <c r="EX52" s="1051">
        <v>80</v>
      </c>
      <c r="EY52" s="1052"/>
      <c r="EZ52" s="1051">
        <v>80</v>
      </c>
      <c r="FA52" s="1052"/>
      <c r="FB52" s="1051">
        <v>80</v>
      </c>
      <c r="FC52" s="1052"/>
      <c r="FD52" s="1051">
        <v>80</v>
      </c>
      <c r="FE52" s="1053"/>
      <c r="FF52" s="1054">
        <v>80</v>
      </c>
      <c r="FG52" s="1055"/>
      <c r="FH52" s="1056">
        <v>80</v>
      </c>
      <c r="FI52" s="974"/>
      <c r="FJ52" s="1046" t="s">
        <v>314</v>
      </c>
      <c r="FK52" s="1047"/>
      <c r="FL52" s="1048"/>
      <c r="FM52" s="1048"/>
      <c r="FN52" s="1049"/>
      <c r="FO52" s="1048"/>
      <c r="FP52" s="1057"/>
      <c r="FQ52" s="1058"/>
      <c r="FR52" s="1051">
        <v>0</v>
      </c>
      <c r="FS52" s="1059"/>
      <c r="FT52" s="1058"/>
      <c r="FU52" s="1060">
        <v>0</v>
      </c>
      <c r="FV52" s="1061">
        <v>15</v>
      </c>
      <c r="FW52" s="1062">
        <v>80</v>
      </c>
      <c r="FX52" s="1063">
        <v>14</v>
      </c>
      <c r="FY52" s="1062">
        <v>80</v>
      </c>
      <c r="FZ52" s="1063">
        <v>14</v>
      </c>
      <c r="GA52" s="1062">
        <v>80</v>
      </c>
      <c r="GB52" s="1064" t="s">
        <v>337</v>
      </c>
      <c r="GC52" s="1065">
        <v>80</v>
      </c>
      <c r="GD52" s="1064" t="s">
        <v>339</v>
      </c>
      <c r="GE52" s="1066">
        <v>0</v>
      </c>
      <c r="GF52" s="681"/>
      <c r="GG52" s="983"/>
      <c r="GH52" s="983"/>
      <c r="GI52" s="983"/>
      <c r="GJ52" s="929"/>
      <c r="GK52" s="726"/>
      <c r="GL52" s="1067"/>
      <c r="GM52" s="1068"/>
      <c r="GN52" s="1068"/>
      <c r="GO52" s="1069"/>
      <c r="GP52" s="1069"/>
      <c r="GQ52" s="1070"/>
      <c r="GR52" s="946"/>
      <c r="GS52" s="886"/>
      <c r="GT52" s="854"/>
      <c r="GU52" s="523" t="s">
        <v>522</v>
      </c>
      <c r="GV52" s="726"/>
      <c r="GW52" s="929"/>
      <c r="GX52" s="726"/>
      <c r="GY52" s="410"/>
      <c r="GZ52" s="1071"/>
      <c r="HA52" s="946"/>
      <c r="HB52" s="1071"/>
      <c r="HC52" s="555"/>
      <c r="HD52" s="412"/>
    </row>
    <row r="53" spans="1:212" ht="20.100000000000001" customHeight="1" thickTop="1">
      <c r="A53" s="1072" t="s">
        <v>447</v>
      </c>
      <c r="B53" s="1073"/>
      <c r="C53" s="1074"/>
      <c r="D53" s="1074"/>
      <c r="E53" s="1075"/>
      <c r="F53" s="1076"/>
      <c r="G53" s="1077"/>
      <c r="H53" s="1078">
        <v>71783</v>
      </c>
      <c r="I53" s="1079"/>
      <c r="J53" s="1078">
        <v>71758</v>
      </c>
      <c r="K53" s="1079"/>
      <c r="L53" s="1078">
        <v>71733</v>
      </c>
      <c r="M53" s="1079"/>
      <c r="N53" s="1078">
        <v>71714</v>
      </c>
      <c r="O53" s="1079"/>
      <c r="P53" s="1078">
        <v>71693</v>
      </c>
      <c r="Q53" s="1079"/>
      <c r="R53" s="1078">
        <v>71678</v>
      </c>
      <c r="S53" s="1079"/>
      <c r="T53" s="1078">
        <v>71769</v>
      </c>
      <c r="U53" s="1079"/>
      <c r="V53" s="1078">
        <v>71966</v>
      </c>
      <c r="W53" s="1079"/>
      <c r="X53" s="1078">
        <v>73664</v>
      </c>
      <c r="Y53" s="1079"/>
      <c r="Z53" s="1078">
        <v>73474</v>
      </c>
      <c r="AA53" s="1079"/>
      <c r="AB53" s="1078">
        <v>73625</v>
      </c>
      <c r="AC53" s="1079"/>
      <c r="AD53" s="1078">
        <v>73742</v>
      </c>
      <c r="AE53" s="1079"/>
      <c r="AF53" s="1078">
        <v>73897</v>
      </c>
      <c r="AG53" s="1079"/>
      <c r="AH53" s="1078">
        <v>73933</v>
      </c>
      <c r="AI53" s="1079"/>
      <c r="AJ53" s="1078">
        <v>73965</v>
      </c>
      <c r="AK53" s="1079"/>
      <c r="AL53" s="1078">
        <v>73915</v>
      </c>
      <c r="AM53" s="1079"/>
      <c r="AN53" s="1078">
        <v>73771</v>
      </c>
      <c r="AO53" s="1079"/>
      <c r="AP53" s="1078">
        <v>73655</v>
      </c>
      <c r="AQ53" s="1079"/>
      <c r="AR53" s="1078">
        <v>72418</v>
      </c>
      <c r="AS53" s="1079"/>
      <c r="AT53" s="1078">
        <v>72304</v>
      </c>
      <c r="AU53" s="1079"/>
      <c r="AV53" s="1078">
        <v>72179</v>
      </c>
      <c r="AW53" s="1079"/>
      <c r="AX53" s="1078">
        <v>72058</v>
      </c>
      <c r="AY53" s="1080"/>
      <c r="AZ53" s="1081">
        <v>71932</v>
      </c>
      <c r="BA53" s="1082"/>
      <c r="BB53" s="1083">
        <v>71858</v>
      </c>
      <c r="BC53" s="974"/>
      <c r="BD53" s="1072" t="s">
        <v>315</v>
      </c>
      <c r="BE53" s="1073"/>
      <c r="BF53" s="1074"/>
      <c r="BG53" s="1074"/>
      <c r="BH53" s="1075"/>
      <c r="BI53" s="1076"/>
      <c r="BJ53" s="1077"/>
      <c r="BK53" s="1078">
        <v>71787</v>
      </c>
      <c r="BL53" s="1079"/>
      <c r="BM53" s="1078">
        <v>71754</v>
      </c>
      <c r="BN53" s="1079"/>
      <c r="BO53" s="1078">
        <v>71729</v>
      </c>
      <c r="BP53" s="1079"/>
      <c r="BQ53" s="1078">
        <v>71704</v>
      </c>
      <c r="BR53" s="1079"/>
      <c r="BS53" s="1078">
        <v>71686</v>
      </c>
      <c r="BT53" s="1079"/>
      <c r="BU53" s="1078">
        <v>71667</v>
      </c>
      <c r="BV53" s="1079"/>
      <c r="BW53" s="1078">
        <v>71808</v>
      </c>
      <c r="BX53" s="1079"/>
      <c r="BY53" s="1078">
        <v>72062</v>
      </c>
      <c r="BZ53" s="1079"/>
      <c r="CA53" s="1078">
        <v>73801</v>
      </c>
      <c r="CB53" s="1079"/>
      <c r="CC53" s="1078">
        <v>73614</v>
      </c>
      <c r="CD53" s="1079"/>
      <c r="CE53" s="1078">
        <v>73770</v>
      </c>
      <c r="CF53" s="1079"/>
      <c r="CG53" s="1078">
        <v>73886</v>
      </c>
      <c r="CH53" s="1079"/>
      <c r="CI53" s="1078">
        <v>74001</v>
      </c>
      <c r="CJ53" s="1079"/>
      <c r="CK53" s="1078">
        <v>74077</v>
      </c>
      <c r="CL53" s="1079"/>
      <c r="CM53" s="1078">
        <v>74066</v>
      </c>
      <c r="CN53" s="1079"/>
      <c r="CO53" s="1078">
        <v>74053</v>
      </c>
      <c r="CP53" s="1079"/>
      <c r="CQ53" s="1078">
        <v>73951</v>
      </c>
      <c r="CR53" s="1079"/>
      <c r="CS53" s="1078">
        <v>73756</v>
      </c>
      <c r="CT53" s="1079"/>
      <c r="CU53" s="1078">
        <v>72488</v>
      </c>
      <c r="CV53" s="1079"/>
      <c r="CW53" s="1078">
        <v>72281</v>
      </c>
      <c r="CX53" s="1079"/>
      <c r="CY53" s="1078">
        <v>72156</v>
      </c>
      <c r="CZ53" s="1079"/>
      <c r="DA53" s="1078">
        <v>72028</v>
      </c>
      <c r="DB53" s="1080"/>
      <c r="DC53" s="1081">
        <v>71898</v>
      </c>
      <c r="DD53" s="1082"/>
      <c r="DE53" s="1083">
        <v>71819</v>
      </c>
      <c r="DF53" s="974"/>
      <c r="DG53" s="1072" t="s">
        <v>315</v>
      </c>
      <c r="DH53" s="1073"/>
      <c r="DI53" s="1074"/>
      <c r="DJ53" s="1074"/>
      <c r="DK53" s="1075"/>
      <c r="DL53" s="1076"/>
      <c r="DM53" s="1077"/>
      <c r="DN53" s="1078">
        <v>71631</v>
      </c>
      <c r="DO53" s="1079"/>
      <c r="DP53" s="1078">
        <v>71631</v>
      </c>
      <c r="DQ53" s="1079"/>
      <c r="DR53" s="1078">
        <v>71631</v>
      </c>
      <c r="DS53" s="1079"/>
      <c r="DT53" s="1078">
        <v>71631</v>
      </c>
      <c r="DU53" s="1079"/>
      <c r="DV53" s="1078">
        <v>71631</v>
      </c>
      <c r="DW53" s="1079"/>
      <c r="DX53" s="1078">
        <v>71631</v>
      </c>
      <c r="DY53" s="1079"/>
      <c r="DZ53" s="1078">
        <v>71631</v>
      </c>
      <c r="EA53" s="1079"/>
      <c r="EB53" s="1078">
        <v>71631</v>
      </c>
      <c r="EC53" s="1079"/>
      <c r="ED53" s="1078">
        <v>73140</v>
      </c>
      <c r="EE53" s="1079"/>
      <c r="EF53" s="1078">
        <v>72838</v>
      </c>
      <c r="EG53" s="1079"/>
      <c r="EH53" s="1078">
        <v>72957</v>
      </c>
      <c r="EI53" s="1079"/>
      <c r="EJ53" s="1078">
        <v>73077</v>
      </c>
      <c r="EK53" s="1079"/>
      <c r="EL53" s="1078">
        <v>73132</v>
      </c>
      <c r="EM53" s="1079"/>
      <c r="EN53" s="1078">
        <v>73172</v>
      </c>
      <c r="EO53" s="1079"/>
      <c r="EP53" s="1078">
        <v>73164</v>
      </c>
      <c r="EQ53" s="1079"/>
      <c r="ER53" s="1078">
        <v>73070</v>
      </c>
      <c r="ES53" s="1079"/>
      <c r="ET53" s="1078">
        <v>72929</v>
      </c>
      <c r="EU53" s="1079"/>
      <c r="EV53" s="1078">
        <v>72889</v>
      </c>
      <c r="EW53" s="1079"/>
      <c r="EX53" s="1078">
        <v>71747</v>
      </c>
      <c r="EY53" s="1079"/>
      <c r="EZ53" s="1078">
        <v>71718</v>
      </c>
      <c r="FA53" s="1079"/>
      <c r="FB53" s="1078">
        <v>71686</v>
      </c>
      <c r="FC53" s="1079"/>
      <c r="FD53" s="1078">
        <v>71653</v>
      </c>
      <c r="FE53" s="1080"/>
      <c r="FF53" s="1081">
        <v>71631</v>
      </c>
      <c r="FG53" s="1082"/>
      <c r="FH53" s="1083">
        <v>71631</v>
      </c>
      <c r="FI53" s="974"/>
      <c r="FJ53" s="1072" t="s">
        <v>315</v>
      </c>
      <c r="FK53" s="1073"/>
      <c r="FL53" s="1074"/>
      <c r="FM53" s="1074"/>
      <c r="FN53" s="1075"/>
      <c r="FO53" s="1076"/>
      <c r="FP53" s="1084"/>
      <c r="FQ53" s="1085"/>
      <c r="FR53" s="1078">
        <v>0</v>
      </c>
      <c r="FS53" s="1086"/>
      <c r="FT53" s="1085"/>
      <c r="FU53" s="1087">
        <v>0</v>
      </c>
      <c r="FV53" s="1088">
        <v>15</v>
      </c>
      <c r="FW53" s="1089">
        <v>73965</v>
      </c>
      <c r="FX53" s="1090">
        <v>14</v>
      </c>
      <c r="FY53" s="1089">
        <v>74077</v>
      </c>
      <c r="FZ53" s="1090">
        <v>14</v>
      </c>
      <c r="GA53" s="1089">
        <v>73172</v>
      </c>
      <c r="GB53" s="1091" t="s">
        <v>337</v>
      </c>
      <c r="GC53" s="1089">
        <v>74077</v>
      </c>
      <c r="GD53" s="1091" t="s">
        <v>339</v>
      </c>
      <c r="GE53" s="1092">
        <v>0</v>
      </c>
      <c r="GF53" s="681"/>
      <c r="GG53" s="983"/>
      <c r="GH53" s="983"/>
      <c r="GI53" s="983"/>
      <c r="GJ53" s="946"/>
      <c r="GK53" s="410"/>
      <c r="GL53" s="1093">
        <v>10</v>
      </c>
      <c r="GM53" s="1094">
        <v>1</v>
      </c>
      <c r="GN53" s="1095">
        <v>0.92</v>
      </c>
      <c r="GO53" s="1096">
        <v>0</v>
      </c>
      <c r="GP53" s="1096">
        <v>7</v>
      </c>
      <c r="GQ53" s="1097">
        <v>7</v>
      </c>
      <c r="GR53" s="573"/>
      <c r="GS53" s="476"/>
      <c r="GT53" s="854"/>
      <c r="GU53" s="573" t="s">
        <v>523</v>
      </c>
      <c r="GV53" s="573"/>
      <c r="GW53" s="573"/>
      <c r="GX53" s="573"/>
      <c r="GY53" s="410"/>
      <c r="GZ53" s="406"/>
      <c r="HA53" s="608">
        <v>44</v>
      </c>
      <c r="HB53" s="572" t="s">
        <v>293</v>
      </c>
      <c r="HC53" s="792"/>
      <c r="HD53" s="412"/>
    </row>
    <row r="54" spans="1:212" ht="20.100000000000001" customHeight="1">
      <c r="A54" s="1098" t="s">
        <v>316</v>
      </c>
      <c r="B54" s="1099"/>
      <c r="C54" s="1100"/>
      <c r="D54" s="1101"/>
      <c r="E54" s="1102"/>
      <c r="F54" s="1103"/>
      <c r="G54" s="1104"/>
      <c r="H54" s="1105">
        <v>593.20000000000005</v>
      </c>
      <c r="I54" s="1106"/>
      <c r="J54" s="1105">
        <v>593</v>
      </c>
      <c r="K54" s="1106"/>
      <c r="L54" s="1105">
        <v>592.79999999999995</v>
      </c>
      <c r="M54" s="1106"/>
      <c r="N54" s="1105">
        <v>592.70000000000005</v>
      </c>
      <c r="O54" s="1106"/>
      <c r="P54" s="1105">
        <v>592.5</v>
      </c>
      <c r="Q54" s="1106"/>
      <c r="R54" s="1105">
        <v>592.4</v>
      </c>
      <c r="S54" s="1106"/>
      <c r="T54" s="1105">
        <v>593.1</v>
      </c>
      <c r="U54" s="1106"/>
      <c r="V54" s="1105">
        <v>594.79999999999995</v>
      </c>
      <c r="W54" s="1106"/>
      <c r="X54" s="1105">
        <v>608.79999999999995</v>
      </c>
      <c r="Y54" s="1106"/>
      <c r="Z54" s="1105">
        <v>607.20000000000005</v>
      </c>
      <c r="AA54" s="1106"/>
      <c r="AB54" s="1105">
        <v>608.5</v>
      </c>
      <c r="AC54" s="1106"/>
      <c r="AD54" s="1105">
        <v>609.4</v>
      </c>
      <c r="AE54" s="1106"/>
      <c r="AF54" s="1105">
        <v>610.70000000000005</v>
      </c>
      <c r="AG54" s="1106"/>
      <c r="AH54" s="1105">
        <v>611</v>
      </c>
      <c r="AI54" s="1106"/>
      <c r="AJ54" s="1105">
        <v>611.29999999999995</v>
      </c>
      <c r="AK54" s="1106"/>
      <c r="AL54" s="1105">
        <v>610.9</v>
      </c>
      <c r="AM54" s="1106"/>
      <c r="AN54" s="1105">
        <v>609.70000000000005</v>
      </c>
      <c r="AO54" s="1106"/>
      <c r="AP54" s="1105">
        <v>608.70000000000005</v>
      </c>
      <c r="AQ54" s="1106"/>
      <c r="AR54" s="1105">
        <v>598.5</v>
      </c>
      <c r="AS54" s="1106"/>
      <c r="AT54" s="1105">
        <v>597.6</v>
      </c>
      <c r="AU54" s="1106"/>
      <c r="AV54" s="1105">
        <v>596.5</v>
      </c>
      <c r="AW54" s="1106"/>
      <c r="AX54" s="1105">
        <v>595.5</v>
      </c>
      <c r="AY54" s="1106"/>
      <c r="AZ54" s="1105">
        <v>594.5</v>
      </c>
      <c r="BA54" s="1106"/>
      <c r="BB54" s="1107">
        <v>593.9</v>
      </c>
      <c r="BC54" s="1010"/>
      <c r="BD54" s="1098" t="s">
        <v>316</v>
      </c>
      <c r="BE54" s="1099"/>
      <c r="BF54" s="1100"/>
      <c r="BG54" s="1101"/>
      <c r="BH54" s="1102"/>
      <c r="BI54" s="1103"/>
      <c r="BJ54" s="1104"/>
      <c r="BK54" s="1105">
        <v>593.29999999999995</v>
      </c>
      <c r="BL54" s="1106"/>
      <c r="BM54" s="1105">
        <v>593</v>
      </c>
      <c r="BN54" s="1106"/>
      <c r="BO54" s="1105">
        <v>592.79999999999995</v>
      </c>
      <c r="BP54" s="1106"/>
      <c r="BQ54" s="1105">
        <v>592.6</v>
      </c>
      <c r="BR54" s="1106"/>
      <c r="BS54" s="1105">
        <v>592.4</v>
      </c>
      <c r="BT54" s="1106"/>
      <c r="BU54" s="1105">
        <v>592.29999999999995</v>
      </c>
      <c r="BV54" s="1106"/>
      <c r="BW54" s="1105">
        <v>593.5</v>
      </c>
      <c r="BX54" s="1106"/>
      <c r="BY54" s="1105">
        <v>595.6</v>
      </c>
      <c r="BZ54" s="1106"/>
      <c r="CA54" s="1105">
        <v>609.9</v>
      </c>
      <c r="CB54" s="1106"/>
      <c r="CC54" s="1105">
        <v>608.4</v>
      </c>
      <c r="CD54" s="1106"/>
      <c r="CE54" s="1105">
        <v>609.70000000000005</v>
      </c>
      <c r="CF54" s="1106"/>
      <c r="CG54" s="1105">
        <v>610.6</v>
      </c>
      <c r="CH54" s="1106"/>
      <c r="CI54" s="1105">
        <v>611.6</v>
      </c>
      <c r="CJ54" s="1106"/>
      <c r="CK54" s="1105">
        <v>612.20000000000005</v>
      </c>
      <c r="CL54" s="1106"/>
      <c r="CM54" s="1105">
        <v>612.1</v>
      </c>
      <c r="CN54" s="1106"/>
      <c r="CO54" s="1105">
        <v>612</v>
      </c>
      <c r="CP54" s="1106"/>
      <c r="CQ54" s="1105">
        <v>611.20000000000005</v>
      </c>
      <c r="CR54" s="1106"/>
      <c r="CS54" s="1105">
        <v>609.6</v>
      </c>
      <c r="CT54" s="1106"/>
      <c r="CU54" s="1105">
        <v>599.1</v>
      </c>
      <c r="CV54" s="1106"/>
      <c r="CW54" s="1105">
        <v>597.4</v>
      </c>
      <c r="CX54" s="1106"/>
      <c r="CY54" s="1105">
        <v>596.29999999999995</v>
      </c>
      <c r="CZ54" s="1106"/>
      <c r="DA54" s="1105">
        <v>595.29999999999995</v>
      </c>
      <c r="DB54" s="1106"/>
      <c r="DC54" s="1105">
        <v>594.20000000000005</v>
      </c>
      <c r="DD54" s="1106"/>
      <c r="DE54" s="1107">
        <v>593.5</v>
      </c>
      <c r="DF54" s="1010"/>
      <c r="DG54" s="1098" t="s">
        <v>316</v>
      </c>
      <c r="DH54" s="1099"/>
      <c r="DI54" s="1100"/>
      <c r="DJ54" s="1101"/>
      <c r="DK54" s="1102"/>
      <c r="DL54" s="1103"/>
      <c r="DM54" s="1104"/>
      <c r="DN54" s="1105">
        <v>592</v>
      </c>
      <c r="DO54" s="1106"/>
      <c r="DP54" s="1105">
        <v>592</v>
      </c>
      <c r="DQ54" s="1106"/>
      <c r="DR54" s="1105">
        <v>592</v>
      </c>
      <c r="DS54" s="1106"/>
      <c r="DT54" s="1105">
        <v>592</v>
      </c>
      <c r="DU54" s="1106"/>
      <c r="DV54" s="1105">
        <v>592</v>
      </c>
      <c r="DW54" s="1106"/>
      <c r="DX54" s="1105">
        <v>592</v>
      </c>
      <c r="DY54" s="1106"/>
      <c r="DZ54" s="1105">
        <v>592</v>
      </c>
      <c r="EA54" s="1106"/>
      <c r="EB54" s="1105">
        <v>592</v>
      </c>
      <c r="EC54" s="1106"/>
      <c r="ED54" s="1105">
        <v>604.5</v>
      </c>
      <c r="EE54" s="1106"/>
      <c r="EF54" s="1105">
        <v>602</v>
      </c>
      <c r="EG54" s="1106"/>
      <c r="EH54" s="1105">
        <v>603</v>
      </c>
      <c r="EI54" s="1106"/>
      <c r="EJ54" s="1105">
        <v>603.9</v>
      </c>
      <c r="EK54" s="1106"/>
      <c r="EL54" s="1105">
        <v>604.4</v>
      </c>
      <c r="EM54" s="1106"/>
      <c r="EN54" s="1105">
        <v>604.70000000000005</v>
      </c>
      <c r="EO54" s="1106"/>
      <c r="EP54" s="1105">
        <v>604.70000000000005</v>
      </c>
      <c r="EQ54" s="1106"/>
      <c r="ER54" s="1105">
        <v>603.9</v>
      </c>
      <c r="ES54" s="1106"/>
      <c r="ET54" s="1105">
        <v>602.70000000000005</v>
      </c>
      <c r="EU54" s="1106"/>
      <c r="EV54" s="1105">
        <v>602.4</v>
      </c>
      <c r="EW54" s="1106"/>
      <c r="EX54" s="1105">
        <v>593</v>
      </c>
      <c r="EY54" s="1106"/>
      <c r="EZ54" s="1105">
        <v>592.70000000000005</v>
      </c>
      <c r="FA54" s="1106"/>
      <c r="FB54" s="1105">
        <v>592.4</v>
      </c>
      <c r="FC54" s="1106"/>
      <c r="FD54" s="1105">
        <v>592.20000000000005</v>
      </c>
      <c r="FE54" s="1106"/>
      <c r="FF54" s="1105">
        <v>592</v>
      </c>
      <c r="FG54" s="1106"/>
      <c r="FH54" s="1107">
        <v>592</v>
      </c>
      <c r="FI54" s="1010"/>
      <c r="FJ54" s="1098" t="s">
        <v>316</v>
      </c>
      <c r="FK54" s="1099"/>
      <c r="FL54" s="1100"/>
      <c r="FM54" s="1101"/>
      <c r="FN54" s="1102"/>
      <c r="FO54" s="1103"/>
      <c r="FP54" s="1108"/>
      <c r="FQ54" s="1106"/>
      <c r="FR54" s="1105">
        <v>0</v>
      </c>
      <c r="FS54" s="1109"/>
      <c r="FT54" s="1106"/>
      <c r="FU54" s="1110">
        <v>0</v>
      </c>
      <c r="FV54" s="1109"/>
      <c r="FW54" s="1105">
        <f>IF(面積=0,0,ROUND(FW53/面積,1))</f>
        <v>611.29999999999995</v>
      </c>
      <c r="FX54" s="1109"/>
      <c r="FY54" s="1105">
        <f>IF(面積=0,0,ROUND(FY53/面積,1))</f>
        <v>612.20000000000005</v>
      </c>
      <c r="FZ54" s="1109"/>
      <c r="GA54" s="1105">
        <f>IF(面積=0,0,ROUND(GA53/面積,1))</f>
        <v>604.70000000000005</v>
      </c>
      <c r="GB54" s="1109"/>
      <c r="GC54" s="1105">
        <f>IF(面積=0,0,ROUND(GC53/面積,1))</f>
        <v>612.20000000000005</v>
      </c>
      <c r="GD54" s="1109"/>
      <c r="GE54" s="1107">
        <f>IF(面積=0,0,ROUND(GE53/面積,1))</f>
        <v>0</v>
      </c>
      <c r="GF54" s="681"/>
      <c r="GG54" s="930"/>
      <c r="GH54" s="930"/>
      <c r="GI54" s="930"/>
      <c r="GJ54" s="573"/>
      <c r="GK54" s="572"/>
      <c r="GL54" s="1093">
        <v>11</v>
      </c>
      <c r="GM54" s="1094">
        <v>2</v>
      </c>
      <c r="GN54" s="1095">
        <v>0.85</v>
      </c>
      <c r="GO54" s="1096">
        <v>0</v>
      </c>
      <c r="GP54" s="1096">
        <v>7</v>
      </c>
      <c r="GQ54" s="1097">
        <v>7</v>
      </c>
      <c r="GR54" s="523"/>
      <c r="GS54" s="573"/>
      <c r="GT54" s="854"/>
      <c r="GU54" s="1111" t="s">
        <v>524</v>
      </c>
      <c r="GV54" s="1111"/>
      <c r="GW54" s="1111"/>
      <c r="GX54" s="1111"/>
      <c r="GY54" s="768"/>
      <c r="GZ54" s="1112"/>
      <c r="HA54" s="1113">
        <v>44</v>
      </c>
      <c r="HB54" s="1114" t="s">
        <v>293</v>
      </c>
      <c r="HC54" s="522"/>
      <c r="HD54" s="412"/>
    </row>
    <row r="55" spans="1:212" ht="20.100000000000001" customHeight="1" thickBot="1">
      <c r="A55" s="383"/>
      <c r="B55" s="383"/>
      <c r="C55" s="383"/>
      <c r="D55" s="383"/>
      <c r="E55" s="384"/>
      <c r="F55" s="384"/>
      <c r="G55" s="384"/>
      <c r="H55" s="1115"/>
      <c r="I55" s="412"/>
      <c r="J55" s="412"/>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c r="AN55" s="384"/>
      <c r="AO55" s="384"/>
      <c r="AP55" s="384"/>
      <c r="AQ55" s="384"/>
      <c r="AR55" s="384"/>
      <c r="AS55" s="384"/>
      <c r="AT55" s="384"/>
      <c r="AU55" s="384"/>
      <c r="AV55" s="384"/>
      <c r="AW55" s="384"/>
      <c r="AX55" s="384"/>
      <c r="AY55" s="384"/>
      <c r="AZ55" s="384"/>
      <c r="BA55" s="384"/>
      <c r="BB55" s="384"/>
      <c r="BC55" s="386"/>
      <c r="BD55" s="383"/>
      <c r="BE55" s="383"/>
      <c r="BF55" s="383"/>
      <c r="BG55" s="383"/>
      <c r="BH55" s="384"/>
      <c r="BI55" s="384"/>
      <c r="BJ55" s="384"/>
      <c r="BK55" s="1115"/>
      <c r="BL55" s="412"/>
      <c r="BM55" s="412"/>
      <c r="BN55" s="384"/>
      <c r="BO55" s="384"/>
      <c r="BP55" s="384"/>
      <c r="BQ55" s="384"/>
      <c r="BR55" s="384"/>
      <c r="BS55" s="384"/>
      <c r="BT55" s="384"/>
      <c r="BU55" s="384"/>
      <c r="BV55" s="384"/>
      <c r="BW55" s="384"/>
      <c r="BX55" s="384"/>
      <c r="BY55" s="384"/>
      <c r="BZ55" s="384"/>
      <c r="CA55" s="384"/>
      <c r="CB55" s="384"/>
      <c r="CC55" s="384"/>
      <c r="CD55" s="384"/>
      <c r="CE55" s="384"/>
      <c r="CF55" s="384"/>
      <c r="CG55" s="384"/>
      <c r="CH55" s="384"/>
      <c r="CI55" s="384"/>
      <c r="CJ55" s="384"/>
      <c r="CK55" s="384"/>
      <c r="CL55" s="384"/>
      <c r="CM55" s="384"/>
      <c r="CN55" s="384"/>
      <c r="CO55" s="384"/>
      <c r="CP55" s="384"/>
      <c r="CQ55" s="384"/>
      <c r="CR55" s="384"/>
      <c r="CS55" s="384"/>
      <c r="CT55" s="384"/>
      <c r="CU55" s="384"/>
      <c r="CV55" s="384"/>
      <c r="CW55" s="384"/>
      <c r="CX55" s="384"/>
      <c r="CY55" s="384"/>
      <c r="CZ55" s="384"/>
      <c r="DA55" s="384"/>
      <c r="DB55" s="384"/>
      <c r="DC55" s="384"/>
      <c r="DD55" s="384"/>
      <c r="DE55" s="384"/>
      <c r="DF55" s="386"/>
      <c r="DG55" s="383"/>
      <c r="DH55" s="383"/>
      <c r="DI55" s="383"/>
      <c r="DJ55" s="383"/>
      <c r="DK55" s="384"/>
      <c r="DL55" s="384"/>
      <c r="DM55" s="384"/>
      <c r="DN55" s="1115"/>
      <c r="DO55" s="412"/>
      <c r="DP55" s="412"/>
      <c r="DQ55" s="384"/>
      <c r="DR55" s="384"/>
      <c r="DS55" s="384"/>
      <c r="DT55" s="384"/>
      <c r="DU55" s="384"/>
      <c r="DV55" s="384"/>
      <c r="DW55" s="384"/>
      <c r="DX55" s="384"/>
      <c r="DY55" s="384"/>
      <c r="DZ55" s="384"/>
      <c r="EA55" s="384"/>
      <c r="EB55" s="384"/>
      <c r="EC55" s="384"/>
      <c r="ED55" s="384"/>
      <c r="EE55" s="384"/>
      <c r="EF55" s="384"/>
      <c r="EG55" s="384"/>
      <c r="EH55" s="384"/>
      <c r="EI55" s="384"/>
      <c r="EJ55" s="384"/>
      <c r="EK55" s="384"/>
      <c r="EL55" s="384"/>
      <c r="EM55" s="384"/>
      <c r="EN55" s="384"/>
      <c r="EO55" s="384"/>
      <c r="EP55" s="384"/>
      <c r="EQ55" s="384"/>
      <c r="ER55" s="384"/>
      <c r="ES55" s="384"/>
      <c r="ET55" s="384"/>
      <c r="EU55" s="384"/>
      <c r="EV55" s="384"/>
      <c r="EW55" s="384"/>
      <c r="EX55" s="384"/>
      <c r="EY55" s="384"/>
      <c r="EZ55" s="384"/>
      <c r="FA55" s="384"/>
      <c r="FB55" s="384"/>
      <c r="FC55" s="384"/>
      <c r="FD55" s="384"/>
      <c r="FE55" s="384"/>
      <c r="FF55" s="384"/>
      <c r="FG55" s="384"/>
      <c r="FH55" s="384"/>
      <c r="FI55" s="386"/>
      <c r="FJ55" s="383"/>
      <c r="FK55" s="383"/>
      <c r="FL55" s="383"/>
      <c r="FM55" s="383"/>
      <c r="FN55" s="384"/>
      <c r="FO55" s="384"/>
      <c r="FP55" s="384"/>
      <c r="FQ55" s="412"/>
      <c r="FR55" s="1115"/>
      <c r="FS55" s="412"/>
      <c r="FT55" s="412"/>
      <c r="FU55" s="412"/>
      <c r="FV55" s="383"/>
      <c r="FW55" s="383"/>
      <c r="FX55" s="383"/>
      <c r="FY55" s="383"/>
      <c r="FZ55" s="383"/>
      <c r="GA55" s="383"/>
      <c r="GB55" s="383"/>
      <c r="GC55" s="383"/>
      <c r="GD55" s="383"/>
      <c r="GE55" s="1116"/>
      <c r="GF55" s="681"/>
      <c r="GG55" s="388"/>
      <c r="GH55" s="388"/>
      <c r="GI55" s="388"/>
      <c r="GJ55" s="523"/>
      <c r="GK55" s="410"/>
      <c r="GL55" s="1117">
        <v>12</v>
      </c>
      <c r="GM55" s="1118">
        <v>3</v>
      </c>
      <c r="GN55" s="1095">
        <v>0.78</v>
      </c>
      <c r="GO55" s="1096">
        <v>0</v>
      </c>
      <c r="GP55" s="1096">
        <v>7</v>
      </c>
      <c r="GQ55" s="1097">
        <v>7</v>
      </c>
      <c r="GR55" s="523"/>
      <c r="GS55" s="523"/>
      <c r="GT55" s="1119"/>
      <c r="GU55" s="1120"/>
      <c r="GV55" s="572"/>
      <c r="GW55" s="523"/>
      <c r="GX55" s="572"/>
      <c r="GY55" s="388"/>
      <c r="GZ55" s="522"/>
      <c r="HA55" s="573"/>
      <c r="HB55" s="522"/>
      <c r="HC55" s="388"/>
      <c r="HD55" s="384"/>
    </row>
    <row r="56" spans="1:212" ht="20.100000000000001" customHeight="1">
      <c r="A56" s="1121" t="s">
        <v>317</v>
      </c>
      <c r="B56" s="1122"/>
      <c r="C56" s="1122"/>
      <c r="D56" s="1122"/>
      <c r="E56" s="1123"/>
      <c r="F56" s="1124"/>
      <c r="G56" s="1125">
        <v>1</v>
      </c>
      <c r="H56" s="1126"/>
      <c r="I56" s="1127">
        <v>2</v>
      </c>
      <c r="J56" s="1126"/>
      <c r="K56" s="1127">
        <v>3</v>
      </c>
      <c r="L56" s="1126"/>
      <c r="M56" s="1127">
        <v>4</v>
      </c>
      <c r="N56" s="1126"/>
      <c r="O56" s="1127">
        <v>5</v>
      </c>
      <c r="P56" s="1126"/>
      <c r="Q56" s="1127">
        <v>6</v>
      </c>
      <c r="R56" s="1126"/>
      <c r="S56" s="1127">
        <v>7</v>
      </c>
      <c r="T56" s="1126"/>
      <c r="U56" s="1127">
        <v>8</v>
      </c>
      <c r="V56" s="1126"/>
      <c r="W56" s="1127">
        <v>9</v>
      </c>
      <c r="X56" s="1126"/>
      <c r="Y56" s="1127">
        <v>10</v>
      </c>
      <c r="Z56" s="1126"/>
      <c r="AA56" s="1127">
        <v>11</v>
      </c>
      <c r="AB56" s="1126"/>
      <c r="AC56" s="1127">
        <v>12</v>
      </c>
      <c r="AD56" s="1126"/>
      <c r="AE56" s="1127">
        <v>13</v>
      </c>
      <c r="AF56" s="1126"/>
      <c r="AG56" s="1127">
        <v>14</v>
      </c>
      <c r="AH56" s="1126"/>
      <c r="AI56" s="1127">
        <v>15</v>
      </c>
      <c r="AJ56" s="1126"/>
      <c r="AK56" s="1127">
        <v>16</v>
      </c>
      <c r="AL56" s="1126"/>
      <c r="AM56" s="1127">
        <v>17</v>
      </c>
      <c r="AN56" s="1126"/>
      <c r="AO56" s="1127">
        <v>18</v>
      </c>
      <c r="AP56" s="1126"/>
      <c r="AQ56" s="1127">
        <v>19</v>
      </c>
      <c r="AR56" s="1126"/>
      <c r="AS56" s="1127">
        <v>20</v>
      </c>
      <c r="AT56" s="1126"/>
      <c r="AU56" s="1127">
        <v>21</v>
      </c>
      <c r="AV56" s="1126"/>
      <c r="AW56" s="1127">
        <v>22</v>
      </c>
      <c r="AX56" s="1126"/>
      <c r="AY56" s="1127">
        <v>23</v>
      </c>
      <c r="AZ56" s="1126"/>
      <c r="BA56" s="1127">
        <v>24</v>
      </c>
      <c r="BB56" s="1128"/>
      <c r="BC56" s="1031"/>
      <c r="BD56" s="1121" t="s">
        <v>317</v>
      </c>
      <c r="BE56" s="1122"/>
      <c r="BF56" s="1122"/>
      <c r="BG56" s="1122"/>
      <c r="BH56" s="1123"/>
      <c r="BI56" s="1124"/>
      <c r="BJ56" s="1125">
        <v>1</v>
      </c>
      <c r="BK56" s="1126"/>
      <c r="BL56" s="1127">
        <v>2</v>
      </c>
      <c r="BM56" s="1126"/>
      <c r="BN56" s="1127">
        <v>3</v>
      </c>
      <c r="BO56" s="1126"/>
      <c r="BP56" s="1127">
        <v>4</v>
      </c>
      <c r="BQ56" s="1126"/>
      <c r="BR56" s="1127">
        <v>5</v>
      </c>
      <c r="BS56" s="1126"/>
      <c r="BT56" s="1127">
        <v>6</v>
      </c>
      <c r="BU56" s="1126"/>
      <c r="BV56" s="1127">
        <v>7</v>
      </c>
      <c r="BW56" s="1126"/>
      <c r="BX56" s="1127">
        <v>8</v>
      </c>
      <c r="BY56" s="1126"/>
      <c r="BZ56" s="1127">
        <v>9</v>
      </c>
      <c r="CA56" s="1126"/>
      <c r="CB56" s="1127">
        <v>10</v>
      </c>
      <c r="CC56" s="1126"/>
      <c r="CD56" s="1127">
        <v>11</v>
      </c>
      <c r="CE56" s="1126"/>
      <c r="CF56" s="1127">
        <v>12</v>
      </c>
      <c r="CG56" s="1126"/>
      <c r="CH56" s="1127">
        <v>13</v>
      </c>
      <c r="CI56" s="1126"/>
      <c r="CJ56" s="1127">
        <v>14</v>
      </c>
      <c r="CK56" s="1126"/>
      <c r="CL56" s="1127">
        <v>15</v>
      </c>
      <c r="CM56" s="1126"/>
      <c r="CN56" s="1127">
        <v>16</v>
      </c>
      <c r="CO56" s="1126"/>
      <c r="CP56" s="1127">
        <v>17</v>
      </c>
      <c r="CQ56" s="1126"/>
      <c r="CR56" s="1127">
        <v>18</v>
      </c>
      <c r="CS56" s="1126"/>
      <c r="CT56" s="1127">
        <v>19</v>
      </c>
      <c r="CU56" s="1126"/>
      <c r="CV56" s="1127">
        <v>20</v>
      </c>
      <c r="CW56" s="1126"/>
      <c r="CX56" s="1127">
        <v>21</v>
      </c>
      <c r="CY56" s="1126"/>
      <c r="CZ56" s="1127">
        <v>22</v>
      </c>
      <c r="DA56" s="1126"/>
      <c r="DB56" s="1127">
        <v>23</v>
      </c>
      <c r="DC56" s="1126"/>
      <c r="DD56" s="1127">
        <v>24</v>
      </c>
      <c r="DE56" s="1128"/>
      <c r="DF56" s="1031"/>
      <c r="DG56" s="1121" t="s">
        <v>317</v>
      </c>
      <c r="DH56" s="1122"/>
      <c r="DI56" s="1122"/>
      <c r="DJ56" s="1122"/>
      <c r="DK56" s="1123"/>
      <c r="DL56" s="1124"/>
      <c r="DM56" s="1125">
        <v>1</v>
      </c>
      <c r="DN56" s="1126"/>
      <c r="DO56" s="1127">
        <v>2</v>
      </c>
      <c r="DP56" s="1126"/>
      <c r="DQ56" s="1127">
        <v>3</v>
      </c>
      <c r="DR56" s="1126"/>
      <c r="DS56" s="1127">
        <v>4</v>
      </c>
      <c r="DT56" s="1126"/>
      <c r="DU56" s="1127">
        <v>5</v>
      </c>
      <c r="DV56" s="1126"/>
      <c r="DW56" s="1127">
        <v>6</v>
      </c>
      <c r="DX56" s="1126"/>
      <c r="DY56" s="1127">
        <v>7</v>
      </c>
      <c r="DZ56" s="1126"/>
      <c r="EA56" s="1127">
        <v>8</v>
      </c>
      <c r="EB56" s="1126"/>
      <c r="EC56" s="1127">
        <v>9</v>
      </c>
      <c r="ED56" s="1126"/>
      <c r="EE56" s="1127">
        <v>10</v>
      </c>
      <c r="EF56" s="1126"/>
      <c r="EG56" s="1127">
        <v>11</v>
      </c>
      <c r="EH56" s="1126"/>
      <c r="EI56" s="1127">
        <v>12</v>
      </c>
      <c r="EJ56" s="1126"/>
      <c r="EK56" s="1127">
        <v>13</v>
      </c>
      <c r="EL56" s="1126"/>
      <c r="EM56" s="1127">
        <v>14</v>
      </c>
      <c r="EN56" s="1126"/>
      <c r="EO56" s="1127">
        <v>15</v>
      </c>
      <c r="EP56" s="1126"/>
      <c r="EQ56" s="1127">
        <v>16</v>
      </c>
      <c r="ER56" s="1126"/>
      <c r="ES56" s="1127">
        <v>17</v>
      </c>
      <c r="ET56" s="1126"/>
      <c r="EU56" s="1127">
        <v>18</v>
      </c>
      <c r="EV56" s="1126"/>
      <c r="EW56" s="1127">
        <v>19</v>
      </c>
      <c r="EX56" s="1126"/>
      <c r="EY56" s="1127">
        <v>20</v>
      </c>
      <c r="EZ56" s="1126"/>
      <c r="FA56" s="1127">
        <v>21</v>
      </c>
      <c r="FB56" s="1126"/>
      <c r="FC56" s="1127">
        <v>22</v>
      </c>
      <c r="FD56" s="1126"/>
      <c r="FE56" s="1127">
        <v>23</v>
      </c>
      <c r="FF56" s="1126"/>
      <c r="FG56" s="1127">
        <v>24</v>
      </c>
      <c r="FH56" s="1128"/>
      <c r="FI56" s="1031"/>
      <c r="FJ56" s="1121" t="s">
        <v>318</v>
      </c>
      <c r="FK56" s="1122"/>
      <c r="FL56" s="1122"/>
      <c r="FM56" s="1122"/>
      <c r="FN56" s="1123"/>
      <c r="FO56" s="1123"/>
      <c r="FP56" s="1129" t="s">
        <v>319</v>
      </c>
      <c r="FQ56" s="1130"/>
      <c r="FR56" s="1131"/>
      <c r="FS56" s="1132" t="s">
        <v>261</v>
      </c>
      <c r="FT56" s="1133"/>
      <c r="FU56" s="1134"/>
      <c r="FV56" s="1135" t="s">
        <v>320</v>
      </c>
      <c r="FW56" s="1136"/>
      <c r="FX56" s="1137" t="s">
        <v>321</v>
      </c>
      <c r="FY56" s="1138"/>
      <c r="FZ56" s="1139" t="s">
        <v>322</v>
      </c>
      <c r="GA56" s="1140"/>
      <c r="GB56" s="1141" t="s">
        <v>323</v>
      </c>
      <c r="GC56" s="1126"/>
      <c r="GD56" s="1141" t="s">
        <v>324</v>
      </c>
      <c r="GE56" s="1128"/>
      <c r="GF56" s="681"/>
      <c r="GG56" s="476"/>
      <c r="GH56" s="476"/>
      <c r="GI56" s="476"/>
      <c r="GJ56" s="523"/>
      <c r="GK56" s="572"/>
      <c r="GL56" s="1093">
        <v>13</v>
      </c>
      <c r="GM56" s="1094">
        <v>4</v>
      </c>
      <c r="GN56" s="1095">
        <v>0.72</v>
      </c>
      <c r="GO56" s="1096">
        <v>0</v>
      </c>
      <c r="GP56" s="1096">
        <v>7</v>
      </c>
      <c r="GQ56" s="1097">
        <v>7</v>
      </c>
      <c r="GR56" s="523"/>
      <c r="GS56" s="522"/>
      <c r="GT56" s="1257"/>
      <c r="GU56" s="571"/>
      <c r="GV56" s="572"/>
      <c r="GW56" s="571"/>
      <c r="GX56" s="572"/>
      <c r="GY56" s="572"/>
      <c r="GZ56" s="493"/>
      <c r="HA56" s="571"/>
      <c r="HB56" s="493"/>
      <c r="HC56" s="479"/>
    </row>
    <row r="57" spans="1:212" ht="20.100000000000001" customHeight="1">
      <c r="A57" s="1142"/>
      <c r="B57" s="1143"/>
      <c r="C57" s="1143"/>
      <c r="D57" s="1143"/>
      <c r="E57" s="1144"/>
      <c r="F57" s="1145"/>
      <c r="G57" s="1146" t="s">
        <v>325</v>
      </c>
      <c r="H57" s="1147" t="s">
        <v>289</v>
      </c>
      <c r="I57" s="1148" t="s">
        <v>325</v>
      </c>
      <c r="J57" s="1147" t="s">
        <v>289</v>
      </c>
      <c r="K57" s="1148" t="s">
        <v>325</v>
      </c>
      <c r="L57" s="1147" t="s">
        <v>289</v>
      </c>
      <c r="M57" s="1148" t="s">
        <v>325</v>
      </c>
      <c r="N57" s="1147" t="s">
        <v>289</v>
      </c>
      <c r="O57" s="1148" t="s">
        <v>325</v>
      </c>
      <c r="P57" s="1147" t="s">
        <v>289</v>
      </c>
      <c r="Q57" s="1148" t="s">
        <v>325</v>
      </c>
      <c r="R57" s="1147" t="s">
        <v>289</v>
      </c>
      <c r="S57" s="1148" t="s">
        <v>325</v>
      </c>
      <c r="T57" s="1147" t="s">
        <v>289</v>
      </c>
      <c r="U57" s="1148" t="s">
        <v>325</v>
      </c>
      <c r="V57" s="1147" t="s">
        <v>289</v>
      </c>
      <c r="W57" s="1148" t="s">
        <v>325</v>
      </c>
      <c r="X57" s="1147" t="s">
        <v>289</v>
      </c>
      <c r="Y57" s="1148" t="s">
        <v>325</v>
      </c>
      <c r="Z57" s="1147" t="s">
        <v>289</v>
      </c>
      <c r="AA57" s="1148" t="s">
        <v>325</v>
      </c>
      <c r="AB57" s="1147" t="s">
        <v>289</v>
      </c>
      <c r="AC57" s="1148" t="s">
        <v>325</v>
      </c>
      <c r="AD57" s="1147" t="s">
        <v>325</v>
      </c>
      <c r="AE57" s="1148" t="s">
        <v>325</v>
      </c>
      <c r="AF57" s="1147" t="s">
        <v>289</v>
      </c>
      <c r="AG57" s="1148" t="s">
        <v>325</v>
      </c>
      <c r="AH57" s="1147" t="s">
        <v>289</v>
      </c>
      <c r="AI57" s="1148" t="s">
        <v>325</v>
      </c>
      <c r="AJ57" s="1147" t="s">
        <v>289</v>
      </c>
      <c r="AK57" s="1148" t="s">
        <v>325</v>
      </c>
      <c r="AL57" s="1147" t="s">
        <v>289</v>
      </c>
      <c r="AM57" s="1148" t="s">
        <v>325</v>
      </c>
      <c r="AN57" s="1147" t="s">
        <v>289</v>
      </c>
      <c r="AO57" s="1148" t="s">
        <v>325</v>
      </c>
      <c r="AP57" s="1147" t="s">
        <v>289</v>
      </c>
      <c r="AQ57" s="1148" t="s">
        <v>325</v>
      </c>
      <c r="AR57" s="1147" t="s">
        <v>289</v>
      </c>
      <c r="AS57" s="1148" t="s">
        <v>325</v>
      </c>
      <c r="AT57" s="1147" t="s">
        <v>289</v>
      </c>
      <c r="AU57" s="1148" t="s">
        <v>325</v>
      </c>
      <c r="AV57" s="1147" t="s">
        <v>289</v>
      </c>
      <c r="AW57" s="1148" t="s">
        <v>325</v>
      </c>
      <c r="AX57" s="1147" t="s">
        <v>289</v>
      </c>
      <c r="AY57" s="1148" t="s">
        <v>325</v>
      </c>
      <c r="AZ57" s="1147" t="s">
        <v>289</v>
      </c>
      <c r="BA57" s="1149" t="s">
        <v>325</v>
      </c>
      <c r="BB57" s="1150" t="s">
        <v>289</v>
      </c>
      <c r="BC57" s="1045"/>
      <c r="BD57" s="1142"/>
      <c r="BE57" s="1143"/>
      <c r="BF57" s="1143"/>
      <c r="BG57" s="1143"/>
      <c r="BH57" s="1144"/>
      <c r="BI57" s="1145"/>
      <c r="BJ57" s="1146" t="s">
        <v>325</v>
      </c>
      <c r="BK57" s="1147" t="s">
        <v>289</v>
      </c>
      <c r="BL57" s="1148" t="s">
        <v>325</v>
      </c>
      <c r="BM57" s="1147" t="s">
        <v>289</v>
      </c>
      <c r="BN57" s="1148" t="s">
        <v>325</v>
      </c>
      <c r="BO57" s="1147" t="s">
        <v>289</v>
      </c>
      <c r="BP57" s="1148" t="s">
        <v>325</v>
      </c>
      <c r="BQ57" s="1147" t="s">
        <v>289</v>
      </c>
      <c r="BR57" s="1148" t="s">
        <v>325</v>
      </c>
      <c r="BS57" s="1147" t="s">
        <v>289</v>
      </c>
      <c r="BT57" s="1148" t="s">
        <v>325</v>
      </c>
      <c r="BU57" s="1147" t="s">
        <v>289</v>
      </c>
      <c r="BV57" s="1148" t="s">
        <v>325</v>
      </c>
      <c r="BW57" s="1147" t="s">
        <v>289</v>
      </c>
      <c r="BX57" s="1148" t="s">
        <v>325</v>
      </c>
      <c r="BY57" s="1147" t="s">
        <v>289</v>
      </c>
      <c r="BZ57" s="1148" t="s">
        <v>325</v>
      </c>
      <c r="CA57" s="1147" t="s">
        <v>289</v>
      </c>
      <c r="CB57" s="1148" t="s">
        <v>325</v>
      </c>
      <c r="CC57" s="1147" t="s">
        <v>289</v>
      </c>
      <c r="CD57" s="1148" t="s">
        <v>325</v>
      </c>
      <c r="CE57" s="1147" t="s">
        <v>289</v>
      </c>
      <c r="CF57" s="1148" t="s">
        <v>325</v>
      </c>
      <c r="CG57" s="1147" t="s">
        <v>325</v>
      </c>
      <c r="CH57" s="1148" t="s">
        <v>325</v>
      </c>
      <c r="CI57" s="1147" t="s">
        <v>289</v>
      </c>
      <c r="CJ57" s="1148" t="s">
        <v>325</v>
      </c>
      <c r="CK57" s="1147" t="s">
        <v>289</v>
      </c>
      <c r="CL57" s="1148" t="s">
        <v>325</v>
      </c>
      <c r="CM57" s="1147" t="s">
        <v>289</v>
      </c>
      <c r="CN57" s="1148" t="s">
        <v>325</v>
      </c>
      <c r="CO57" s="1147" t="s">
        <v>289</v>
      </c>
      <c r="CP57" s="1148" t="s">
        <v>325</v>
      </c>
      <c r="CQ57" s="1147" t="s">
        <v>289</v>
      </c>
      <c r="CR57" s="1148" t="s">
        <v>325</v>
      </c>
      <c r="CS57" s="1147" t="s">
        <v>289</v>
      </c>
      <c r="CT57" s="1148" t="s">
        <v>325</v>
      </c>
      <c r="CU57" s="1147" t="s">
        <v>289</v>
      </c>
      <c r="CV57" s="1148" t="s">
        <v>325</v>
      </c>
      <c r="CW57" s="1147" t="s">
        <v>289</v>
      </c>
      <c r="CX57" s="1148" t="s">
        <v>325</v>
      </c>
      <c r="CY57" s="1147" t="s">
        <v>289</v>
      </c>
      <c r="CZ57" s="1148" t="s">
        <v>325</v>
      </c>
      <c r="DA57" s="1147" t="s">
        <v>289</v>
      </c>
      <c r="DB57" s="1148" t="s">
        <v>325</v>
      </c>
      <c r="DC57" s="1147" t="s">
        <v>289</v>
      </c>
      <c r="DD57" s="1149" t="s">
        <v>325</v>
      </c>
      <c r="DE57" s="1150" t="s">
        <v>289</v>
      </c>
      <c r="DF57" s="1045"/>
      <c r="DG57" s="1142"/>
      <c r="DH57" s="1143"/>
      <c r="DI57" s="1143"/>
      <c r="DJ57" s="1143"/>
      <c r="DK57" s="1144"/>
      <c r="DL57" s="1145"/>
      <c r="DM57" s="1146" t="s">
        <v>325</v>
      </c>
      <c r="DN57" s="1147" t="s">
        <v>289</v>
      </c>
      <c r="DO57" s="1148" t="s">
        <v>325</v>
      </c>
      <c r="DP57" s="1147" t="s">
        <v>289</v>
      </c>
      <c r="DQ57" s="1148" t="s">
        <v>325</v>
      </c>
      <c r="DR57" s="1147" t="s">
        <v>289</v>
      </c>
      <c r="DS57" s="1148" t="s">
        <v>325</v>
      </c>
      <c r="DT57" s="1147" t="s">
        <v>289</v>
      </c>
      <c r="DU57" s="1148" t="s">
        <v>325</v>
      </c>
      <c r="DV57" s="1147" t="s">
        <v>289</v>
      </c>
      <c r="DW57" s="1148" t="s">
        <v>325</v>
      </c>
      <c r="DX57" s="1147" t="s">
        <v>289</v>
      </c>
      <c r="DY57" s="1148" t="s">
        <v>325</v>
      </c>
      <c r="DZ57" s="1147" t="s">
        <v>289</v>
      </c>
      <c r="EA57" s="1148" t="s">
        <v>325</v>
      </c>
      <c r="EB57" s="1147" t="s">
        <v>289</v>
      </c>
      <c r="EC57" s="1148" t="s">
        <v>325</v>
      </c>
      <c r="ED57" s="1147" t="s">
        <v>289</v>
      </c>
      <c r="EE57" s="1148" t="s">
        <v>325</v>
      </c>
      <c r="EF57" s="1147" t="s">
        <v>289</v>
      </c>
      <c r="EG57" s="1148" t="s">
        <v>325</v>
      </c>
      <c r="EH57" s="1147" t="s">
        <v>289</v>
      </c>
      <c r="EI57" s="1148" t="s">
        <v>325</v>
      </c>
      <c r="EJ57" s="1147" t="s">
        <v>325</v>
      </c>
      <c r="EK57" s="1148" t="s">
        <v>325</v>
      </c>
      <c r="EL57" s="1147" t="s">
        <v>289</v>
      </c>
      <c r="EM57" s="1148" t="s">
        <v>325</v>
      </c>
      <c r="EN57" s="1147" t="s">
        <v>289</v>
      </c>
      <c r="EO57" s="1148" t="s">
        <v>325</v>
      </c>
      <c r="EP57" s="1147" t="s">
        <v>289</v>
      </c>
      <c r="EQ57" s="1148" t="s">
        <v>325</v>
      </c>
      <c r="ER57" s="1147" t="s">
        <v>289</v>
      </c>
      <c r="ES57" s="1148" t="s">
        <v>325</v>
      </c>
      <c r="ET57" s="1147" t="s">
        <v>289</v>
      </c>
      <c r="EU57" s="1148" t="s">
        <v>325</v>
      </c>
      <c r="EV57" s="1147" t="s">
        <v>289</v>
      </c>
      <c r="EW57" s="1148" t="s">
        <v>325</v>
      </c>
      <c r="EX57" s="1147" t="s">
        <v>289</v>
      </c>
      <c r="EY57" s="1148" t="s">
        <v>325</v>
      </c>
      <c r="EZ57" s="1147" t="s">
        <v>289</v>
      </c>
      <c r="FA57" s="1148" t="s">
        <v>325</v>
      </c>
      <c r="FB57" s="1147" t="s">
        <v>289</v>
      </c>
      <c r="FC57" s="1148" t="s">
        <v>325</v>
      </c>
      <c r="FD57" s="1147" t="s">
        <v>289</v>
      </c>
      <c r="FE57" s="1148" t="s">
        <v>325</v>
      </c>
      <c r="FF57" s="1147" t="s">
        <v>289</v>
      </c>
      <c r="FG57" s="1149" t="s">
        <v>325</v>
      </c>
      <c r="FH57" s="1150" t="s">
        <v>289</v>
      </c>
      <c r="FI57" s="1045"/>
      <c r="FJ57" s="1142"/>
      <c r="FK57" s="1143"/>
      <c r="FL57" s="1143"/>
      <c r="FM57" s="1143"/>
      <c r="FN57" s="1144"/>
      <c r="FO57" s="1145"/>
      <c r="FP57" s="1151" t="s">
        <v>272</v>
      </c>
      <c r="FQ57" s="1149" t="s">
        <v>325</v>
      </c>
      <c r="FR57" s="1147" t="s">
        <v>290</v>
      </c>
      <c r="FS57" s="1152" t="s">
        <v>272</v>
      </c>
      <c r="FT57" s="1149" t="s">
        <v>325</v>
      </c>
      <c r="FU57" s="1153" t="s">
        <v>290</v>
      </c>
      <c r="FV57" s="1154" t="s">
        <v>272</v>
      </c>
      <c r="FW57" s="1147" t="s">
        <v>289</v>
      </c>
      <c r="FX57" s="1152" t="s">
        <v>272</v>
      </c>
      <c r="FY57" s="1147" t="s">
        <v>289</v>
      </c>
      <c r="FZ57" s="1152" t="s">
        <v>272</v>
      </c>
      <c r="GA57" s="1147" t="s">
        <v>289</v>
      </c>
      <c r="GB57" s="1152" t="s">
        <v>272</v>
      </c>
      <c r="GC57" s="1147" t="s">
        <v>289</v>
      </c>
      <c r="GD57" s="1152" t="s">
        <v>272</v>
      </c>
      <c r="GE57" s="1150" t="s">
        <v>290</v>
      </c>
      <c r="GF57" s="681"/>
      <c r="GG57" s="648"/>
      <c r="GH57" s="648"/>
      <c r="GI57" s="648"/>
      <c r="GJ57" s="946"/>
      <c r="GK57" s="406"/>
      <c r="GL57" s="1117">
        <v>14</v>
      </c>
      <c r="GM57" s="1118">
        <v>5</v>
      </c>
      <c r="GN57" s="1095">
        <v>0.66</v>
      </c>
      <c r="GO57" s="1096">
        <v>0</v>
      </c>
      <c r="GP57" s="1096">
        <v>7</v>
      </c>
      <c r="GQ57" s="1097">
        <v>7</v>
      </c>
      <c r="GR57" s="946"/>
      <c r="GS57" s="522"/>
      <c r="GT57" s="1257"/>
      <c r="GU57" s="571"/>
      <c r="GV57" s="571"/>
      <c r="GW57" s="493"/>
      <c r="GX57" s="1260"/>
      <c r="GY57" s="572"/>
      <c r="GZ57" s="493"/>
      <c r="HA57" s="571"/>
      <c r="HB57" s="493"/>
      <c r="HC57" s="1045"/>
    </row>
    <row r="58" spans="1:212" ht="20.100000000000001" customHeight="1">
      <c r="A58" s="1155" t="s">
        <v>755</v>
      </c>
      <c r="B58" s="1156"/>
      <c r="C58" s="1156"/>
      <c r="D58" s="1156"/>
      <c r="E58" s="1157"/>
      <c r="F58" s="1158"/>
      <c r="G58" s="1159"/>
      <c r="H58" s="1160">
        <v>3630</v>
      </c>
      <c r="I58" s="1161"/>
      <c r="J58" s="1160">
        <v>3630</v>
      </c>
      <c r="K58" s="1161"/>
      <c r="L58" s="1160">
        <v>3630</v>
      </c>
      <c r="M58" s="1161"/>
      <c r="N58" s="1160">
        <v>3630</v>
      </c>
      <c r="O58" s="1161"/>
      <c r="P58" s="1160">
        <v>3630</v>
      </c>
      <c r="Q58" s="1161"/>
      <c r="R58" s="1160">
        <v>3630</v>
      </c>
      <c r="S58" s="1161"/>
      <c r="T58" s="1160">
        <v>3630</v>
      </c>
      <c r="U58" s="1161"/>
      <c r="V58" s="1160">
        <v>3630</v>
      </c>
      <c r="W58" s="1161"/>
      <c r="X58" s="1160">
        <v>3630</v>
      </c>
      <c r="Y58" s="1161"/>
      <c r="Z58" s="1160">
        <v>3630</v>
      </c>
      <c r="AA58" s="1161"/>
      <c r="AB58" s="1160">
        <v>3630</v>
      </c>
      <c r="AC58" s="1161"/>
      <c r="AD58" s="1160">
        <v>3630</v>
      </c>
      <c r="AE58" s="1161"/>
      <c r="AF58" s="1160">
        <v>3630</v>
      </c>
      <c r="AG58" s="1161"/>
      <c r="AH58" s="1160">
        <v>3630</v>
      </c>
      <c r="AI58" s="1161"/>
      <c r="AJ58" s="1160">
        <v>3630</v>
      </c>
      <c r="AK58" s="1161"/>
      <c r="AL58" s="1160">
        <v>3630</v>
      </c>
      <c r="AM58" s="1161"/>
      <c r="AN58" s="1160">
        <v>3630</v>
      </c>
      <c r="AO58" s="1161"/>
      <c r="AP58" s="1160">
        <v>3630</v>
      </c>
      <c r="AQ58" s="1161"/>
      <c r="AR58" s="1160">
        <v>3630</v>
      </c>
      <c r="AS58" s="1161"/>
      <c r="AT58" s="1160">
        <v>3630</v>
      </c>
      <c r="AU58" s="1161"/>
      <c r="AV58" s="1160">
        <v>3630</v>
      </c>
      <c r="AW58" s="1161"/>
      <c r="AX58" s="1160">
        <v>3630</v>
      </c>
      <c r="AY58" s="1161"/>
      <c r="AZ58" s="1160">
        <v>3630</v>
      </c>
      <c r="BA58" s="1161"/>
      <c r="BB58" s="554">
        <v>3630</v>
      </c>
      <c r="BC58" s="556"/>
      <c r="BD58" s="1155" t="s">
        <v>756</v>
      </c>
      <c r="BE58" s="1156"/>
      <c r="BF58" s="1156"/>
      <c r="BG58" s="1156"/>
      <c r="BH58" s="1157"/>
      <c r="BI58" s="1158"/>
      <c r="BJ58" s="1159"/>
      <c r="BK58" s="1160">
        <v>3630</v>
      </c>
      <c r="BL58" s="1161"/>
      <c r="BM58" s="1160">
        <v>3630</v>
      </c>
      <c r="BN58" s="1161"/>
      <c r="BO58" s="1160">
        <v>3630</v>
      </c>
      <c r="BP58" s="1161"/>
      <c r="BQ58" s="1160">
        <v>3630</v>
      </c>
      <c r="BR58" s="1161"/>
      <c r="BS58" s="1160">
        <v>3630</v>
      </c>
      <c r="BT58" s="1161"/>
      <c r="BU58" s="1160">
        <v>3630</v>
      </c>
      <c r="BV58" s="1161"/>
      <c r="BW58" s="1160">
        <v>3630</v>
      </c>
      <c r="BX58" s="1161"/>
      <c r="BY58" s="1160">
        <v>3630</v>
      </c>
      <c r="BZ58" s="1161"/>
      <c r="CA58" s="1160">
        <v>3630</v>
      </c>
      <c r="CB58" s="1161"/>
      <c r="CC58" s="1160">
        <v>3630</v>
      </c>
      <c r="CD58" s="1161"/>
      <c r="CE58" s="1160">
        <v>3630</v>
      </c>
      <c r="CF58" s="1161"/>
      <c r="CG58" s="1160">
        <v>3630</v>
      </c>
      <c r="CH58" s="1161"/>
      <c r="CI58" s="1160">
        <v>3630</v>
      </c>
      <c r="CJ58" s="1161"/>
      <c r="CK58" s="1160">
        <v>3630</v>
      </c>
      <c r="CL58" s="1161"/>
      <c r="CM58" s="1160">
        <v>3630</v>
      </c>
      <c r="CN58" s="1161"/>
      <c r="CO58" s="1160">
        <v>3630</v>
      </c>
      <c r="CP58" s="1161"/>
      <c r="CQ58" s="1160">
        <v>3630</v>
      </c>
      <c r="CR58" s="1161"/>
      <c r="CS58" s="1160">
        <v>3630</v>
      </c>
      <c r="CT58" s="1161"/>
      <c r="CU58" s="1160">
        <v>3630</v>
      </c>
      <c r="CV58" s="1161"/>
      <c r="CW58" s="1160">
        <v>3630</v>
      </c>
      <c r="CX58" s="1161"/>
      <c r="CY58" s="1160">
        <v>3630</v>
      </c>
      <c r="CZ58" s="1161"/>
      <c r="DA58" s="1160">
        <v>3630</v>
      </c>
      <c r="DB58" s="1161"/>
      <c r="DC58" s="1160">
        <v>3630</v>
      </c>
      <c r="DD58" s="1161"/>
      <c r="DE58" s="554">
        <v>3630</v>
      </c>
      <c r="DF58" s="555"/>
      <c r="DG58" s="1155" t="s">
        <v>757</v>
      </c>
      <c r="DH58" s="1156"/>
      <c r="DI58" s="1156"/>
      <c r="DJ58" s="1156"/>
      <c r="DK58" s="1157"/>
      <c r="DL58" s="1158"/>
      <c r="DM58" s="1159"/>
      <c r="DN58" s="1160">
        <v>3630</v>
      </c>
      <c r="DO58" s="1161"/>
      <c r="DP58" s="1160">
        <v>3630</v>
      </c>
      <c r="DQ58" s="1161"/>
      <c r="DR58" s="1160">
        <v>3630</v>
      </c>
      <c r="DS58" s="1161"/>
      <c r="DT58" s="1160">
        <v>3630</v>
      </c>
      <c r="DU58" s="1161"/>
      <c r="DV58" s="1160">
        <v>3630</v>
      </c>
      <c r="DW58" s="1161"/>
      <c r="DX58" s="1160">
        <v>3630</v>
      </c>
      <c r="DY58" s="1161"/>
      <c r="DZ58" s="1160">
        <v>3630</v>
      </c>
      <c r="EA58" s="1161"/>
      <c r="EB58" s="1160">
        <v>3630</v>
      </c>
      <c r="EC58" s="1161"/>
      <c r="ED58" s="1160">
        <v>3630</v>
      </c>
      <c r="EE58" s="1161"/>
      <c r="EF58" s="1160">
        <v>3630</v>
      </c>
      <c r="EG58" s="1161"/>
      <c r="EH58" s="1160">
        <v>3630</v>
      </c>
      <c r="EI58" s="1161"/>
      <c r="EJ58" s="1160">
        <v>3630</v>
      </c>
      <c r="EK58" s="1161"/>
      <c r="EL58" s="1160">
        <v>3630</v>
      </c>
      <c r="EM58" s="1161"/>
      <c r="EN58" s="1160">
        <v>3630</v>
      </c>
      <c r="EO58" s="1161"/>
      <c r="EP58" s="1160">
        <v>3630</v>
      </c>
      <c r="EQ58" s="1161"/>
      <c r="ER58" s="1160">
        <v>3630</v>
      </c>
      <c r="ES58" s="1161"/>
      <c r="ET58" s="1160">
        <v>3630</v>
      </c>
      <c r="EU58" s="1161"/>
      <c r="EV58" s="1160">
        <v>3630</v>
      </c>
      <c r="EW58" s="1161"/>
      <c r="EX58" s="1160">
        <v>3630</v>
      </c>
      <c r="EY58" s="1161"/>
      <c r="EZ58" s="1160">
        <v>3630</v>
      </c>
      <c r="FA58" s="1161"/>
      <c r="FB58" s="1160">
        <v>3630</v>
      </c>
      <c r="FC58" s="1161"/>
      <c r="FD58" s="1160">
        <v>3630</v>
      </c>
      <c r="FE58" s="1161"/>
      <c r="FF58" s="1160">
        <v>3630</v>
      </c>
      <c r="FG58" s="1161"/>
      <c r="FH58" s="554">
        <v>3630</v>
      </c>
      <c r="FI58" s="556"/>
      <c r="FJ58" s="1155" t="s">
        <v>756</v>
      </c>
      <c r="FK58" s="1156"/>
      <c r="FL58" s="1156"/>
      <c r="FM58" s="1156"/>
      <c r="FN58" s="1157"/>
      <c r="FO58" s="1158"/>
      <c r="FP58" s="1162"/>
      <c r="FQ58" s="1163"/>
      <c r="FR58" s="1160">
        <v>3630</v>
      </c>
      <c r="FS58" s="1164"/>
      <c r="FT58" s="1163"/>
      <c r="FU58" s="1165">
        <v>3630</v>
      </c>
      <c r="FV58" s="1166"/>
      <c r="FW58" s="1167"/>
      <c r="FX58" s="1168"/>
      <c r="FY58" s="1167"/>
      <c r="FZ58" s="1168"/>
      <c r="GA58" s="1167"/>
      <c r="GB58" s="1168"/>
      <c r="GC58" s="1167"/>
      <c r="GD58" s="1168"/>
      <c r="GE58" s="1169"/>
      <c r="GF58" s="681"/>
      <c r="GG58" s="595"/>
      <c r="GH58" s="595"/>
      <c r="GI58" s="595"/>
      <c r="GJ58" s="946"/>
      <c r="GK58" s="1170"/>
      <c r="GL58" s="1093">
        <v>15</v>
      </c>
      <c r="GM58" s="1094">
        <v>6</v>
      </c>
      <c r="GN58" s="1095">
        <v>0.61</v>
      </c>
      <c r="GO58" s="1096">
        <v>0</v>
      </c>
      <c r="GP58" s="1096">
        <v>7</v>
      </c>
      <c r="GQ58" s="1097">
        <v>7</v>
      </c>
      <c r="GR58" s="946"/>
      <c r="GS58" s="523"/>
      <c r="GT58" s="682"/>
      <c r="GU58" s="493"/>
      <c r="GV58" s="571"/>
      <c r="GW58" s="493"/>
      <c r="GX58" s="1260"/>
      <c r="GY58" s="1258"/>
      <c r="GZ58" s="572"/>
      <c r="HA58" s="571"/>
      <c r="HB58" s="493"/>
      <c r="HC58" s="555"/>
      <c r="HD58" s="1171"/>
    </row>
    <row r="59" spans="1:212" ht="20.100000000000001" customHeight="1">
      <c r="A59" s="1172" t="s">
        <v>758</v>
      </c>
      <c r="B59" s="1173"/>
      <c r="C59" s="1173"/>
      <c r="D59" s="1174" t="s">
        <v>759</v>
      </c>
      <c r="E59" s="1175"/>
      <c r="F59" s="1014"/>
      <c r="G59" s="1176">
        <v>21.3</v>
      </c>
      <c r="H59" s="578">
        <v>25773</v>
      </c>
      <c r="I59" s="1177">
        <v>20.8</v>
      </c>
      <c r="J59" s="580">
        <v>25168</v>
      </c>
      <c r="K59" s="1177">
        <v>19.7</v>
      </c>
      <c r="L59" s="580">
        <v>23837</v>
      </c>
      <c r="M59" s="1177">
        <v>18.899999999999999</v>
      </c>
      <c r="N59" s="580">
        <v>22869</v>
      </c>
      <c r="O59" s="1177">
        <v>18.600000000000001</v>
      </c>
      <c r="P59" s="580">
        <v>22506</v>
      </c>
      <c r="Q59" s="1177">
        <v>19.2</v>
      </c>
      <c r="R59" s="580">
        <v>23232</v>
      </c>
      <c r="S59" s="1177">
        <v>21.8</v>
      </c>
      <c r="T59" s="580">
        <v>26378</v>
      </c>
      <c r="U59" s="1177">
        <v>23.6</v>
      </c>
      <c r="V59" s="580">
        <v>28556</v>
      </c>
      <c r="W59" s="1177">
        <v>24.5</v>
      </c>
      <c r="X59" s="580">
        <v>29645</v>
      </c>
      <c r="Y59" s="1177">
        <v>26</v>
      </c>
      <c r="Z59" s="580">
        <v>31460</v>
      </c>
      <c r="AA59" s="1177">
        <v>27.4</v>
      </c>
      <c r="AB59" s="580">
        <v>33154</v>
      </c>
      <c r="AC59" s="1177">
        <v>27.6</v>
      </c>
      <c r="AD59" s="580">
        <v>33396</v>
      </c>
      <c r="AE59" s="1177">
        <v>28.4</v>
      </c>
      <c r="AF59" s="580">
        <v>34364</v>
      </c>
      <c r="AG59" s="1177">
        <v>28.2</v>
      </c>
      <c r="AH59" s="580">
        <v>34122</v>
      </c>
      <c r="AI59" s="1177">
        <v>28.9</v>
      </c>
      <c r="AJ59" s="580">
        <v>34969</v>
      </c>
      <c r="AK59" s="1177">
        <v>28.3</v>
      </c>
      <c r="AL59" s="580">
        <v>34243</v>
      </c>
      <c r="AM59" s="1177">
        <v>27</v>
      </c>
      <c r="AN59" s="580">
        <v>32670</v>
      </c>
      <c r="AO59" s="1177">
        <v>26.3</v>
      </c>
      <c r="AP59" s="580">
        <v>31823</v>
      </c>
      <c r="AQ59" s="1177">
        <v>25.4</v>
      </c>
      <c r="AR59" s="580">
        <v>30734</v>
      </c>
      <c r="AS59" s="1177">
        <v>24.4</v>
      </c>
      <c r="AT59" s="580">
        <v>29524</v>
      </c>
      <c r="AU59" s="1177">
        <v>24</v>
      </c>
      <c r="AV59" s="580">
        <v>29040</v>
      </c>
      <c r="AW59" s="1177">
        <v>23.1</v>
      </c>
      <c r="AX59" s="580">
        <v>27951</v>
      </c>
      <c r="AY59" s="1177">
        <v>22.6</v>
      </c>
      <c r="AZ59" s="580">
        <v>27346</v>
      </c>
      <c r="BA59" s="1177">
        <v>21.9</v>
      </c>
      <c r="BB59" s="582">
        <v>26499</v>
      </c>
      <c r="BC59" s="556"/>
      <c r="BD59" s="1172" t="s">
        <v>758</v>
      </c>
      <c r="BE59" s="1173"/>
      <c r="BF59" s="1173"/>
      <c r="BG59" s="1174" t="s">
        <v>759</v>
      </c>
      <c r="BH59" s="1175"/>
      <c r="BI59" s="1014"/>
      <c r="BJ59" s="1176">
        <v>17.2</v>
      </c>
      <c r="BK59" s="578">
        <v>20812</v>
      </c>
      <c r="BL59" s="1177">
        <v>16.100000000000001</v>
      </c>
      <c r="BM59" s="580">
        <v>19481</v>
      </c>
      <c r="BN59" s="1177">
        <v>15.1</v>
      </c>
      <c r="BO59" s="580">
        <v>18271</v>
      </c>
      <c r="BP59" s="1177">
        <v>14.2</v>
      </c>
      <c r="BQ59" s="580">
        <v>17182</v>
      </c>
      <c r="BR59" s="1177">
        <v>13.7</v>
      </c>
      <c r="BS59" s="580">
        <v>16577</v>
      </c>
      <c r="BT59" s="1177">
        <v>15.3</v>
      </c>
      <c r="BU59" s="580">
        <v>18513</v>
      </c>
      <c r="BV59" s="1177">
        <v>18</v>
      </c>
      <c r="BW59" s="580">
        <v>21780</v>
      </c>
      <c r="BX59" s="1177">
        <v>20.6</v>
      </c>
      <c r="BY59" s="580">
        <v>24926</v>
      </c>
      <c r="BZ59" s="1177">
        <v>21.7</v>
      </c>
      <c r="CA59" s="580">
        <v>26257</v>
      </c>
      <c r="CB59" s="1177">
        <v>23.3</v>
      </c>
      <c r="CC59" s="580">
        <v>28193</v>
      </c>
      <c r="CD59" s="1177">
        <v>23.6</v>
      </c>
      <c r="CE59" s="580">
        <v>28556</v>
      </c>
      <c r="CF59" s="1177">
        <v>23.3</v>
      </c>
      <c r="CG59" s="580">
        <v>28193</v>
      </c>
      <c r="CH59" s="1177">
        <v>23.4</v>
      </c>
      <c r="CI59" s="580">
        <v>28314</v>
      </c>
      <c r="CJ59" s="1177">
        <v>23.2</v>
      </c>
      <c r="CK59" s="580">
        <v>28072</v>
      </c>
      <c r="CL59" s="1177">
        <v>23.4</v>
      </c>
      <c r="CM59" s="580">
        <v>28314</v>
      </c>
      <c r="CN59" s="1177">
        <v>22.6</v>
      </c>
      <c r="CO59" s="580">
        <v>27346</v>
      </c>
      <c r="CP59" s="1177">
        <v>22.6</v>
      </c>
      <c r="CQ59" s="580">
        <v>27346</v>
      </c>
      <c r="CR59" s="1177">
        <v>22.3</v>
      </c>
      <c r="CS59" s="580">
        <v>26983</v>
      </c>
      <c r="CT59" s="1177">
        <v>21.4</v>
      </c>
      <c r="CU59" s="580">
        <v>25894</v>
      </c>
      <c r="CV59" s="1177">
        <v>20.9</v>
      </c>
      <c r="CW59" s="580">
        <v>25289</v>
      </c>
      <c r="CX59" s="1177">
        <v>20.399999999999999</v>
      </c>
      <c r="CY59" s="580">
        <v>24684</v>
      </c>
      <c r="CZ59" s="1177">
        <v>20</v>
      </c>
      <c r="DA59" s="580">
        <v>24200</v>
      </c>
      <c r="DB59" s="1177">
        <v>19</v>
      </c>
      <c r="DC59" s="580">
        <v>22990</v>
      </c>
      <c r="DD59" s="1177">
        <v>18</v>
      </c>
      <c r="DE59" s="582">
        <v>21780</v>
      </c>
      <c r="DF59" s="555"/>
      <c r="DG59" s="1172" t="s">
        <v>758</v>
      </c>
      <c r="DH59" s="1173"/>
      <c r="DI59" s="1173"/>
      <c r="DJ59" s="1174" t="s">
        <v>759</v>
      </c>
      <c r="DK59" s="1175"/>
      <c r="DL59" s="1014"/>
      <c r="DM59" s="1176">
        <v>3.1</v>
      </c>
      <c r="DN59" s="578">
        <v>3751</v>
      </c>
      <c r="DO59" s="1177">
        <v>2.4</v>
      </c>
      <c r="DP59" s="580">
        <v>2904</v>
      </c>
      <c r="DQ59" s="1177">
        <v>1.7</v>
      </c>
      <c r="DR59" s="580">
        <v>2057</v>
      </c>
      <c r="DS59" s="1177">
        <v>1</v>
      </c>
      <c r="DT59" s="580">
        <v>1210</v>
      </c>
      <c r="DU59" s="1177">
        <v>0.3</v>
      </c>
      <c r="DV59" s="580">
        <v>363</v>
      </c>
      <c r="DW59" s="1177">
        <v>0</v>
      </c>
      <c r="DX59" s="580">
        <v>0</v>
      </c>
      <c r="DY59" s="1177">
        <v>1.6</v>
      </c>
      <c r="DZ59" s="580">
        <v>1936</v>
      </c>
      <c r="EA59" s="1177">
        <v>3.9</v>
      </c>
      <c r="EB59" s="580">
        <v>4719</v>
      </c>
      <c r="EC59" s="1177">
        <v>5.7</v>
      </c>
      <c r="ED59" s="580">
        <v>6897</v>
      </c>
      <c r="EE59" s="1177">
        <v>6.2</v>
      </c>
      <c r="EF59" s="580">
        <v>7502</v>
      </c>
      <c r="EG59" s="1177">
        <v>6.2</v>
      </c>
      <c r="EH59" s="580">
        <v>7502</v>
      </c>
      <c r="EI59" s="1177">
        <v>6.9</v>
      </c>
      <c r="EJ59" s="580">
        <v>8349</v>
      </c>
      <c r="EK59" s="1177">
        <v>6.8</v>
      </c>
      <c r="EL59" s="580">
        <v>8228</v>
      </c>
      <c r="EM59" s="1177">
        <v>7.7</v>
      </c>
      <c r="EN59" s="580">
        <v>9317</v>
      </c>
      <c r="EO59" s="1177">
        <v>8</v>
      </c>
      <c r="EP59" s="580">
        <v>9680</v>
      </c>
      <c r="EQ59" s="1177">
        <v>6.6</v>
      </c>
      <c r="ER59" s="580">
        <v>7986</v>
      </c>
      <c r="ES59" s="1177">
        <v>7.1</v>
      </c>
      <c r="ET59" s="580">
        <v>8591</v>
      </c>
      <c r="EU59" s="1177">
        <v>6.3</v>
      </c>
      <c r="EV59" s="580">
        <v>7623</v>
      </c>
      <c r="EW59" s="1177">
        <v>5.8</v>
      </c>
      <c r="EX59" s="580">
        <v>7018</v>
      </c>
      <c r="EY59" s="1177">
        <v>5.8</v>
      </c>
      <c r="EZ59" s="580">
        <v>7018</v>
      </c>
      <c r="FA59" s="1177">
        <v>5.9</v>
      </c>
      <c r="FB59" s="580">
        <v>7139</v>
      </c>
      <c r="FC59" s="1177">
        <v>5.4</v>
      </c>
      <c r="FD59" s="580">
        <v>6534</v>
      </c>
      <c r="FE59" s="1177">
        <v>4.8</v>
      </c>
      <c r="FF59" s="580">
        <v>5808</v>
      </c>
      <c r="FG59" s="1177">
        <v>4</v>
      </c>
      <c r="FH59" s="582">
        <v>4840</v>
      </c>
      <c r="FI59" s="556"/>
      <c r="FJ59" s="1172" t="s">
        <v>760</v>
      </c>
      <c r="FK59" s="1173"/>
      <c r="FL59" s="1173"/>
      <c r="FM59" s="1174" t="s">
        <v>759</v>
      </c>
      <c r="FN59" s="1175"/>
      <c r="FO59" s="1014"/>
      <c r="FP59" s="618">
        <v>6</v>
      </c>
      <c r="FQ59" s="1178">
        <v>30.1</v>
      </c>
      <c r="FR59" s="1179">
        <v>36421</v>
      </c>
      <c r="FS59" s="1180">
        <v>4</v>
      </c>
      <c r="FT59" s="1178">
        <v>29.2</v>
      </c>
      <c r="FU59" s="1181">
        <v>35332</v>
      </c>
      <c r="FV59" s="1261" t="s">
        <v>761</v>
      </c>
      <c r="FW59" s="1262"/>
      <c r="FX59" s="1263" t="s">
        <v>761</v>
      </c>
      <c r="FY59" s="1262"/>
      <c r="FZ59" s="1263" t="s">
        <v>762</v>
      </c>
      <c r="GA59" s="1262"/>
      <c r="GB59" s="1263" t="s">
        <v>762</v>
      </c>
      <c r="GC59" s="1262"/>
      <c r="GD59" s="1263" t="s">
        <v>761</v>
      </c>
      <c r="GE59" s="1267"/>
      <c r="GF59" s="681"/>
      <c r="GG59" s="1186"/>
      <c r="GH59" s="1186"/>
      <c r="GI59" s="1186"/>
      <c r="GJ59" s="886"/>
      <c r="GK59" s="406"/>
      <c r="GL59" s="1117">
        <v>16</v>
      </c>
      <c r="GM59" s="1118">
        <v>7</v>
      </c>
      <c r="GN59" s="1095">
        <v>0.56000000000000005</v>
      </c>
      <c r="GO59" s="1096">
        <v>0</v>
      </c>
      <c r="GP59" s="1096">
        <v>7</v>
      </c>
      <c r="GQ59" s="1097">
        <v>7</v>
      </c>
      <c r="GR59" s="886"/>
      <c r="GS59" s="388"/>
      <c r="GT59" s="1259"/>
      <c r="GU59" s="572"/>
      <c r="GV59" s="493"/>
      <c r="GW59" s="493"/>
      <c r="GX59" s="1260"/>
      <c r="GY59" s="1258"/>
      <c r="GZ59" s="572"/>
      <c r="HA59" s="571"/>
      <c r="HB59" s="493"/>
      <c r="HC59" s="1171"/>
      <c r="HD59" s="1187"/>
    </row>
    <row r="60" spans="1:212" ht="20.100000000000001" customHeight="1">
      <c r="A60" s="1172"/>
      <c r="B60" s="1173"/>
      <c r="C60" s="1173"/>
      <c r="D60" s="1188"/>
      <c r="E60" s="1188"/>
      <c r="F60" s="1189">
        <v>0</v>
      </c>
      <c r="G60" s="577"/>
      <c r="H60" s="578">
        <v>0</v>
      </c>
      <c r="I60" s="581"/>
      <c r="J60" s="580">
        <v>0</v>
      </c>
      <c r="K60" s="581"/>
      <c r="L60" s="580">
        <v>0</v>
      </c>
      <c r="M60" s="581"/>
      <c r="N60" s="580">
        <v>0</v>
      </c>
      <c r="O60" s="581"/>
      <c r="P60" s="580">
        <v>0</v>
      </c>
      <c r="Q60" s="581"/>
      <c r="R60" s="580">
        <v>0</v>
      </c>
      <c r="S60" s="581"/>
      <c r="T60" s="580">
        <v>0</v>
      </c>
      <c r="U60" s="581"/>
      <c r="V60" s="580">
        <v>0</v>
      </c>
      <c r="W60" s="581"/>
      <c r="X60" s="580">
        <v>0</v>
      </c>
      <c r="Y60" s="581"/>
      <c r="Z60" s="580">
        <v>0</v>
      </c>
      <c r="AA60" s="581"/>
      <c r="AB60" s="580">
        <v>0</v>
      </c>
      <c r="AC60" s="581"/>
      <c r="AD60" s="580">
        <v>0</v>
      </c>
      <c r="AE60" s="581"/>
      <c r="AF60" s="580">
        <v>0</v>
      </c>
      <c r="AG60" s="581"/>
      <c r="AH60" s="580">
        <v>0</v>
      </c>
      <c r="AI60" s="581"/>
      <c r="AJ60" s="580">
        <v>0</v>
      </c>
      <c r="AK60" s="581"/>
      <c r="AL60" s="580">
        <v>0</v>
      </c>
      <c r="AM60" s="581"/>
      <c r="AN60" s="580">
        <v>0</v>
      </c>
      <c r="AO60" s="581"/>
      <c r="AP60" s="580">
        <v>0</v>
      </c>
      <c r="AQ60" s="581"/>
      <c r="AR60" s="580">
        <v>0</v>
      </c>
      <c r="AS60" s="581"/>
      <c r="AT60" s="580">
        <v>0</v>
      </c>
      <c r="AU60" s="581"/>
      <c r="AV60" s="580">
        <v>0</v>
      </c>
      <c r="AW60" s="581"/>
      <c r="AX60" s="580">
        <v>0</v>
      </c>
      <c r="AY60" s="581"/>
      <c r="AZ60" s="580">
        <v>0</v>
      </c>
      <c r="BA60" s="581"/>
      <c r="BB60" s="582">
        <v>0</v>
      </c>
      <c r="BC60" s="556"/>
      <c r="BD60" s="1172"/>
      <c r="BE60" s="1173"/>
      <c r="BF60" s="1173"/>
      <c r="BG60" s="1188"/>
      <c r="BH60" s="1188"/>
      <c r="BI60" s="1189"/>
      <c r="BJ60" s="577"/>
      <c r="BK60" s="578">
        <v>0</v>
      </c>
      <c r="BL60" s="581"/>
      <c r="BM60" s="580">
        <v>0</v>
      </c>
      <c r="BN60" s="581"/>
      <c r="BO60" s="580">
        <v>0</v>
      </c>
      <c r="BP60" s="581"/>
      <c r="BQ60" s="580">
        <v>0</v>
      </c>
      <c r="BR60" s="581"/>
      <c r="BS60" s="580">
        <v>0</v>
      </c>
      <c r="BT60" s="581"/>
      <c r="BU60" s="580">
        <v>0</v>
      </c>
      <c r="BV60" s="581"/>
      <c r="BW60" s="580">
        <v>0</v>
      </c>
      <c r="BX60" s="581"/>
      <c r="BY60" s="580">
        <v>0</v>
      </c>
      <c r="BZ60" s="581"/>
      <c r="CA60" s="580">
        <v>0</v>
      </c>
      <c r="CB60" s="581"/>
      <c r="CC60" s="580">
        <v>0</v>
      </c>
      <c r="CD60" s="581"/>
      <c r="CE60" s="580">
        <v>0</v>
      </c>
      <c r="CF60" s="581"/>
      <c r="CG60" s="580">
        <v>0</v>
      </c>
      <c r="CH60" s="581"/>
      <c r="CI60" s="580">
        <v>0</v>
      </c>
      <c r="CJ60" s="581"/>
      <c r="CK60" s="580">
        <v>0</v>
      </c>
      <c r="CL60" s="581"/>
      <c r="CM60" s="580">
        <v>0</v>
      </c>
      <c r="CN60" s="581"/>
      <c r="CO60" s="580">
        <v>0</v>
      </c>
      <c r="CP60" s="581"/>
      <c r="CQ60" s="580">
        <v>0</v>
      </c>
      <c r="CR60" s="581"/>
      <c r="CS60" s="580">
        <v>0</v>
      </c>
      <c r="CT60" s="581"/>
      <c r="CU60" s="580">
        <v>0</v>
      </c>
      <c r="CV60" s="581"/>
      <c r="CW60" s="580">
        <v>0</v>
      </c>
      <c r="CX60" s="581"/>
      <c r="CY60" s="580">
        <v>0</v>
      </c>
      <c r="CZ60" s="581"/>
      <c r="DA60" s="580">
        <v>0</v>
      </c>
      <c r="DB60" s="581"/>
      <c r="DC60" s="580">
        <v>0</v>
      </c>
      <c r="DD60" s="581"/>
      <c r="DE60" s="582">
        <v>0</v>
      </c>
      <c r="DF60" s="555"/>
      <c r="DG60" s="1172"/>
      <c r="DH60" s="1173"/>
      <c r="DI60" s="1173"/>
      <c r="DJ60" s="1188"/>
      <c r="DK60" s="1188"/>
      <c r="DL60" s="1189"/>
      <c r="DM60" s="577"/>
      <c r="DN60" s="578">
        <v>0</v>
      </c>
      <c r="DO60" s="581"/>
      <c r="DP60" s="580">
        <v>0</v>
      </c>
      <c r="DQ60" s="581"/>
      <c r="DR60" s="580">
        <v>0</v>
      </c>
      <c r="DS60" s="581"/>
      <c r="DT60" s="580">
        <v>0</v>
      </c>
      <c r="DU60" s="581"/>
      <c r="DV60" s="580">
        <v>0</v>
      </c>
      <c r="DW60" s="581"/>
      <c r="DX60" s="580">
        <v>0</v>
      </c>
      <c r="DY60" s="581"/>
      <c r="DZ60" s="580">
        <v>0</v>
      </c>
      <c r="EA60" s="581"/>
      <c r="EB60" s="580">
        <v>0</v>
      </c>
      <c r="EC60" s="581"/>
      <c r="ED60" s="580">
        <v>0</v>
      </c>
      <c r="EE60" s="581"/>
      <c r="EF60" s="580">
        <v>0</v>
      </c>
      <c r="EG60" s="581"/>
      <c r="EH60" s="580">
        <v>0</v>
      </c>
      <c r="EI60" s="581"/>
      <c r="EJ60" s="580">
        <v>0</v>
      </c>
      <c r="EK60" s="581"/>
      <c r="EL60" s="580">
        <v>0</v>
      </c>
      <c r="EM60" s="581"/>
      <c r="EN60" s="580">
        <v>0</v>
      </c>
      <c r="EO60" s="581"/>
      <c r="EP60" s="580">
        <v>0</v>
      </c>
      <c r="EQ60" s="581"/>
      <c r="ER60" s="580">
        <v>0</v>
      </c>
      <c r="ES60" s="581"/>
      <c r="ET60" s="580">
        <v>0</v>
      </c>
      <c r="EU60" s="581"/>
      <c r="EV60" s="580">
        <v>0</v>
      </c>
      <c r="EW60" s="581"/>
      <c r="EX60" s="580">
        <v>0</v>
      </c>
      <c r="EY60" s="581"/>
      <c r="EZ60" s="580">
        <v>0</v>
      </c>
      <c r="FA60" s="581"/>
      <c r="FB60" s="580">
        <v>0</v>
      </c>
      <c r="FC60" s="581"/>
      <c r="FD60" s="580">
        <v>0</v>
      </c>
      <c r="FE60" s="581"/>
      <c r="FF60" s="580">
        <v>0</v>
      </c>
      <c r="FG60" s="581"/>
      <c r="FH60" s="582">
        <v>0</v>
      </c>
      <c r="FI60" s="556"/>
      <c r="FJ60" s="1172"/>
      <c r="FK60" s="1173"/>
      <c r="FL60" s="1173"/>
      <c r="FM60" s="1190"/>
      <c r="FN60" s="1191"/>
      <c r="FO60" s="1014"/>
      <c r="FP60" s="618"/>
      <c r="FQ60" s="614"/>
      <c r="FR60" s="1179"/>
      <c r="FS60" s="1180"/>
      <c r="FT60" s="614"/>
      <c r="FU60" s="1181"/>
      <c r="FV60" s="1182"/>
      <c r="FW60" s="1183"/>
      <c r="FX60" s="1184"/>
      <c r="FY60" s="1183"/>
      <c r="FZ60" s="1184"/>
      <c r="GA60" s="1183"/>
      <c r="GB60" s="1184"/>
      <c r="GC60" s="1183"/>
      <c r="GD60" s="1184"/>
      <c r="GE60" s="1185"/>
      <c r="GF60" s="681"/>
      <c r="GG60" s="388"/>
      <c r="GH60" s="388"/>
      <c r="GI60" s="388"/>
      <c r="GJ60" s="388"/>
      <c r="GK60" s="388"/>
      <c r="GL60" s="1093">
        <v>17</v>
      </c>
      <c r="GM60" s="1094">
        <v>8</v>
      </c>
      <c r="GN60" s="1095">
        <v>0.51</v>
      </c>
      <c r="GO60" s="1096">
        <v>0</v>
      </c>
      <c r="GP60" s="1096">
        <v>7</v>
      </c>
      <c r="GQ60" s="1097">
        <v>7</v>
      </c>
      <c r="GR60" s="388"/>
      <c r="GS60" s="476"/>
      <c r="GT60" s="1259"/>
      <c r="GU60" s="493"/>
      <c r="GV60" s="572"/>
      <c r="GW60" s="493"/>
      <c r="GX60" s="572"/>
      <c r="GY60" s="493"/>
      <c r="GZ60" s="493"/>
      <c r="HA60" s="571"/>
      <c r="HB60" s="493"/>
      <c r="HC60" s="1192"/>
      <c r="HD60" s="1031"/>
    </row>
    <row r="61" spans="1:212" ht="20.100000000000001" customHeight="1">
      <c r="A61" s="1193" t="s">
        <v>763</v>
      </c>
      <c r="B61" s="1194"/>
      <c r="C61" s="1194"/>
      <c r="D61" s="1194"/>
      <c r="E61" s="1194"/>
      <c r="F61" s="1195"/>
      <c r="G61" s="1196"/>
      <c r="H61" s="1197">
        <v>97556</v>
      </c>
      <c r="I61" s="1198"/>
      <c r="J61" s="1199">
        <v>96926</v>
      </c>
      <c r="K61" s="1198"/>
      <c r="L61" s="1199">
        <v>95570</v>
      </c>
      <c r="M61" s="1198"/>
      <c r="N61" s="1199">
        <v>94583</v>
      </c>
      <c r="O61" s="1198"/>
      <c r="P61" s="1199">
        <v>94199</v>
      </c>
      <c r="Q61" s="1198"/>
      <c r="R61" s="1199">
        <v>94910</v>
      </c>
      <c r="S61" s="1198"/>
      <c r="T61" s="1199">
        <v>98147</v>
      </c>
      <c r="U61" s="1198"/>
      <c r="V61" s="1199">
        <v>100522</v>
      </c>
      <c r="W61" s="1198"/>
      <c r="X61" s="1199">
        <v>103309</v>
      </c>
      <c r="Y61" s="1198"/>
      <c r="Z61" s="1199">
        <v>104934</v>
      </c>
      <c r="AA61" s="1198"/>
      <c r="AB61" s="1199">
        <v>106779</v>
      </c>
      <c r="AC61" s="1198"/>
      <c r="AD61" s="1199">
        <v>107138</v>
      </c>
      <c r="AE61" s="1198"/>
      <c r="AF61" s="1199">
        <v>108261</v>
      </c>
      <c r="AG61" s="1198"/>
      <c r="AH61" s="1199">
        <v>108055</v>
      </c>
      <c r="AI61" s="1198"/>
      <c r="AJ61" s="1199">
        <v>108934</v>
      </c>
      <c r="AK61" s="1198"/>
      <c r="AL61" s="1199">
        <v>108158</v>
      </c>
      <c r="AM61" s="1198"/>
      <c r="AN61" s="1199">
        <v>106441</v>
      </c>
      <c r="AO61" s="1198"/>
      <c r="AP61" s="1199">
        <v>105478</v>
      </c>
      <c r="AQ61" s="1198"/>
      <c r="AR61" s="1199">
        <v>103152</v>
      </c>
      <c r="AS61" s="1198"/>
      <c r="AT61" s="1199">
        <v>101828</v>
      </c>
      <c r="AU61" s="1198"/>
      <c r="AV61" s="1199">
        <v>101219</v>
      </c>
      <c r="AW61" s="1198"/>
      <c r="AX61" s="1199">
        <v>100009</v>
      </c>
      <c r="AY61" s="1198"/>
      <c r="AZ61" s="1199">
        <v>99278</v>
      </c>
      <c r="BA61" s="1198"/>
      <c r="BB61" s="1200">
        <v>98357</v>
      </c>
      <c r="BC61" s="556"/>
      <c r="BD61" s="1193" t="s">
        <v>764</v>
      </c>
      <c r="BE61" s="1194"/>
      <c r="BF61" s="1194"/>
      <c r="BG61" s="1194"/>
      <c r="BH61" s="1194"/>
      <c r="BI61" s="1195"/>
      <c r="BJ61" s="1196"/>
      <c r="BK61" s="1197">
        <v>92599</v>
      </c>
      <c r="BL61" s="1198"/>
      <c r="BM61" s="1199">
        <v>91235</v>
      </c>
      <c r="BN61" s="1198"/>
      <c r="BO61" s="1199">
        <v>90000</v>
      </c>
      <c r="BP61" s="1198"/>
      <c r="BQ61" s="1199">
        <v>88886</v>
      </c>
      <c r="BR61" s="1198"/>
      <c r="BS61" s="1199">
        <v>88263</v>
      </c>
      <c r="BT61" s="1198"/>
      <c r="BU61" s="1199">
        <v>90180</v>
      </c>
      <c r="BV61" s="1198"/>
      <c r="BW61" s="1199">
        <v>93588</v>
      </c>
      <c r="BX61" s="1198"/>
      <c r="BY61" s="1199">
        <v>96988</v>
      </c>
      <c r="BZ61" s="1198"/>
      <c r="CA61" s="1199">
        <v>100058</v>
      </c>
      <c r="CB61" s="1198"/>
      <c r="CC61" s="1199">
        <v>101807</v>
      </c>
      <c r="CD61" s="1198"/>
      <c r="CE61" s="1199">
        <v>102326</v>
      </c>
      <c r="CF61" s="1198"/>
      <c r="CG61" s="1199">
        <v>102079</v>
      </c>
      <c r="CH61" s="1198"/>
      <c r="CI61" s="1199">
        <v>102315</v>
      </c>
      <c r="CJ61" s="1198"/>
      <c r="CK61" s="1199">
        <v>102149</v>
      </c>
      <c r="CL61" s="1198"/>
      <c r="CM61" s="1199">
        <v>102380</v>
      </c>
      <c r="CN61" s="1198"/>
      <c r="CO61" s="1199">
        <v>101399</v>
      </c>
      <c r="CP61" s="1198"/>
      <c r="CQ61" s="1199">
        <v>101297</v>
      </c>
      <c r="CR61" s="1198"/>
      <c r="CS61" s="1199">
        <v>100739</v>
      </c>
      <c r="CT61" s="1198"/>
      <c r="CU61" s="1199">
        <v>98382</v>
      </c>
      <c r="CV61" s="1198"/>
      <c r="CW61" s="1199">
        <v>97570</v>
      </c>
      <c r="CX61" s="1198"/>
      <c r="CY61" s="1199">
        <v>96840</v>
      </c>
      <c r="CZ61" s="1198"/>
      <c r="DA61" s="1199">
        <v>96228</v>
      </c>
      <c r="DB61" s="1198"/>
      <c r="DC61" s="1199">
        <v>94888</v>
      </c>
      <c r="DD61" s="1198"/>
      <c r="DE61" s="1200">
        <v>93599</v>
      </c>
      <c r="DF61" s="555"/>
      <c r="DG61" s="1193" t="s">
        <v>763</v>
      </c>
      <c r="DH61" s="1194"/>
      <c r="DI61" s="1194"/>
      <c r="DJ61" s="1194"/>
      <c r="DK61" s="1194"/>
      <c r="DL61" s="1195"/>
      <c r="DM61" s="1196"/>
      <c r="DN61" s="1197">
        <v>75382</v>
      </c>
      <c r="DO61" s="1198"/>
      <c r="DP61" s="1199">
        <v>74535</v>
      </c>
      <c r="DQ61" s="1198"/>
      <c r="DR61" s="1199">
        <v>73688</v>
      </c>
      <c r="DS61" s="1198"/>
      <c r="DT61" s="1199">
        <v>72841</v>
      </c>
      <c r="DU61" s="1198"/>
      <c r="DV61" s="1199">
        <v>71994</v>
      </c>
      <c r="DW61" s="1198"/>
      <c r="DX61" s="1199">
        <v>71631</v>
      </c>
      <c r="DY61" s="1198"/>
      <c r="DZ61" s="1199">
        <v>73567</v>
      </c>
      <c r="EA61" s="1198"/>
      <c r="EB61" s="1199">
        <v>76350</v>
      </c>
      <c r="EC61" s="1198"/>
      <c r="ED61" s="1199">
        <v>80037</v>
      </c>
      <c r="EE61" s="1198"/>
      <c r="EF61" s="1199">
        <v>80340</v>
      </c>
      <c r="EG61" s="1198"/>
      <c r="EH61" s="1199">
        <v>80459</v>
      </c>
      <c r="EI61" s="1198"/>
      <c r="EJ61" s="1199">
        <v>81426</v>
      </c>
      <c r="EK61" s="1198"/>
      <c r="EL61" s="1199">
        <v>81360</v>
      </c>
      <c r="EM61" s="1198"/>
      <c r="EN61" s="1199">
        <v>82489</v>
      </c>
      <c r="EO61" s="1198"/>
      <c r="EP61" s="1199">
        <v>82844</v>
      </c>
      <c r="EQ61" s="1198"/>
      <c r="ER61" s="1199">
        <v>81056</v>
      </c>
      <c r="ES61" s="1198"/>
      <c r="ET61" s="1199">
        <v>81520</v>
      </c>
      <c r="EU61" s="1198"/>
      <c r="EV61" s="1199">
        <v>80512</v>
      </c>
      <c r="EW61" s="1198"/>
      <c r="EX61" s="1199">
        <v>78765</v>
      </c>
      <c r="EY61" s="1198"/>
      <c r="EZ61" s="1199">
        <v>78736</v>
      </c>
      <c r="FA61" s="1198"/>
      <c r="FB61" s="1199">
        <v>78825</v>
      </c>
      <c r="FC61" s="1198"/>
      <c r="FD61" s="1199">
        <v>78187</v>
      </c>
      <c r="FE61" s="1198"/>
      <c r="FF61" s="1199">
        <v>77439</v>
      </c>
      <c r="FG61" s="1198"/>
      <c r="FH61" s="1200">
        <v>76471</v>
      </c>
      <c r="FI61" s="556"/>
      <c r="FJ61" s="1193" t="s">
        <v>763</v>
      </c>
      <c r="FK61" s="1194"/>
      <c r="FL61" s="1194"/>
      <c r="FM61" s="1194"/>
      <c r="FN61" s="1194"/>
      <c r="FO61" s="1194"/>
      <c r="FP61" s="1201"/>
      <c r="FQ61" s="1202"/>
      <c r="FR61" s="1203">
        <v>36421</v>
      </c>
      <c r="FS61" s="1204"/>
      <c r="FT61" s="1202"/>
      <c r="FU61" s="1205">
        <v>35332</v>
      </c>
      <c r="FV61" s="1264" t="s">
        <v>761</v>
      </c>
      <c r="FW61" s="1265"/>
      <c r="FX61" s="1266" t="s">
        <v>762</v>
      </c>
      <c r="FY61" s="1265"/>
      <c r="FZ61" s="1266" t="s">
        <v>761</v>
      </c>
      <c r="GA61" s="1265"/>
      <c r="GB61" s="1266" t="s">
        <v>762</v>
      </c>
      <c r="GC61" s="1265"/>
      <c r="GD61" s="1266" t="s">
        <v>762</v>
      </c>
      <c r="GE61" s="1268"/>
      <c r="GF61" s="681"/>
      <c r="GG61" s="476"/>
      <c r="GH61" s="476"/>
      <c r="GI61" s="476"/>
      <c r="GJ61" s="476"/>
      <c r="GK61" s="479"/>
      <c r="GL61" s="1117">
        <v>18</v>
      </c>
      <c r="GM61" s="1206">
        <v>9</v>
      </c>
      <c r="GN61" s="1095">
        <v>0.47</v>
      </c>
      <c r="GO61" s="1096">
        <v>0</v>
      </c>
      <c r="GP61" s="1096">
        <v>7</v>
      </c>
      <c r="GQ61" s="1097">
        <v>7</v>
      </c>
      <c r="GR61" s="476"/>
      <c r="GS61" s="573"/>
      <c r="GT61" s="1259"/>
      <c r="GU61" s="682"/>
      <c r="GV61" s="682"/>
      <c r="GW61" s="682"/>
      <c r="GX61" s="682"/>
      <c r="GY61" s="572"/>
      <c r="GZ61" s="493"/>
      <c r="HA61" s="572"/>
      <c r="HB61" s="493"/>
    </row>
    <row r="62" spans="1:212" ht="20.100000000000001" customHeight="1" thickBot="1">
      <c r="A62" s="1208"/>
      <c r="B62" s="1208"/>
      <c r="C62" s="1208"/>
      <c r="D62" s="1208"/>
      <c r="E62" s="1208"/>
      <c r="F62" s="1208"/>
      <c r="G62" s="1208"/>
      <c r="H62" s="1208"/>
      <c r="I62" s="1208"/>
      <c r="J62" s="1208"/>
      <c r="K62" s="1208"/>
      <c r="L62" s="1208"/>
      <c r="M62" s="1208"/>
      <c r="N62" s="1208"/>
      <c r="O62" s="1208"/>
      <c r="P62" s="1208"/>
      <c r="Q62" s="1208"/>
      <c r="R62" s="1208"/>
      <c r="S62" s="1208"/>
      <c r="T62" s="1208"/>
      <c r="U62" s="1208"/>
      <c r="V62" s="1208"/>
      <c r="W62" s="1208"/>
      <c r="X62" s="1208"/>
      <c r="Y62" s="1208"/>
      <c r="Z62" s="1208"/>
      <c r="AA62" s="1208"/>
      <c r="AB62" s="1208"/>
      <c r="AC62" s="1208"/>
      <c r="AD62" s="1208"/>
      <c r="AE62" s="1208"/>
      <c r="AF62" s="1208"/>
      <c r="AG62" s="1208"/>
      <c r="AH62" s="1208"/>
      <c r="AI62" s="1208"/>
      <c r="AJ62" s="1208"/>
      <c r="AK62" s="1208"/>
      <c r="AL62" s="1208"/>
      <c r="AM62" s="1208"/>
      <c r="AN62" s="1208"/>
      <c r="AO62" s="1208"/>
      <c r="AP62" s="1208"/>
      <c r="AQ62" s="1208"/>
      <c r="AR62" s="1208"/>
      <c r="AS62" s="1208"/>
      <c r="AT62" s="1208"/>
      <c r="AU62" s="1208"/>
      <c r="AV62" s="1208"/>
      <c r="AW62" s="1208"/>
      <c r="AX62" s="1208"/>
      <c r="AY62" s="1208"/>
      <c r="AZ62" s="1208"/>
      <c r="BA62" s="1208"/>
      <c r="BB62" s="1208"/>
      <c r="BC62" s="386"/>
      <c r="BD62" s="1208"/>
      <c r="BE62" s="1208"/>
      <c r="BF62" s="1208"/>
      <c r="BG62" s="1208"/>
      <c r="BH62" s="1208"/>
      <c r="BI62" s="1208"/>
      <c r="BJ62" s="1208"/>
      <c r="BK62" s="1208"/>
      <c r="BL62" s="1208"/>
      <c r="BM62" s="1208"/>
      <c r="BN62" s="1208"/>
      <c r="BO62" s="1208"/>
      <c r="BP62" s="1208"/>
      <c r="BQ62" s="1208"/>
      <c r="BR62" s="1208"/>
      <c r="BS62" s="1208"/>
      <c r="BT62" s="1208"/>
      <c r="BU62" s="1208"/>
      <c r="BV62" s="1208"/>
      <c r="BW62" s="1208"/>
      <c r="BX62" s="1208"/>
      <c r="BY62" s="1208"/>
      <c r="BZ62" s="1208"/>
      <c r="CA62" s="1208"/>
      <c r="CB62" s="1208"/>
      <c r="CC62" s="1208"/>
      <c r="CD62" s="1208"/>
      <c r="CE62" s="1208"/>
      <c r="CF62" s="1208"/>
      <c r="CG62" s="1208"/>
      <c r="CH62" s="1208"/>
      <c r="CI62" s="1208"/>
      <c r="CJ62" s="1208"/>
      <c r="CK62" s="1208"/>
      <c r="CL62" s="1208"/>
      <c r="CM62" s="1208"/>
      <c r="CN62" s="1208"/>
      <c r="CO62" s="1208"/>
      <c r="CP62" s="1208"/>
      <c r="CQ62" s="1208"/>
      <c r="CR62" s="1208"/>
      <c r="CS62" s="1208"/>
      <c r="CT62" s="1208"/>
      <c r="CU62" s="1208"/>
      <c r="CV62" s="1208"/>
      <c r="CW62" s="1208"/>
      <c r="CX62" s="1208"/>
      <c r="CY62" s="1208"/>
      <c r="CZ62" s="1208"/>
      <c r="DA62" s="1208"/>
      <c r="DB62" s="1208"/>
      <c r="DC62" s="1208"/>
      <c r="DD62" s="1208"/>
      <c r="DE62" s="1208"/>
      <c r="DF62" s="386"/>
      <c r="DG62" s="1208"/>
      <c r="DH62" s="1208"/>
      <c r="DI62" s="1208"/>
      <c r="DJ62" s="1208"/>
      <c r="DK62" s="1208"/>
      <c r="DL62" s="1208"/>
      <c r="DM62" s="1208"/>
      <c r="DN62" s="1208"/>
      <c r="DO62" s="1208"/>
      <c r="DP62" s="1208"/>
      <c r="DQ62" s="1208"/>
      <c r="DR62" s="1208"/>
      <c r="DS62" s="1208"/>
      <c r="DT62" s="1208"/>
      <c r="DU62" s="1208"/>
      <c r="DV62" s="1208"/>
      <c r="DW62" s="1208"/>
      <c r="DX62" s="1208"/>
      <c r="DY62" s="1208"/>
      <c r="DZ62" s="1208"/>
      <c r="EA62" s="1208"/>
      <c r="EB62" s="1208"/>
      <c r="EC62" s="1208"/>
      <c r="ED62" s="1208"/>
      <c r="EE62" s="1208"/>
      <c r="EF62" s="1208"/>
      <c r="EG62" s="1208"/>
      <c r="EH62" s="1208"/>
      <c r="EI62" s="1208"/>
      <c r="EJ62" s="1208"/>
      <c r="EK62" s="1208"/>
      <c r="EL62" s="1208"/>
      <c r="EM62" s="1208"/>
      <c r="EN62" s="1208"/>
      <c r="EO62" s="1208"/>
      <c r="EP62" s="1208"/>
      <c r="EQ62" s="1208"/>
      <c r="ER62" s="1208"/>
      <c r="ES62" s="1208"/>
      <c r="ET62" s="1208"/>
      <c r="EU62" s="1208"/>
      <c r="EV62" s="1208"/>
      <c r="EW62" s="1208"/>
      <c r="EX62" s="1208"/>
      <c r="EY62" s="1208"/>
      <c r="EZ62" s="1208"/>
      <c r="FA62" s="1208"/>
      <c r="FB62" s="1208"/>
      <c r="FC62" s="1208"/>
      <c r="FD62" s="1208"/>
      <c r="FE62" s="1208"/>
      <c r="FF62" s="1208"/>
      <c r="FG62" s="1208"/>
      <c r="FH62" s="1208"/>
      <c r="FI62" s="386"/>
      <c r="FJ62" s="1208"/>
      <c r="FK62" s="1208"/>
      <c r="FL62" s="1208"/>
      <c r="FM62" s="1208"/>
      <c r="FN62" s="1208"/>
      <c r="FO62" s="1208"/>
      <c r="FP62" s="1208"/>
      <c r="FQ62" s="1208"/>
      <c r="FR62" s="1208"/>
      <c r="FS62" s="1208"/>
      <c r="FT62" s="1208"/>
      <c r="FU62" s="1208"/>
      <c r="FV62" s="1208"/>
      <c r="FW62" s="1208"/>
      <c r="FX62" s="1208"/>
      <c r="FY62" s="1208"/>
      <c r="FZ62" s="1208"/>
      <c r="GA62" s="1208"/>
      <c r="GB62" s="1208"/>
      <c r="GC62" s="1208"/>
      <c r="GD62" s="1208"/>
      <c r="GE62" s="1209"/>
      <c r="GF62" s="681"/>
      <c r="GG62" s="648"/>
      <c r="GH62" s="648"/>
      <c r="GI62" s="648"/>
      <c r="GJ62" s="573"/>
      <c r="GK62" s="479"/>
      <c r="GL62" s="476"/>
      <c r="GM62" s="479"/>
      <c r="GN62" s="476"/>
      <c r="GO62" s="479"/>
      <c r="GP62" s="479"/>
      <c r="GQ62" s="479"/>
      <c r="GR62" s="476"/>
      <c r="GS62" s="523"/>
      <c r="GT62" s="572"/>
      <c r="GU62" s="682"/>
      <c r="GV62" s="682"/>
      <c r="GW62" s="682"/>
      <c r="GX62" s="682"/>
      <c r="GY62" s="572"/>
      <c r="GZ62" s="493"/>
      <c r="HA62" s="572"/>
      <c r="HB62" s="493"/>
      <c r="HC62" s="1031"/>
    </row>
    <row r="63" spans="1:212" ht="20.100000000000001" customHeight="1">
      <c r="A63" s="1210" t="s">
        <v>326</v>
      </c>
      <c r="B63" s="1123"/>
      <c r="C63" s="1123"/>
      <c r="D63" s="1123"/>
      <c r="E63" s="1123"/>
      <c r="F63" s="1124"/>
      <c r="G63" s="1125">
        <v>1</v>
      </c>
      <c r="H63" s="1126"/>
      <c r="I63" s="1127">
        <v>2</v>
      </c>
      <c r="J63" s="1126"/>
      <c r="K63" s="1127">
        <v>3</v>
      </c>
      <c r="L63" s="1126"/>
      <c r="M63" s="1127">
        <v>4</v>
      </c>
      <c r="N63" s="1126"/>
      <c r="O63" s="1127">
        <v>5</v>
      </c>
      <c r="P63" s="1126"/>
      <c r="Q63" s="1127">
        <v>6</v>
      </c>
      <c r="R63" s="1126"/>
      <c r="S63" s="1127">
        <v>7</v>
      </c>
      <c r="T63" s="1126"/>
      <c r="U63" s="1127">
        <v>8</v>
      </c>
      <c r="V63" s="1126"/>
      <c r="W63" s="1127">
        <v>9</v>
      </c>
      <c r="X63" s="1126"/>
      <c r="Y63" s="1127">
        <v>10</v>
      </c>
      <c r="Z63" s="1126"/>
      <c r="AA63" s="1127">
        <v>11</v>
      </c>
      <c r="AB63" s="1126"/>
      <c r="AC63" s="1127">
        <v>12</v>
      </c>
      <c r="AD63" s="1126"/>
      <c r="AE63" s="1127">
        <v>13</v>
      </c>
      <c r="AF63" s="1126"/>
      <c r="AG63" s="1127">
        <v>14</v>
      </c>
      <c r="AH63" s="1126"/>
      <c r="AI63" s="1127">
        <v>15</v>
      </c>
      <c r="AJ63" s="1126"/>
      <c r="AK63" s="1127">
        <v>16</v>
      </c>
      <c r="AL63" s="1126"/>
      <c r="AM63" s="1127">
        <v>17</v>
      </c>
      <c r="AN63" s="1126"/>
      <c r="AO63" s="1127">
        <v>18</v>
      </c>
      <c r="AP63" s="1126"/>
      <c r="AQ63" s="1127">
        <v>19</v>
      </c>
      <c r="AR63" s="1126"/>
      <c r="AS63" s="1127">
        <v>20</v>
      </c>
      <c r="AT63" s="1126"/>
      <c r="AU63" s="1127">
        <v>21</v>
      </c>
      <c r="AV63" s="1126"/>
      <c r="AW63" s="1127">
        <v>22</v>
      </c>
      <c r="AX63" s="1126"/>
      <c r="AY63" s="1127">
        <v>23</v>
      </c>
      <c r="AZ63" s="1126"/>
      <c r="BA63" s="1127">
        <v>24</v>
      </c>
      <c r="BB63" s="1128"/>
      <c r="BC63" s="1031"/>
      <c r="BD63" s="1211" t="s">
        <v>327</v>
      </c>
      <c r="BE63" s="1212"/>
      <c r="BF63" s="1212"/>
      <c r="BG63" s="1212"/>
      <c r="BH63" s="1123"/>
      <c r="BI63" s="1124"/>
      <c r="BJ63" s="1125">
        <v>1</v>
      </c>
      <c r="BK63" s="1126"/>
      <c r="BL63" s="1127">
        <v>2</v>
      </c>
      <c r="BM63" s="1126"/>
      <c r="BN63" s="1127">
        <v>3</v>
      </c>
      <c r="BO63" s="1126"/>
      <c r="BP63" s="1127">
        <v>4</v>
      </c>
      <c r="BQ63" s="1126"/>
      <c r="BR63" s="1127">
        <v>5</v>
      </c>
      <c r="BS63" s="1126"/>
      <c r="BT63" s="1127">
        <v>6</v>
      </c>
      <c r="BU63" s="1126"/>
      <c r="BV63" s="1127">
        <v>7</v>
      </c>
      <c r="BW63" s="1126"/>
      <c r="BX63" s="1127">
        <v>8</v>
      </c>
      <c r="BY63" s="1126"/>
      <c r="BZ63" s="1127">
        <v>9</v>
      </c>
      <c r="CA63" s="1126"/>
      <c r="CB63" s="1127">
        <v>10</v>
      </c>
      <c r="CC63" s="1126"/>
      <c r="CD63" s="1127">
        <v>11</v>
      </c>
      <c r="CE63" s="1126"/>
      <c r="CF63" s="1127">
        <v>12</v>
      </c>
      <c r="CG63" s="1126"/>
      <c r="CH63" s="1127">
        <v>13</v>
      </c>
      <c r="CI63" s="1126"/>
      <c r="CJ63" s="1127">
        <v>14</v>
      </c>
      <c r="CK63" s="1126"/>
      <c r="CL63" s="1127">
        <v>15</v>
      </c>
      <c r="CM63" s="1126"/>
      <c r="CN63" s="1127">
        <v>16</v>
      </c>
      <c r="CO63" s="1126"/>
      <c r="CP63" s="1127">
        <v>17</v>
      </c>
      <c r="CQ63" s="1126"/>
      <c r="CR63" s="1127">
        <v>18</v>
      </c>
      <c r="CS63" s="1126"/>
      <c r="CT63" s="1127">
        <v>19</v>
      </c>
      <c r="CU63" s="1126"/>
      <c r="CV63" s="1127">
        <v>20</v>
      </c>
      <c r="CW63" s="1126"/>
      <c r="CX63" s="1127">
        <v>21</v>
      </c>
      <c r="CY63" s="1126"/>
      <c r="CZ63" s="1127">
        <v>22</v>
      </c>
      <c r="DA63" s="1126"/>
      <c r="DB63" s="1127">
        <v>23</v>
      </c>
      <c r="DC63" s="1126"/>
      <c r="DD63" s="1127">
        <v>24</v>
      </c>
      <c r="DE63" s="1128"/>
      <c r="DF63" s="1031"/>
      <c r="DG63" s="1210" t="s">
        <v>326</v>
      </c>
      <c r="DH63" s="1123"/>
      <c r="DI63" s="1123"/>
      <c r="DJ63" s="1123"/>
      <c r="DK63" s="1123"/>
      <c r="DL63" s="1124"/>
      <c r="DM63" s="1125">
        <v>1</v>
      </c>
      <c r="DN63" s="1126"/>
      <c r="DO63" s="1127">
        <v>2</v>
      </c>
      <c r="DP63" s="1126"/>
      <c r="DQ63" s="1127">
        <v>3</v>
      </c>
      <c r="DR63" s="1126"/>
      <c r="DS63" s="1127">
        <v>4</v>
      </c>
      <c r="DT63" s="1126"/>
      <c r="DU63" s="1127">
        <v>5</v>
      </c>
      <c r="DV63" s="1126"/>
      <c r="DW63" s="1127">
        <v>6</v>
      </c>
      <c r="DX63" s="1126"/>
      <c r="DY63" s="1127">
        <v>7</v>
      </c>
      <c r="DZ63" s="1126"/>
      <c r="EA63" s="1127">
        <v>8</v>
      </c>
      <c r="EB63" s="1126"/>
      <c r="EC63" s="1127">
        <v>9</v>
      </c>
      <c r="ED63" s="1126"/>
      <c r="EE63" s="1127">
        <v>10</v>
      </c>
      <c r="EF63" s="1126"/>
      <c r="EG63" s="1127">
        <v>11</v>
      </c>
      <c r="EH63" s="1126"/>
      <c r="EI63" s="1127">
        <v>12</v>
      </c>
      <c r="EJ63" s="1126"/>
      <c r="EK63" s="1127">
        <v>13</v>
      </c>
      <c r="EL63" s="1126"/>
      <c r="EM63" s="1127">
        <v>14</v>
      </c>
      <c r="EN63" s="1126"/>
      <c r="EO63" s="1127">
        <v>15</v>
      </c>
      <c r="EP63" s="1126"/>
      <c r="EQ63" s="1127">
        <v>16</v>
      </c>
      <c r="ER63" s="1126"/>
      <c r="ES63" s="1127">
        <v>17</v>
      </c>
      <c r="ET63" s="1126"/>
      <c r="EU63" s="1127">
        <v>18</v>
      </c>
      <c r="EV63" s="1126"/>
      <c r="EW63" s="1127">
        <v>19</v>
      </c>
      <c r="EX63" s="1126"/>
      <c r="EY63" s="1127">
        <v>20</v>
      </c>
      <c r="EZ63" s="1126"/>
      <c r="FA63" s="1127">
        <v>21</v>
      </c>
      <c r="FB63" s="1126"/>
      <c r="FC63" s="1127">
        <v>22</v>
      </c>
      <c r="FD63" s="1126"/>
      <c r="FE63" s="1127">
        <v>23</v>
      </c>
      <c r="FF63" s="1126"/>
      <c r="FG63" s="1127">
        <v>24</v>
      </c>
      <c r="FH63" s="1128"/>
      <c r="FI63" s="1031"/>
      <c r="FJ63" s="1210" t="s">
        <v>326</v>
      </c>
      <c r="FK63" s="1123"/>
      <c r="FL63" s="1123"/>
      <c r="FM63" s="1123"/>
      <c r="FN63" s="1123"/>
      <c r="FO63" s="1124"/>
      <c r="FP63" s="1129" t="s">
        <v>328</v>
      </c>
      <c r="FQ63" s="1130"/>
      <c r="FR63" s="1131"/>
      <c r="FS63" s="1132" t="s">
        <v>261</v>
      </c>
      <c r="FT63" s="1133"/>
      <c r="FU63" s="1134"/>
      <c r="FV63" s="1135" t="s">
        <v>320</v>
      </c>
      <c r="FW63" s="1136"/>
      <c r="FX63" s="1137" t="s">
        <v>321</v>
      </c>
      <c r="FY63" s="1138"/>
      <c r="FZ63" s="1139" t="s">
        <v>322</v>
      </c>
      <c r="GA63" s="1140"/>
      <c r="GB63" s="1141" t="s">
        <v>323</v>
      </c>
      <c r="GC63" s="1126"/>
      <c r="GD63" s="1141" t="s">
        <v>324</v>
      </c>
      <c r="GE63" s="1128"/>
      <c r="GF63" s="681"/>
      <c r="GG63" s="595"/>
      <c r="GH63" s="595"/>
      <c r="GI63" s="595"/>
      <c r="GJ63" s="1257"/>
      <c r="GK63" s="1257"/>
      <c r="GL63" s="571"/>
      <c r="GM63" s="493"/>
      <c r="GN63" s="571"/>
      <c r="GO63" s="493"/>
      <c r="GP63" s="493"/>
      <c r="GQ63" s="493"/>
      <c r="GR63" s="571"/>
      <c r="GS63" s="523"/>
      <c r="GT63" s="572"/>
      <c r="GU63" s="571"/>
      <c r="GV63" s="493"/>
      <c r="GW63" s="571"/>
      <c r="GX63" s="493"/>
      <c r="GY63" s="493"/>
      <c r="GZ63" s="493"/>
      <c r="HA63" s="572"/>
      <c r="HB63" s="493"/>
      <c r="HC63" s="1045"/>
    </row>
    <row r="64" spans="1:212" ht="20.100000000000001" customHeight="1">
      <c r="A64" s="1213"/>
      <c r="B64" s="1144"/>
      <c r="C64" s="1144"/>
      <c r="D64" s="1144"/>
      <c r="E64" s="1144"/>
      <c r="F64" s="1145"/>
      <c r="G64" s="1146"/>
      <c r="H64" s="1147" t="s">
        <v>329</v>
      </c>
      <c r="I64" s="1148"/>
      <c r="J64" s="1147" t="s">
        <v>329</v>
      </c>
      <c r="K64" s="1148"/>
      <c r="L64" s="1147" t="s">
        <v>329</v>
      </c>
      <c r="M64" s="1148"/>
      <c r="N64" s="1147" t="s">
        <v>329</v>
      </c>
      <c r="O64" s="1148"/>
      <c r="P64" s="1147" t="s">
        <v>329</v>
      </c>
      <c r="Q64" s="1148"/>
      <c r="R64" s="1147" t="s">
        <v>329</v>
      </c>
      <c r="S64" s="1148"/>
      <c r="T64" s="1147" t="s">
        <v>329</v>
      </c>
      <c r="U64" s="1148"/>
      <c r="V64" s="1147" t="s">
        <v>329</v>
      </c>
      <c r="W64" s="1148"/>
      <c r="X64" s="1147" t="s">
        <v>329</v>
      </c>
      <c r="Y64" s="1148"/>
      <c r="Z64" s="1147" t="s">
        <v>329</v>
      </c>
      <c r="AA64" s="1148"/>
      <c r="AB64" s="1147" t="s">
        <v>329</v>
      </c>
      <c r="AC64" s="1148"/>
      <c r="AD64" s="1147" t="s">
        <v>329</v>
      </c>
      <c r="AE64" s="1148"/>
      <c r="AF64" s="1147" t="s">
        <v>329</v>
      </c>
      <c r="AG64" s="1148"/>
      <c r="AH64" s="1147" t="s">
        <v>329</v>
      </c>
      <c r="AI64" s="1148"/>
      <c r="AJ64" s="1147" t="s">
        <v>329</v>
      </c>
      <c r="AK64" s="1148"/>
      <c r="AL64" s="1147" t="s">
        <v>329</v>
      </c>
      <c r="AM64" s="1148"/>
      <c r="AN64" s="1147" t="s">
        <v>329</v>
      </c>
      <c r="AO64" s="1148"/>
      <c r="AP64" s="1147" t="s">
        <v>329</v>
      </c>
      <c r="AQ64" s="1148"/>
      <c r="AR64" s="1147" t="s">
        <v>329</v>
      </c>
      <c r="AS64" s="1148"/>
      <c r="AT64" s="1147" t="s">
        <v>329</v>
      </c>
      <c r="AU64" s="1148"/>
      <c r="AV64" s="1147" t="s">
        <v>329</v>
      </c>
      <c r="AW64" s="1148"/>
      <c r="AX64" s="1147" t="s">
        <v>329</v>
      </c>
      <c r="AY64" s="1148"/>
      <c r="AZ64" s="1147" t="s">
        <v>329</v>
      </c>
      <c r="BA64" s="1148"/>
      <c r="BB64" s="1150" t="s">
        <v>329</v>
      </c>
      <c r="BC64" s="1045"/>
      <c r="BD64" s="1214"/>
      <c r="BE64" s="1215"/>
      <c r="BF64" s="1215"/>
      <c r="BG64" s="1215"/>
      <c r="BH64" s="1144"/>
      <c r="BI64" s="1145"/>
      <c r="BJ64" s="1146"/>
      <c r="BK64" s="1147" t="s">
        <v>329</v>
      </c>
      <c r="BL64" s="1148"/>
      <c r="BM64" s="1147" t="s">
        <v>329</v>
      </c>
      <c r="BN64" s="1148"/>
      <c r="BO64" s="1147" t="s">
        <v>329</v>
      </c>
      <c r="BP64" s="1148"/>
      <c r="BQ64" s="1147" t="s">
        <v>329</v>
      </c>
      <c r="BR64" s="1148"/>
      <c r="BS64" s="1147" t="s">
        <v>329</v>
      </c>
      <c r="BT64" s="1148"/>
      <c r="BU64" s="1147" t="s">
        <v>329</v>
      </c>
      <c r="BV64" s="1148"/>
      <c r="BW64" s="1147" t="s">
        <v>329</v>
      </c>
      <c r="BX64" s="1148"/>
      <c r="BY64" s="1147" t="s">
        <v>329</v>
      </c>
      <c r="BZ64" s="1148"/>
      <c r="CA64" s="1147" t="s">
        <v>329</v>
      </c>
      <c r="CB64" s="1148"/>
      <c r="CC64" s="1147" t="s">
        <v>329</v>
      </c>
      <c r="CD64" s="1148"/>
      <c r="CE64" s="1147" t="s">
        <v>329</v>
      </c>
      <c r="CF64" s="1148"/>
      <c r="CG64" s="1147" t="s">
        <v>329</v>
      </c>
      <c r="CH64" s="1148"/>
      <c r="CI64" s="1147" t="s">
        <v>329</v>
      </c>
      <c r="CJ64" s="1148"/>
      <c r="CK64" s="1147" t="s">
        <v>329</v>
      </c>
      <c r="CL64" s="1148"/>
      <c r="CM64" s="1147" t="s">
        <v>329</v>
      </c>
      <c r="CN64" s="1148"/>
      <c r="CO64" s="1147" t="s">
        <v>329</v>
      </c>
      <c r="CP64" s="1148"/>
      <c r="CQ64" s="1147" t="s">
        <v>329</v>
      </c>
      <c r="CR64" s="1148"/>
      <c r="CS64" s="1147" t="s">
        <v>329</v>
      </c>
      <c r="CT64" s="1148"/>
      <c r="CU64" s="1147" t="s">
        <v>329</v>
      </c>
      <c r="CV64" s="1148"/>
      <c r="CW64" s="1147" t="s">
        <v>329</v>
      </c>
      <c r="CX64" s="1148"/>
      <c r="CY64" s="1147" t="s">
        <v>329</v>
      </c>
      <c r="CZ64" s="1148"/>
      <c r="DA64" s="1147" t="s">
        <v>329</v>
      </c>
      <c r="DB64" s="1148"/>
      <c r="DC64" s="1147" t="s">
        <v>329</v>
      </c>
      <c r="DD64" s="1148"/>
      <c r="DE64" s="1150" t="s">
        <v>329</v>
      </c>
      <c r="DF64" s="1045"/>
      <c r="DG64" s="1213"/>
      <c r="DH64" s="1144"/>
      <c r="DI64" s="1144"/>
      <c r="DJ64" s="1144"/>
      <c r="DK64" s="1144"/>
      <c r="DL64" s="1145"/>
      <c r="DM64" s="1146"/>
      <c r="DN64" s="1147" t="s">
        <v>329</v>
      </c>
      <c r="DO64" s="1148"/>
      <c r="DP64" s="1147" t="s">
        <v>329</v>
      </c>
      <c r="DQ64" s="1148"/>
      <c r="DR64" s="1147" t="s">
        <v>329</v>
      </c>
      <c r="DS64" s="1148"/>
      <c r="DT64" s="1147" t="s">
        <v>329</v>
      </c>
      <c r="DU64" s="1148"/>
      <c r="DV64" s="1147" t="s">
        <v>329</v>
      </c>
      <c r="DW64" s="1148"/>
      <c r="DX64" s="1147" t="s">
        <v>329</v>
      </c>
      <c r="DY64" s="1148"/>
      <c r="DZ64" s="1147" t="s">
        <v>329</v>
      </c>
      <c r="EA64" s="1148"/>
      <c r="EB64" s="1147" t="s">
        <v>329</v>
      </c>
      <c r="EC64" s="1148"/>
      <c r="ED64" s="1147" t="s">
        <v>329</v>
      </c>
      <c r="EE64" s="1148"/>
      <c r="EF64" s="1147" t="s">
        <v>329</v>
      </c>
      <c r="EG64" s="1148"/>
      <c r="EH64" s="1147" t="s">
        <v>329</v>
      </c>
      <c r="EI64" s="1148"/>
      <c r="EJ64" s="1147" t="s">
        <v>329</v>
      </c>
      <c r="EK64" s="1148"/>
      <c r="EL64" s="1147" t="s">
        <v>329</v>
      </c>
      <c r="EM64" s="1148"/>
      <c r="EN64" s="1147" t="s">
        <v>329</v>
      </c>
      <c r="EO64" s="1148"/>
      <c r="EP64" s="1147" t="s">
        <v>329</v>
      </c>
      <c r="EQ64" s="1148"/>
      <c r="ER64" s="1147" t="s">
        <v>329</v>
      </c>
      <c r="ES64" s="1148"/>
      <c r="ET64" s="1147" t="s">
        <v>329</v>
      </c>
      <c r="EU64" s="1148"/>
      <c r="EV64" s="1147" t="s">
        <v>329</v>
      </c>
      <c r="EW64" s="1148"/>
      <c r="EX64" s="1147" t="s">
        <v>329</v>
      </c>
      <c r="EY64" s="1148"/>
      <c r="EZ64" s="1147" t="s">
        <v>329</v>
      </c>
      <c r="FA64" s="1148"/>
      <c r="FB64" s="1147" t="s">
        <v>329</v>
      </c>
      <c r="FC64" s="1148"/>
      <c r="FD64" s="1147" t="s">
        <v>329</v>
      </c>
      <c r="FE64" s="1148"/>
      <c r="FF64" s="1147" t="s">
        <v>329</v>
      </c>
      <c r="FG64" s="1148"/>
      <c r="FH64" s="1150" t="s">
        <v>329</v>
      </c>
      <c r="FI64" s="1045"/>
      <c r="FJ64" s="1213"/>
      <c r="FK64" s="1144"/>
      <c r="FL64" s="1144"/>
      <c r="FM64" s="1144"/>
      <c r="FN64" s="1144"/>
      <c r="FO64" s="1145"/>
      <c r="FP64" s="1151" t="s">
        <v>272</v>
      </c>
      <c r="FQ64" s="1149" t="s">
        <v>330</v>
      </c>
      <c r="FR64" s="1147" t="s">
        <v>329</v>
      </c>
      <c r="FS64" s="1152" t="s">
        <v>272</v>
      </c>
      <c r="FT64" s="1149" t="s">
        <v>330</v>
      </c>
      <c r="FU64" s="1153" t="s">
        <v>329</v>
      </c>
      <c r="FV64" s="1154" t="s">
        <v>272</v>
      </c>
      <c r="FW64" s="1147" t="s">
        <v>329</v>
      </c>
      <c r="FX64" s="1152" t="s">
        <v>272</v>
      </c>
      <c r="FY64" s="1147" t="s">
        <v>329</v>
      </c>
      <c r="FZ64" s="1152" t="s">
        <v>272</v>
      </c>
      <c r="GA64" s="1147" t="s">
        <v>329</v>
      </c>
      <c r="GB64" s="1152" t="s">
        <v>272</v>
      </c>
      <c r="GC64" s="1147" t="s">
        <v>329</v>
      </c>
      <c r="GD64" s="1152" t="s">
        <v>272</v>
      </c>
      <c r="GE64" s="1150" t="s">
        <v>329</v>
      </c>
      <c r="GF64" s="681"/>
      <c r="GG64" s="1186"/>
      <c r="GH64" s="1186"/>
      <c r="GI64" s="1186"/>
      <c r="GJ64" s="493"/>
      <c r="GK64" s="493"/>
      <c r="GL64" s="571"/>
      <c r="GM64" s="493"/>
      <c r="GN64" s="571"/>
      <c r="GO64" s="493"/>
      <c r="GP64" s="493"/>
      <c r="GQ64" s="493"/>
      <c r="GR64" s="571"/>
      <c r="GS64" s="406"/>
      <c r="GT64" s="1259"/>
      <c r="GU64" s="571"/>
      <c r="GV64" s="493"/>
      <c r="GW64" s="571"/>
      <c r="GX64" s="493"/>
      <c r="GY64" s="493"/>
      <c r="GZ64" s="572"/>
      <c r="HA64" s="572"/>
      <c r="HB64" s="572"/>
      <c r="HC64" s="555"/>
    </row>
    <row r="65" spans="1:211" ht="20.100000000000001" customHeight="1">
      <c r="A65" s="1155"/>
      <c r="B65" s="1156"/>
      <c r="C65" s="1156"/>
      <c r="D65" s="1216"/>
      <c r="E65" s="1217"/>
      <c r="F65" s="1218"/>
      <c r="G65" s="1219"/>
      <c r="H65" s="1160">
        <v>0</v>
      </c>
      <c r="I65" s="1220"/>
      <c r="J65" s="1221">
        <v>0</v>
      </c>
      <c r="K65" s="1222"/>
      <c r="L65" s="1221">
        <v>0</v>
      </c>
      <c r="M65" s="1222"/>
      <c r="N65" s="1221">
        <v>0</v>
      </c>
      <c r="O65" s="1222"/>
      <c r="P65" s="1221">
        <v>0</v>
      </c>
      <c r="Q65" s="1222"/>
      <c r="R65" s="1221">
        <v>0</v>
      </c>
      <c r="S65" s="1222"/>
      <c r="T65" s="1221">
        <v>0</v>
      </c>
      <c r="U65" s="1222"/>
      <c r="V65" s="1221">
        <v>0</v>
      </c>
      <c r="W65" s="1222"/>
      <c r="X65" s="1221">
        <v>0</v>
      </c>
      <c r="Y65" s="1222"/>
      <c r="Z65" s="1221">
        <v>0</v>
      </c>
      <c r="AA65" s="1222"/>
      <c r="AB65" s="1221">
        <v>0</v>
      </c>
      <c r="AC65" s="1222"/>
      <c r="AD65" s="1221">
        <v>0</v>
      </c>
      <c r="AE65" s="1222"/>
      <c r="AF65" s="1221">
        <v>0</v>
      </c>
      <c r="AG65" s="1222"/>
      <c r="AH65" s="1221">
        <v>0</v>
      </c>
      <c r="AI65" s="1222"/>
      <c r="AJ65" s="1221">
        <v>0</v>
      </c>
      <c r="AK65" s="1222"/>
      <c r="AL65" s="1221">
        <v>0</v>
      </c>
      <c r="AM65" s="1222"/>
      <c r="AN65" s="1221">
        <v>0</v>
      </c>
      <c r="AO65" s="1222"/>
      <c r="AP65" s="1221">
        <v>0</v>
      </c>
      <c r="AQ65" s="1222"/>
      <c r="AR65" s="1221">
        <v>0</v>
      </c>
      <c r="AS65" s="1222"/>
      <c r="AT65" s="1221">
        <v>0</v>
      </c>
      <c r="AU65" s="1222"/>
      <c r="AV65" s="1221">
        <v>0</v>
      </c>
      <c r="AW65" s="1222"/>
      <c r="AX65" s="1221">
        <v>0</v>
      </c>
      <c r="AY65" s="1222"/>
      <c r="AZ65" s="1221">
        <v>0</v>
      </c>
      <c r="BA65" s="1222"/>
      <c r="BB65" s="554">
        <v>0</v>
      </c>
      <c r="BC65" s="556"/>
      <c r="BD65" s="1155"/>
      <c r="BE65" s="1156"/>
      <c r="BF65" s="1156"/>
      <c r="BG65" s="1216"/>
      <c r="BH65" s="1217"/>
      <c r="BI65" s="1218"/>
      <c r="BJ65" s="1219"/>
      <c r="BK65" s="1160">
        <v>0</v>
      </c>
      <c r="BL65" s="1220"/>
      <c r="BM65" s="1221">
        <v>0</v>
      </c>
      <c r="BN65" s="1222"/>
      <c r="BO65" s="1221">
        <v>0</v>
      </c>
      <c r="BP65" s="1222"/>
      <c r="BQ65" s="1221">
        <v>0</v>
      </c>
      <c r="BR65" s="1222"/>
      <c r="BS65" s="1221">
        <v>0</v>
      </c>
      <c r="BT65" s="1222"/>
      <c r="BU65" s="1221">
        <v>0</v>
      </c>
      <c r="BV65" s="1222"/>
      <c r="BW65" s="1221">
        <v>0</v>
      </c>
      <c r="BX65" s="1222"/>
      <c r="BY65" s="1221">
        <v>0</v>
      </c>
      <c r="BZ65" s="1222"/>
      <c r="CA65" s="1221">
        <v>0</v>
      </c>
      <c r="CB65" s="1222"/>
      <c r="CC65" s="1221">
        <v>0</v>
      </c>
      <c r="CD65" s="1222"/>
      <c r="CE65" s="1221">
        <v>0</v>
      </c>
      <c r="CF65" s="1222"/>
      <c r="CG65" s="1221">
        <v>0</v>
      </c>
      <c r="CH65" s="1222"/>
      <c r="CI65" s="1221">
        <v>0</v>
      </c>
      <c r="CJ65" s="1222"/>
      <c r="CK65" s="1221">
        <v>0</v>
      </c>
      <c r="CL65" s="1222"/>
      <c r="CM65" s="1221">
        <v>0</v>
      </c>
      <c r="CN65" s="1222"/>
      <c r="CO65" s="1221">
        <v>0</v>
      </c>
      <c r="CP65" s="1222"/>
      <c r="CQ65" s="1221">
        <v>0</v>
      </c>
      <c r="CR65" s="1222"/>
      <c r="CS65" s="1221">
        <v>0</v>
      </c>
      <c r="CT65" s="1222"/>
      <c r="CU65" s="1221">
        <v>0</v>
      </c>
      <c r="CV65" s="1222"/>
      <c r="CW65" s="1221">
        <v>0</v>
      </c>
      <c r="CX65" s="1222"/>
      <c r="CY65" s="1221">
        <v>0</v>
      </c>
      <c r="CZ65" s="1222"/>
      <c r="DA65" s="1221">
        <v>0</v>
      </c>
      <c r="DB65" s="1222"/>
      <c r="DC65" s="1221">
        <v>0</v>
      </c>
      <c r="DD65" s="1222"/>
      <c r="DE65" s="554">
        <v>0</v>
      </c>
      <c r="DF65" s="555"/>
      <c r="DG65" s="1155"/>
      <c r="DH65" s="1156"/>
      <c r="DI65" s="1156"/>
      <c r="DJ65" s="1216"/>
      <c r="DK65" s="1217"/>
      <c r="DL65" s="1218"/>
      <c r="DM65" s="1219"/>
      <c r="DN65" s="1160">
        <v>0</v>
      </c>
      <c r="DO65" s="1220"/>
      <c r="DP65" s="1221">
        <v>0</v>
      </c>
      <c r="DQ65" s="1222"/>
      <c r="DR65" s="1221">
        <v>0</v>
      </c>
      <c r="DS65" s="1222"/>
      <c r="DT65" s="1221">
        <v>0</v>
      </c>
      <c r="DU65" s="1222"/>
      <c r="DV65" s="1221">
        <v>0</v>
      </c>
      <c r="DW65" s="1222"/>
      <c r="DX65" s="1221">
        <v>0</v>
      </c>
      <c r="DY65" s="1222"/>
      <c r="DZ65" s="1221">
        <v>0</v>
      </c>
      <c r="EA65" s="1222"/>
      <c r="EB65" s="1221">
        <v>0</v>
      </c>
      <c r="EC65" s="1222"/>
      <c r="ED65" s="1221">
        <v>0</v>
      </c>
      <c r="EE65" s="1222"/>
      <c r="EF65" s="1221">
        <v>0</v>
      </c>
      <c r="EG65" s="1222"/>
      <c r="EH65" s="1221">
        <v>0</v>
      </c>
      <c r="EI65" s="1222"/>
      <c r="EJ65" s="1221">
        <v>0</v>
      </c>
      <c r="EK65" s="1222"/>
      <c r="EL65" s="1221">
        <v>0</v>
      </c>
      <c r="EM65" s="1222"/>
      <c r="EN65" s="1221">
        <v>0</v>
      </c>
      <c r="EO65" s="1222"/>
      <c r="EP65" s="1221">
        <v>0</v>
      </c>
      <c r="EQ65" s="1222"/>
      <c r="ER65" s="1221">
        <v>0</v>
      </c>
      <c r="ES65" s="1222"/>
      <c r="ET65" s="1221">
        <v>0</v>
      </c>
      <c r="EU65" s="1222"/>
      <c r="EV65" s="1221">
        <v>0</v>
      </c>
      <c r="EW65" s="1222"/>
      <c r="EX65" s="1221">
        <v>0</v>
      </c>
      <c r="EY65" s="1222"/>
      <c r="EZ65" s="1221">
        <v>0</v>
      </c>
      <c r="FA65" s="1222"/>
      <c r="FB65" s="1221">
        <v>0</v>
      </c>
      <c r="FC65" s="1222"/>
      <c r="FD65" s="1221">
        <v>0</v>
      </c>
      <c r="FE65" s="1222"/>
      <c r="FF65" s="1221">
        <v>0</v>
      </c>
      <c r="FG65" s="1222"/>
      <c r="FH65" s="554">
        <v>0</v>
      </c>
      <c r="FI65" s="556"/>
      <c r="FJ65" s="1155"/>
      <c r="FK65" s="1156"/>
      <c r="FL65" s="1223"/>
      <c r="FM65" s="1223"/>
      <c r="FN65" s="1223"/>
      <c r="FO65" s="1218"/>
      <c r="FP65" s="1162"/>
      <c r="FQ65" s="1220"/>
      <c r="FR65" s="1160">
        <v>0</v>
      </c>
      <c r="FS65" s="1224"/>
      <c r="FT65" s="1220"/>
      <c r="FU65" s="1165">
        <v>0</v>
      </c>
      <c r="FV65" s="1224"/>
      <c r="FW65" s="1225">
        <v>0</v>
      </c>
      <c r="FX65" s="1164"/>
      <c r="FY65" s="1225">
        <v>0</v>
      </c>
      <c r="FZ65" s="1164"/>
      <c r="GA65" s="1225">
        <v>0</v>
      </c>
      <c r="GB65" s="1164"/>
      <c r="GC65" s="1225">
        <v>0</v>
      </c>
      <c r="GD65" s="1226"/>
      <c r="GE65" s="1227"/>
      <c r="GF65" s="681"/>
      <c r="GG65" s="595"/>
      <c r="GH65" s="595"/>
      <c r="GI65" s="595"/>
      <c r="GJ65" s="388"/>
      <c r="GK65" s="522"/>
      <c r="GL65" s="522"/>
      <c r="GM65" s="522"/>
      <c r="GN65" s="522"/>
      <c r="GO65" s="522"/>
      <c r="GP65" s="522"/>
      <c r="GQ65" s="522"/>
      <c r="GR65" s="522"/>
      <c r="GS65" s="406"/>
      <c r="GT65" s="1259"/>
      <c r="GU65" s="493"/>
      <c r="GV65" s="493"/>
      <c r="GW65" s="493"/>
      <c r="GX65" s="493"/>
      <c r="GY65" s="493"/>
      <c r="GZ65" s="572"/>
      <c r="HA65" s="572"/>
      <c r="HB65" s="572"/>
      <c r="HC65" s="555"/>
    </row>
    <row r="66" spans="1:211" ht="20.100000000000001" customHeight="1">
      <c r="A66" s="1193"/>
      <c r="B66" s="1194"/>
      <c r="C66" s="1194"/>
      <c r="D66" s="1194"/>
      <c r="E66" s="1194"/>
      <c r="F66" s="1195"/>
      <c r="G66" s="1228"/>
      <c r="H66" s="1229"/>
      <c r="I66" s="1202"/>
      <c r="J66" s="1230"/>
      <c r="K66" s="1231"/>
      <c r="L66" s="1230"/>
      <c r="M66" s="1231"/>
      <c r="N66" s="1230"/>
      <c r="O66" s="1231"/>
      <c r="P66" s="1230"/>
      <c r="Q66" s="1231"/>
      <c r="R66" s="1230"/>
      <c r="S66" s="1231"/>
      <c r="T66" s="1230"/>
      <c r="U66" s="1231"/>
      <c r="V66" s="1230"/>
      <c r="W66" s="1231"/>
      <c r="X66" s="1230"/>
      <c r="Y66" s="1231"/>
      <c r="Z66" s="1230"/>
      <c r="AA66" s="1231"/>
      <c r="AB66" s="1230"/>
      <c r="AC66" s="1231"/>
      <c r="AD66" s="1230"/>
      <c r="AE66" s="1231"/>
      <c r="AF66" s="1230"/>
      <c r="AG66" s="1231"/>
      <c r="AH66" s="1230"/>
      <c r="AI66" s="1231"/>
      <c r="AJ66" s="1230"/>
      <c r="AK66" s="1231"/>
      <c r="AL66" s="1230"/>
      <c r="AM66" s="1231"/>
      <c r="AN66" s="1230"/>
      <c r="AO66" s="1231"/>
      <c r="AP66" s="1230"/>
      <c r="AQ66" s="1231"/>
      <c r="AR66" s="1230"/>
      <c r="AS66" s="1231"/>
      <c r="AT66" s="1230"/>
      <c r="AU66" s="1231"/>
      <c r="AV66" s="1230"/>
      <c r="AW66" s="1231"/>
      <c r="AX66" s="1230"/>
      <c r="AY66" s="1231"/>
      <c r="AZ66" s="1230"/>
      <c r="BA66" s="1231"/>
      <c r="BB66" s="1232"/>
      <c r="BC66" s="556"/>
      <c r="BD66" s="1193"/>
      <c r="BE66" s="1194"/>
      <c r="BF66" s="1194"/>
      <c r="BG66" s="1194"/>
      <c r="BH66" s="1194"/>
      <c r="BI66" s="1195"/>
      <c r="BJ66" s="1228"/>
      <c r="BK66" s="1229"/>
      <c r="BL66" s="1202"/>
      <c r="BM66" s="1230"/>
      <c r="BN66" s="1231"/>
      <c r="BO66" s="1230"/>
      <c r="BP66" s="1231"/>
      <c r="BQ66" s="1230"/>
      <c r="BR66" s="1231"/>
      <c r="BS66" s="1230"/>
      <c r="BT66" s="1231"/>
      <c r="BU66" s="1230"/>
      <c r="BV66" s="1231"/>
      <c r="BW66" s="1230"/>
      <c r="BX66" s="1231"/>
      <c r="BY66" s="1230"/>
      <c r="BZ66" s="1231"/>
      <c r="CA66" s="1230"/>
      <c r="CB66" s="1231"/>
      <c r="CC66" s="1230"/>
      <c r="CD66" s="1231"/>
      <c r="CE66" s="1230"/>
      <c r="CF66" s="1231"/>
      <c r="CG66" s="1230"/>
      <c r="CH66" s="1231"/>
      <c r="CI66" s="1230"/>
      <c r="CJ66" s="1231"/>
      <c r="CK66" s="1230"/>
      <c r="CL66" s="1231"/>
      <c r="CM66" s="1230"/>
      <c r="CN66" s="1231"/>
      <c r="CO66" s="1230"/>
      <c r="CP66" s="1231"/>
      <c r="CQ66" s="1230"/>
      <c r="CR66" s="1231"/>
      <c r="CS66" s="1230"/>
      <c r="CT66" s="1231"/>
      <c r="CU66" s="1230"/>
      <c r="CV66" s="1231"/>
      <c r="CW66" s="1230"/>
      <c r="CX66" s="1231"/>
      <c r="CY66" s="1230"/>
      <c r="CZ66" s="1231"/>
      <c r="DA66" s="1230"/>
      <c r="DB66" s="1231"/>
      <c r="DC66" s="1230"/>
      <c r="DD66" s="1231"/>
      <c r="DE66" s="1232"/>
      <c r="DF66" s="555"/>
      <c r="DG66" s="1193"/>
      <c r="DH66" s="1194"/>
      <c r="DI66" s="1194"/>
      <c r="DJ66" s="1194"/>
      <c r="DK66" s="1194"/>
      <c r="DL66" s="1195"/>
      <c r="DM66" s="1228"/>
      <c r="DN66" s="1229"/>
      <c r="DO66" s="1202"/>
      <c r="DP66" s="1230"/>
      <c r="DQ66" s="1231"/>
      <c r="DR66" s="1230"/>
      <c r="DS66" s="1231"/>
      <c r="DT66" s="1230"/>
      <c r="DU66" s="1231"/>
      <c r="DV66" s="1230"/>
      <c r="DW66" s="1231"/>
      <c r="DX66" s="1230"/>
      <c r="DY66" s="1231"/>
      <c r="DZ66" s="1230"/>
      <c r="EA66" s="1231"/>
      <c r="EB66" s="1230"/>
      <c r="EC66" s="1231"/>
      <c r="ED66" s="1230"/>
      <c r="EE66" s="1231"/>
      <c r="EF66" s="1230"/>
      <c r="EG66" s="1231"/>
      <c r="EH66" s="1230"/>
      <c r="EI66" s="1231"/>
      <c r="EJ66" s="1230"/>
      <c r="EK66" s="1231"/>
      <c r="EL66" s="1230"/>
      <c r="EM66" s="1231"/>
      <c r="EN66" s="1230"/>
      <c r="EO66" s="1231"/>
      <c r="EP66" s="1230"/>
      <c r="EQ66" s="1231"/>
      <c r="ER66" s="1230"/>
      <c r="ES66" s="1231"/>
      <c r="ET66" s="1230"/>
      <c r="EU66" s="1231"/>
      <c r="EV66" s="1230"/>
      <c r="EW66" s="1231"/>
      <c r="EX66" s="1230"/>
      <c r="EY66" s="1231"/>
      <c r="EZ66" s="1230"/>
      <c r="FA66" s="1231"/>
      <c r="FB66" s="1230"/>
      <c r="FC66" s="1231"/>
      <c r="FD66" s="1230"/>
      <c r="FE66" s="1231"/>
      <c r="FF66" s="1230"/>
      <c r="FG66" s="1231"/>
      <c r="FH66" s="1232"/>
      <c r="FI66" s="556"/>
      <c r="FJ66" s="1193" t="s">
        <v>765</v>
      </c>
      <c r="FK66" s="1194"/>
      <c r="FL66" s="1233"/>
      <c r="FM66" s="1234" t="s">
        <v>766</v>
      </c>
      <c r="FN66" s="1235"/>
      <c r="FO66" s="1195"/>
      <c r="FP66" s="1201">
        <v>6</v>
      </c>
      <c r="FQ66" s="1236">
        <v>7.8</v>
      </c>
      <c r="FR66" s="1237">
        <v>34</v>
      </c>
      <c r="FS66" s="1204">
        <v>4</v>
      </c>
      <c r="FT66" s="1236">
        <v>7.3</v>
      </c>
      <c r="FU66" s="1238">
        <v>31.8</v>
      </c>
      <c r="FV66" s="1239"/>
      <c r="FW66" s="1240"/>
      <c r="FX66" s="1240"/>
      <c r="FY66" s="1240"/>
      <c r="FZ66" s="1240"/>
      <c r="GA66" s="1240"/>
      <c r="GB66" s="1240"/>
      <c r="GC66" s="1241"/>
      <c r="GD66" s="1204"/>
      <c r="GE66" s="1242">
        <v>34</v>
      </c>
      <c r="GF66" s="681"/>
      <c r="GG66" s="388"/>
      <c r="GH66" s="388"/>
      <c r="GI66" s="388"/>
      <c r="GJ66" s="476"/>
      <c r="GK66" s="522"/>
      <c r="GL66" s="523"/>
      <c r="GM66" s="522"/>
      <c r="GN66" s="523"/>
      <c r="GO66" s="522"/>
      <c r="GP66" s="522"/>
      <c r="GQ66" s="522"/>
      <c r="GR66" s="523"/>
      <c r="GT66" s="1259"/>
      <c r="GU66" s="572"/>
      <c r="GV66" s="572"/>
      <c r="GW66" s="572"/>
      <c r="GX66" s="572"/>
      <c r="GY66" s="572"/>
      <c r="GZ66" s="493"/>
      <c r="HA66" s="493"/>
      <c r="HB66" s="493"/>
      <c r="HC66" s="403"/>
    </row>
    <row r="67" spans="1:211" ht="20.100000000000001" customHeight="1" thickBot="1">
      <c r="BC67" s="386"/>
      <c r="DF67" s="386"/>
      <c r="FI67" s="386"/>
      <c r="GD67" s="681"/>
      <c r="GE67" s="792"/>
      <c r="GF67" s="681"/>
      <c r="GG67" s="476"/>
      <c r="GH67" s="476"/>
      <c r="GI67" s="476"/>
      <c r="GJ67" s="388"/>
      <c r="GT67" s="682"/>
      <c r="GU67" s="493"/>
      <c r="GV67" s="493"/>
      <c r="GW67" s="493"/>
      <c r="GX67" s="493"/>
      <c r="GY67" s="493"/>
      <c r="GZ67" s="572"/>
      <c r="HA67" s="571"/>
      <c r="HB67" s="572"/>
      <c r="HC67" s="403"/>
    </row>
    <row r="68" spans="1:211" ht="20.100000000000001" customHeight="1">
      <c r="A68" s="1244" t="s">
        <v>331</v>
      </c>
      <c r="B68" s="1245"/>
      <c r="C68" s="1245"/>
      <c r="D68" s="1245"/>
      <c r="E68" s="818"/>
      <c r="F68" s="818"/>
      <c r="G68" s="1246" t="s">
        <v>334</v>
      </c>
      <c r="H68" s="1247"/>
      <c r="I68" s="1247"/>
      <c r="J68" s="1247"/>
      <c r="K68" s="1247"/>
      <c r="L68" s="1247"/>
      <c r="M68" s="1247"/>
      <c r="N68" s="1247"/>
      <c r="O68" s="1247"/>
      <c r="P68" s="1247"/>
      <c r="Q68" s="1247"/>
      <c r="R68" s="1247"/>
      <c r="S68" s="1247"/>
      <c r="T68" s="1247"/>
      <c r="U68" s="1247"/>
      <c r="V68" s="1247"/>
      <c r="W68" s="1247"/>
      <c r="X68" s="1247"/>
      <c r="Y68" s="1247"/>
      <c r="Z68" s="1247"/>
      <c r="AA68" s="1247"/>
      <c r="AB68" s="1247"/>
      <c r="AC68" s="1247"/>
      <c r="AD68" s="1247"/>
      <c r="AE68" s="1247"/>
      <c r="AF68" s="1247"/>
      <c r="AG68" s="1247"/>
      <c r="AH68" s="1247"/>
      <c r="AI68" s="1247"/>
      <c r="AJ68" s="1247"/>
      <c r="AK68" s="1247"/>
      <c r="AL68" s="1247"/>
      <c r="AM68" s="1247"/>
      <c r="AN68" s="1247"/>
      <c r="AO68" s="1247"/>
      <c r="AP68" s="1247"/>
      <c r="AQ68" s="1247"/>
      <c r="AR68" s="1247"/>
      <c r="AS68" s="1247"/>
      <c r="AT68" s="1247"/>
      <c r="AU68" s="1247"/>
      <c r="AV68" s="1247"/>
      <c r="AW68" s="1247"/>
      <c r="AX68" s="1247"/>
      <c r="AY68" s="1247"/>
      <c r="AZ68" s="1247"/>
      <c r="BA68" s="1247"/>
      <c r="BB68" s="1248"/>
      <c r="BC68" s="1249"/>
      <c r="BD68" s="1244" t="s">
        <v>331</v>
      </c>
      <c r="BE68" s="1245"/>
      <c r="BF68" s="1245"/>
      <c r="BG68" s="1245"/>
      <c r="BH68" s="818"/>
      <c r="BI68" s="818"/>
      <c r="BJ68" s="1250" t="str">
        <f>$G68</f>
        <v>(C)室内全熱負荷以降の外気負荷等は、熱源容量計算用の基準別、時刻別の値です。外気負荷を含めた空調機の容量の計算等は別紙「AC-1系統 空調機容量の計算」をご参照ください。</v>
      </c>
      <c r="BK68" s="1251"/>
      <c r="BL68" s="1251"/>
      <c r="BM68" s="1251"/>
      <c r="BN68" s="1251"/>
      <c r="BO68" s="1251"/>
      <c r="BP68" s="1251"/>
      <c r="BQ68" s="1251"/>
      <c r="BR68" s="1251"/>
      <c r="BS68" s="1251"/>
      <c r="BT68" s="1251"/>
      <c r="BU68" s="1251"/>
      <c r="BV68" s="1251"/>
      <c r="BW68" s="1251"/>
      <c r="BX68" s="1251"/>
      <c r="BY68" s="1251"/>
      <c r="BZ68" s="1251"/>
      <c r="CA68" s="1251"/>
      <c r="CB68" s="1251"/>
      <c r="CC68" s="1251"/>
      <c r="CD68" s="1251"/>
      <c r="CE68" s="1251"/>
      <c r="CF68" s="1251"/>
      <c r="CG68" s="1251"/>
      <c r="CH68" s="1251"/>
      <c r="CI68" s="1251"/>
      <c r="CJ68" s="1251"/>
      <c r="CK68" s="1251"/>
      <c r="CL68" s="1251"/>
      <c r="CM68" s="1251"/>
      <c r="CN68" s="1251"/>
      <c r="CO68" s="1251"/>
      <c r="CP68" s="1251"/>
      <c r="CQ68" s="1251"/>
      <c r="CR68" s="1251"/>
      <c r="CS68" s="1251"/>
      <c r="CT68" s="1251"/>
      <c r="CU68" s="1251"/>
      <c r="CV68" s="1251"/>
      <c r="CW68" s="1251"/>
      <c r="CX68" s="1251"/>
      <c r="CY68" s="1251"/>
      <c r="CZ68" s="1251"/>
      <c r="DA68" s="1251"/>
      <c r="DB68" s="1251"/>
      <c r="DC68" s="1251"/>
      <c r="DD68" s="1251"/>
      <c r="DE68" s="1252"/>
      <c r="DF68" s="1249"/>
      <c r="DG68" s="1244" t="s">
        <v>331</v>
      </c>
      <c r="DH68" s="1245"/>
      <c r="DI68" s="1245"/>
      <c r="DJ68" s="1245"/>
      <c r="DK68" s="818"/>
      <c r="DL68" s="818"/>
      <c r="DM68" s="1250" t="str">
        <f>$G68</f>
        <v>(C)室内全熱負荷以降の外気負荷等は、熱源容量計算用の基準別、時刻別の値です。外気負荷を含めた空調機の容量の計算等は別紙「AC-1系統 空調機容量の計算」をご参照ください。</v>
      </c>
      <c r="DN68" s="1251"/>
      <c r="DO68" s="1251"/>
      <c r="DP68" s="1251"/>
      <c r="DQ68" s="1251"/>
      <c r="DR68" s="1251"/>
      <c r="DS68" s="1251"/>
      <c r="DT68" s="1251"/>
      <c r="DU68" s="1251"/>
      <c r="DV68" s="1251"/>
      <c r="DW68" s="1251"/>
      <c r="DX68" s="1251"/>
      <c r="DY68" s="1251"/>
      <c r="DZ68" s="1251"/>
      <c r="EA68" s="1251"/>
      <c r="EB68" s="1251"/>
      <c r="EC68" s="1251"/>
      <c r="ED68" s="1251"/>
      <c r="EE68" s="1251"/>
      <c r="EF68" s="1251"/>
      <c r="EG68" s="1251"/>
      <c r="EH68" s="1251"/>
      <c r="EI68" s="1251"/>
      <c r="EJ68" s="1251"/>
      <c r="EK68" s="1251"/>
      <c r="EL68" s="1251"/>
      <c r="EM68" s="1251"/>
      <c r="EN68" s="1251"/>
      <c r="EO68" s="1251"/>
      <c r="EP68" s="1251"/>
      <c r="EQ68" s="1251"/>
      <c r="ER68" s="1251"/>
      <c r="ES68" s="1251"/>
      <c r="ET68" s="1251"/>
      <c r="EU68" s="1251"/>
      <c r="EV68" s="1251"/>
      <c r="EW68" s="1251"/>
      <c r="EX68" s="1251"/>
      <c r="EY68" s="1251"/>
      <c r="EZ68" s="1251"/>
      <c r="FA68" s="1251"/>
      <c r="FB68" s="1251"/>
      <c r="FC68" s="1251"/>
      <c r="FD68" s="1251"/>
      <c r="FE68" s="1251"/>
      <c r="FF68" s="1251"/>
      <c r="FG68" s="1251"/>
      <c r="FH68" s="1252"/>
      <c r="FI68" s="1249"/>
      <c r="FJ68" s="1244" t="s">
        <v>331</v>
      </c>
      <c r="FK68" s="1245"/>
      <c r="FL68" s="1245"/>
      <c r="FM68" s="1245"/>
      <c r="FN68" s="818"/>
      <c r="FO68" s="818"/>
      <c r="FP68" s="1246"/>
      <c r="FQ68" s="1247"/>
      <c r="FR68" s="1247"/>
      <c r="FS68" s="1247"/>
      <c r="FT68" s="1247"/>
      <c r="FU68" s="1253"/>
      <c r="FV68" s="1254"/>
      <c r="FW68" s="1247"/>
      <c r="FX68" s="1247"/>
      <c r="FY68" s="1247"/>
      <c r="FZ68" s="1247"/>
      <c r="GA68" s="1247"/>
      <c r="GB68" s="1247"/>
      <c r="GC68" s="1255"/>
      <c r="GD68" s="1247"/>
      <c r="GE68" s="1248"/>
      <c r="GF68" s="681"/>
      <c r="GG68" s="595"/>
      <c r="GH68" s="595"/>
      <c r="GI68" s="595"/>
      <c r="GJ68" s="476"/>
      <c r="GK68" s="522"/>
      <c r="GL68" s="523"/>
      <c r="GM68" s="522"/>
      <c r="GN68" s="523"/>
      <c r="GO68" s="522"/>
      <c r="GP68" s="522"/>
      <c r="GQ68" s="522"/>
      <c r="GR68" s="523"/>
      <c r="GT68" s="572"/>
      <c r="GU68" s="1257"/>
      <c r="GV68" s="1257"/>
      <c r="GW68" s="1257"/>
      <c r="GX68" s="1257"/>
      <c r="GY68" s="1114"/>
      <c r="GZ68" s="1258"/>
      <c r="HA68" s="1258"/>
      <c r="HB68" s="1258"/>
    </row>
    <row r="69" spans="1:211" ht="20.100000000000001" customHeight="1">
      <c r="BC69" s="386"/>
      <c r="DF69" s="386"/>
      <c r="FI69" s="386"/>
      <c r="GF69" s="492"/>
      <c r="GG69" s="595"/>
      <c r="GH69" s="595"/>
      <c r="GI69" s="595"/>
      <c r="GJ69" s="523"/>
      <c r="GT69" s="1186"/>
      <c r="GU69" s="523"/>
      <c r="GV69" s="522"/>
      <c r="GW69" s="523"/>
      <c r="GX69" s="522"/>
      <c r="GY69" s="522"/>
      <c r="HA69" s="388"/>
    </row>
    <row r="70" spans="1:211" ht="20.100000000000001" customHeight="1">
      <c r="BC70" s="386"/>
      <c r="DF70" s="386"/>
      <c r="FI70" s="386"/>
      <c r="GJ70" s="388"/>
      <c r="GT70" s="682"/>
      <c r="GU70" s="522"/>
      <c r="GV70" s="522"/>
      <c r="GW70" s="522"/>
      <c r="GX70" s="522"/>
      <c r="GY70" s="522"/>
      <c r="HA70" s="523"/>
    </row>
    <row r="71" spans="1:211" ht="20.100000000000001" customHeight="1">
      <c r="BC71" s="386"/>
      <c r="DF71" s="386"/>
      <c r="FI71" s="386"/>
      <c r="GJ71" s="573"/>
      <c r="GS71" s="388"/>
      <c r="GT71" s="1256"/>
      <c r="GU71" s="523"/>
      <c r="GV71" s="388"/>
      <c r="GW71" s="523"/>
      <c r="GX71" s="388"/>
      <c r="GY71" s="572"/>
      <c r="GZ71" s="410"/>
      <c r="HA71" s="523"/>
      <c r="HB71" s="410"/>
    </row>
    <row r="72" spans="1:211" ht="20.100000000000001" customHeight="1">
      <c r="BC72" s="386"/>
      <c r="DF72" s="386"/>
      <c r="FI72" s="386"/>
      <c r="GJ72" s="523"/>
      <c r="GT72" s="1186"/>
      <c r="GU72" s="523"/>
      <c r="GV72" s="522"/>
      <c r="GW72" s="523"/>
      <c r="GX72" s="522"/>
      <c r="GY72" s="522"/>
      <c r="HA72" s="388"/>
    </row>
    <row r="73" spans="1:211" ht="20.100000000000001" customHeight="1">
      <c r="BC73" s="386"/>
      <c r="DF73" s="386"/>
      <c r="FI73" s="386"/>
      <c r="GJ73" s="523"/>
      <c r="GT73" s="1186"/>
      <c r="GU73" s="388"/>
      <c r="GV73" s="388"/>
      <c r="GW73" s="388"/>
      <c r="GX73" s="388"/>
      <c r="GY73" s="522"/>
      <c r="HA73" s="476"/>
    </row>
    <row r="74" spans="1:211" ht="20.100000000000001" customHeight="1">
      <c r="BC74" s="386"/>
      <c r="DF74" s="386"/>
      <c r="FI74" s="386"/>
      <c r="GT74" s="1186"/>
      <c r="GU74" s="476"/>
      <c r="GV74" s="479"/>
      <c r="GW74" s="476"/>
      <c r="GX74" s="479"/>
      <c r="GY74" s="388"/>
      <c r="HA74" s="573"/>
    </row>
    <row r="75" spans="1:211" ht="20.100000000000001" customHeight="1">
      <c r="BC75" s="386"/>
      <c r="DF75" s="386"/>
      <c r="FI75" s="386"/>
      <c r="GT75" s="388"/>
      <c r="GU75" s="573"/>
      <c r="GV75" s="410"/>
      <c r="GW75" s="573"/>
      <c r="GX75" s="410"/>
      <c r="GY75" s="479"/>
      <c r="HA75" s="523"/>
    </row>
    <row r="76" spans="1:211" ht="20.100000000000001" customHeight="1">
      <c r="BC76" s="386"/>
      <c r="DF76" s="386"/>
      <c r="FI76" s="386"/>
      <c r="GT76" s="479"/>
      <c r="GU76" s="523"/>
      <c r="GV76" s="522"/>
      <c r="GW76" s="523"/>
      <c r="GX76" s="522"/>
      <c r="GY76" s="410"/>
      <c r="HA76" s="523"/>
    </row>
    <row r="77" spans="1:211" ht="20.100000000000001" customHeight="1">
      <c r="BC77" s="386"/>
      <c r="DF77" s="386"/>
      <c r="FI77" s="386"/>
      <c r="GT77" s="854"/>
      <c r="GU77" s="523"/>
      <c r="GV77" s="522"/>
      <c r="GW77" s="523"/>
      <c r="GX77" s="522"/>
      <c r="GZ77" s="522"/>
    </row>
    <row r="78" spans="1:211" ht="20.100000000000001" customHeight="1">
      <c r="BC78" s="386"/>
      <c r="DF78" s="386"/>
      <c r="FI78" s="386"/>
      <c r="GT78" s="1186"/>
      <c r="GZ78" s="522"/>
    </row>
    <row r="79" spans="1:211" ht="20.100000000000001" customHeight="1">
      <c r="BC79" s="386"/>
      <c r="DF79" s="386"/>
      <c r="FI79" s="386"/>
      <c r="GT79" s="1186"/>
    </row>
    <row r="80" spans="1:211" ht="20.100000000000001" customHeight="1">
      <c r="BC80" s="386"/>
      <c r="DF80" s="386"/>
      <c r="FI80" s="386"/>
    </row>
    <row r="81" spans="55:165" ht="20.100000000000001" customHeight="1">
      <c r="BC81" s="386"/>
      <c r="DF81" s="386"/>
      <c r="FI81" s="386"/>
    </row>
    <row r="82" spans="55:165" ht="20.100000000000001" customHeight="1">
      <c r="BC82" s="386"/>
      <c r="DF82" s="386"/>
      <c r="FI82" s="386"/>
    </row>
    <row r="83" spans="55:165" ht="20.100000000000001" customHeight="1">
      <c r="BC83" s="386"/>
      <c r="DF83" s="386"/>
      <c r="FI83" s="386"/>
    </row>
    <row r="84" spans="55:165" ht="20.100000000000001" customHeight="1">
      <c r="BC84" s="386"/>
      <c r="DF84" s="386"/>
      <c r="FI84" s="386"/>
    </row>
    <row r="85" spans="55:165" ht="20.100000000000001" customHeight="1">
      <c r="BC85" s="386"/>
      <c r="DF85" s="386"/>
      <c r="FI85" s="386"/>
    </row>
    <row r="86" spans="55:165" ht="20.100000000000001" customHeight="1">
      <c r="BC86" s="386"/>
      <c r="DF86" s="386"/>
    </row>
    <row r="87" spans="55:165" ht="20.100000000000001" customHeight="1">
      <c r="BC87" s="386"/>
      <c r="DF87" s="386"/>
    </row>
    <row r="88" spans="55:165" ht="20.100000000000001" customHeight="1">
      <c r="BC88" s="386"/>
      <c r="DF88" s="386"/>
    </row>
    <row r="89" spans="55:165" ht="20.100000000000001" customHeight="1">
      <c r="BC89" s="386"/>
      <c r="DF89" s="386"/>
    </row>
  </sheetData>
  <dataConsolidate/>
  <mergeCells count="329">
    <mergeCell ref="GB59:GC59"/>
    <mergeCell ref="GB61:GC61"/>
    <mergeCell ref="GD59:GE59"/>
    <mergeCell ref="GD61:GE61"/>
    <mergeCell ref="FV59:FW59"/>
    <mergeCell ref="FX59:FY59"/>
    <mergeCell ref="FZ59:GA59"/>
    <mergeCell ref="FV61:FW61"/>
    <mergeCell ref="FX61:FY61"/>
    <mergeCell ref="FZ61:GA61"/>
    <mergeCell ref="DM68:FH68"/>
    <mergeCell ref="FJ68:FM68"/>
    <mergeCell ref="FP68:FU68"/>
    <mergeCell ref="FV68:GC68"/>
    <mergeCell ref="GD68:GE68"/>
    <mergeCell ref="DK63:DL64"/>
    <mergeCell ref="FJ63:FM64"/>
    <mergeCell ref="FN63:FO64"/>
    <mergeCell ref="GD65:GE65"/>
    <mergeCell ref="FV66:GC66"/>
    <mergeCell ref="A68:D68"/>
    <mergeCell ref="G68:BB68"/>
    <mergeCell ref="BD68:BG68"/>
    <mergeCell ref="BJ68:DE68"/>
    <mergeCell ref="DG68:DJ68"/>
    <mergeCell ref="DK56:DL57"/>
    <mergeCell ref="FJ56:FM57"/>
    <mergeCell ref="FN56:FO57"/>
    <mergeCell ref="A63:D64"/>
    <mergeCell ref="E63:F64"/>
    <mergeCell ref="BD63:BG64"/>
    <mergeCell ref="BH63:BI64"/>
    <mergeCell ref="DG63:DJ64"/>
    <mergeCell ref="GN51:GN52"/>
    <mergeCell ref="GO51:GO52"/>
    <mergeCell ref="GP51:GP52"/>
    <mergeCell ref="GQ51:GQ52"/>
    <mergeCell ref="GU54:GX54"/>
    <mergeCell ref="A56:D57"/>
    <mergeCell ref="E56:F57"/>
    <mergeCell ref="BD56:BG57"/>
    <mergeCell ref="BH56:BI57"/>
    <mergeCell ref="DG56:DJ57"/>
    <mergeCell ref="FX49:FY51"/>
    <mergeCell ref="FZ49:GA51"/>
    <mergeCell ref="GB49:GC51"/>
    <mergeCell ref="GD49:GE51"/>
    <mergeCell ref="GL51:GL52"/>
    <mergeCell ref="GM51:GM52"/>
    <mergeCell ref="GQ44:GR44"/>
    <mergeCell ref="BA46:BB46"/>
    <mergeCell ref="DD46:DE46"/>
    <mergeCell ref="FG46:FH46"/>
    <mergeCell ref="FT46:FU46"/>
    <mergeCell ref="A48:A51"/>
    <mergeCell ref="BD48:BD51"/>
    <mergeCell ref="DG48:DG51"/>
    <mergeCell ref="FJ48:FJ51"/>
    <mergeCell ref="FV49:FW51"/>
    <mergeCell ref="FV44:FW46"/>
    <mergeCell ref="FX44:FY46"/>
    <mergeCell ref="FZ44:GA46"/>
    <mergeCell ref="GB44:GC46"/>
    <mergeCell ref="GD44:GE46"/>
    <mergeCell ref="GM44:GN44"/>
    <mergeCell ref="GO41:GP41"/>
    <mergeCell ref="GQ41:GR41"/>
    <mergeCell ref="GM42:GN42"/>
    <mergeCell ref="GO42:GP42"/>
    <mergeCell ref="GQ42:GR42"/>
    <mergeCell ref="GK43:GL44"/>
    <mergeCell ref="GM43:GN43"/>
    <mergeCell ref="GO43:GP43"/>
    <mergeCell ref="GQ43:GR43"/>
    <mergeCell ref="GO44:GP44"/>
    <mergeCell ref="GK39:GL40"/>
    <mergeCell ref="GM39:GN40"/>
    <mergeCell ref="GO39:GP40"/>
    <mergeCell ref="GQ39:GR40"/>
    <mergeCell ref="A41:A44"/>
    <mergeCell ref="BD41:BD44"/>
    <mergeCell ref="DG41:DG44"/>
    <mergeCell ref="FJ41:FJ44"/>
    <mergeCell ref="GK41:GL42"/>
    <mergeCell ref="GM41:GN41"/>
    <mergeCell ref="GU37:GV37"/>
    <mergeCell ref="C38:D38"/>
    <mergeCell ref="E38:F38"/>
    <mergeCell ref="BF38:BG38"/>
    <mergeCell ref="BH38:BI38"/>
    <mergeCell ref="DI38:DJ38"/>
    <mergeCell ref="DK38:DL38"/>
    <mergeCell ref="FL38:FM38"/>
    <mergeCell ref="FN38:FO38"/>
    <mergeCell ref="GU38:GZ38"/>
    <mergeCell ref="DG37:DG40"/>
    <mergeCell ref="DI37:DJ37"/>
    <mergeCell ref="DK37:DL37"/>
    <mergeCell ref="FJ37:FJ40"/>
    <mergeCell ref="FL37:FM37"/>
    <mergeCell ref="FN37:FO37"/>
    <mergeCell ref="DI39:DJ39"/>
    <mergeCell ref="DK39:DL39"/>
    <mergeCell ref="FL39:FM39"/>
    <mergeCell ref="FN39:FO39"/>
    <mergeCell ref="A37:A40"/>
    <mergeCell ref="C37:D37"/>
    <mergeCell ref="E37:F37"/>
    <mergeCell ref="BD37:BD40"/>
    <mergeCell ref="BF37:BG37"/>
    <mergeCell ref="BH37:BI37"/>
    <mergeCell ref="C39:D39"/>
    <mergeCell ref="E39:F39"/>
    <mergeCell ref="BF39:BG39"/>
    <mergeCell ref="BH39:BI39"/>
    <mergeCell ref="GU33:GV33"/>
    <mergeCell ref="A34:A36"/>
    <mergeCell ref="BD34:BD36"/>
    <mergeCell ref="DG34:DG36"/>
    <mergeCell ref="FJ34:FJ36"/>
    <mergeCell ref="GK34:GP34"/>
    <mergeCell ref="GU34:GV34"/>
    <mergeCell ref="GU35:GV35"/>
    <mergeCell ref="GK36:GP36"/>
    <mergeCell ref="GU36:GV36"/>
    <mergeCell ref="GY31:GY32"/>
    <mergeCell ref="GZ31:GZ32"/>
    <mergeCell ref="HA31:HA32"/>
    <mergeCell ref="B32:C32"/>
    <mergeCell ref="BE32:BF32"/>
    <mergeCell ref="DH32:DI32"/>
    <mergeCell ref="FK32:FL32"/>
    <mergeCell ref="B31:C31"/>
    <mergeCell ref="BE31:BF31"/>
    <mergeCell ref="DH31:DI31"/>
    <mergeCell ref="FK31:FL31"/>
    <mergeCell ref="GW31:GW32"/>
    <mergeCell ref="GX31:GX32"/>
    <mergeCell ref="GK22:GN22"/>
    <mergeCell ref="GU22:GY22"/>
    <mergeCell ref="HA22:HB22"/>
    <mergeCell ref="A27:A33"/>
    <mergeCell ref="BD27:BD33"/>
    <mergeCell ref="DG27:DG33"/>
    <mergeCell ref="FJ27:FJ33"/>
    <mergeCell ref="GU30:GV32"/>
    <mergeCell ref="GW30:HA30"/>
    <mergeCell ref="HB30:HB32"/>
    <mergeCell ref="GK20:GL20"/>
    <mergeCell ref="GU20:GV20"/>
    <mergeCell ref="GX20:GY20"/>
    <mergeCell ref="HA20:HB20"/>
    <mergeCell ref="GK21:GM21"/>
    <mergeCell ref="GU21:GW21"/>
    <mergeCell ref="GX21:GY21"/>
    <mergeCell ref="HA21:HB21"/>
    <mergeCell ref="GK18:GL18"/>
    <mergeCell ref="GU18:GV18"/>
    <mergeCell ref="GX18:GY18"/>
    <mergeCell ref="HA18:HB18"/>
    <mergeCell ref="GK19:GL19"/>
    <mergeCell ref="GU19:GV19"/>
    <mergeCell ref="GX19:GY19"/>
    <mergeCell ref="HA19:HB19"/>
    <mergeCell ref="HA15:HB15"/>
    <mergeCell ref="GK16:GL16"/>
    <mergeCell ref="GU16:GV16"/>
    <mergeCell ref="GX16:GY16"/>
    <mergeCell ref="HA16:HB16"/>
    <mergeCell ref="GK17:GL17"/>
    <mergeCell ref="GU17:GV17"/>
    <mergeCell ref="GX17:GY17"/>
    <mergeCell ref="HA17:HB17"/>
    <mergeCell ref="GU14:GV14"/>
    <mergeCell ref="GX14:GY14"/>
    <mergeCell ref="HA14:HB14"/>
    <mergeCell ref="A15:A26"/>
    <mergeCell ref="BD15:BD26"/>
    <mergeCell ref="DG15:DG26"/>
    <mergeCell ref="FJ15:FJ26"/>
    <mergeCell ref="GK15:GL15"/>
    <mergeCell ref="GU15:GV15"/>
    <mergeCell ref="GX15:GY15"/>
    <mergeCell ref="GD10:GE43"/>
    <mergeCell ref="GK12:GL12"/>
    <mergeCell ref="GU12:GV12"/>
    <mergeCell ref="GX12:GY12"/>
    <mergeCell ref="HA12:HB12"/>
    <mergeCell ref="GK13:GL13"/>
    <mergeCell ref="GU13:GV13"/>
    <mergeCell ref="GX13:GY13"/>
    <mergeCell ref="HA13:HB13"/>
    <mergeCell ref="GK14:GL14"/>
    <mergeCell ref="FJ7:FO8"/>
    <mergeCell ref="FV7:GE9"/>
    <mergeCell ref="A9:A14"/>
    <mergeCell ref="BD9:BD14"/>
    <mergeCell ref="DG9:DG14"/>
    <mergeCell ref="FJ9:FJ14"/>
    <mergeCell ref="FV10:FW43"/>
    <mergeCell ref="FX10:FY43"/>
    <mergeCell ref="FZ10:GA43"/>
    <mergeCell ref="GB10:GC43"/>
    <mergeCell ref="GA6:GB6"/>
    <mergeCell ref="GE6:GF6"/>
    <mergeCell ref="GK6:GM6"/>
    <mergeCell ref="GU6:GW6"/>
    <mergeCell ref="A7:F8"/>
    <mergeCell ref="G7:BB7"/>
    <mergeCell ref="BD7:BI8"/>
    <mergeCell ref="BJ7:DE7"/>
    <mergeCell ref="DG7:DL8"/>
    <mergeCell ref="DM7:FH7"/>
    <mergeCell ref="DX6:DY6"/>
    <mergeCell ref="EB6:EC6"/>
    <mergeCell ref="FL6:FN6"/>
    <mergeCell ref="FO6:FP6"/>
    <mergeCell ref="FQ6:FU6"/>
    <mergeCell ref="FV6:FW6"/>
    <mergeCell ref="BY6:BZ6"/>
    <mergeCell ref="CE6:CF6"/>
    <mergeCell ref="DI6:DK6"/>
    <mergeCell ref="DL6:DM6"/>
    <mergeCell ref="DN6:DR6"/>
    <mergeCell ref="DS6:DT6"/>
    <mergeCell ref="AB6:AC6"/>
    <mergeCell ref="BF6:BH6"/>
    <mergeCell ref="BI6:BJ6"/>
    <mergeCell ref="BK6:BO6"/>
    <mergeCell ref="BP6:BQ6"/>
    <mergeCell ref="BU6:BV6"/>
    <mergeCell ref="C6:E6"/>
    <mergeCell ref="F6:G6"/>
    <mergeCell ref="H6:L6"/>
    <mergeCell ref="M6:N6"/>
    <mergeCell ref="R6:S6"/>
    <mergeCell ref="V6:W6"/>
    <mergeCell ref="FX5:FY5"/>
    <mergeCell ref="FZ5:GA5"/>
    <mergeCell ref="GB5:GC5"/>
    <mergeCell ref="GD5:GE5"/>
    <mergeCell ref="GK5:GM5"/>
    <mergeCell ref="GU5:GW5"/>
    <mergeCell ref="DQ5:DR5"/>
    <mergeCell ref="DS5:DT5"/>
    <mergeCell ref="DU5:DV5"/>
    <mergeCell ref="DW5:DX5"/>
    <mergeCell ref="DY5:DZ5"/>
    <mergeCell ref="EA5:EB5"/>
    <mergeCell ref="BR5:BS5"/>
    <mergeCell ref="BT5:BU5"/>
    <mergeCell ref="BV5:BW5"/>
    <mergeCell ref="BX5:BY5"/>
    <mergeCell ref="DM5:DN5"/>
    <mergeCell ref="DO5:DP5"/>
    <mergeCell ref="S5:T5"/>
    <mergeCell ref="U5:V5"/>
    <mergeCell ref="BJ5:BK5"/>
    <mergeCell ref="BL5:BM5"/>
    <mergeCell ref="BN5:BO5"/>
    <mergeCell ref="BP5:BQ5"/>
    <mergeCell ref="G5:H5"/>
    <mergeCell ref="I5:J5"/>
    <mergeCell ref="K5:L5"/>
    <mergeCell ref="M5:N5"/>
    <mergeCell ref="O5:P5"/>
    <mergeCell ref="Q5:R5"/>
    <mergeCell ref="EC4:EE5"/>
    <mergeCell ref="FX4:FY4"/>
    <mergeCell ref="FZ4:GA4"/>
    <mergeCell ref="GB4:GC4"/>
    <mergeCell ref="GD4:GE4"/>
    <mergeCell ref="GF4:GH5"/>
    <mergeCell ref="FP5:FQ5"/>
    <mergeCell ref="FR5:FS5"/>
    <mergeCell ref="FT5:FU5"/>
    <mergeCell ref="FV5:FW5"/>
    <mergeCell ref="FX3:GE3"/>
    <mergeCell ref="GF3:GH3"/>
    <mergeCell ref="GJ3:GR3"/>
    <mergeCell ref="GT3:HB3"/>
    <mergeCell ref="O4:P4"/>
    <mergeCell ref="Q4:R4"/>
    <mergeCell ref="S4:T4"/>
    <mergeCell ref="U4:V4"/>
    <mergeCell ref="W4:Y5"/>
    <mergeCell ref="BR4:BS4"/>
    <mergeCell ref="FJ3:FJ4"/>
    <mergeCell ref="FK3:FK4"/>
    <mergeCell ref="FL3:FL4"/>
    <mergeCell ref="FM3:FS4"/>
    <mergeCell ref="FT3:FU4"/>
    <mergeCell ref="FV3:FW4"/>
    <mergeCell ref="DI3:DI4"/>
    <mergeCell ref="DJ3:DP4"/>
    <mergeCell ref="DQ3:DR4"/>
    <mergeCell ref="DS3:DT4"/>
    <mergeCell ref="DU3:EB3"/>
    <mergeCell ref="EC3:EE3"/>
    <mergeCell ref="DU4:DV4"/>
    <mergeCell ref="DW4:DX4"/>
    <mergeCell ref="DY4:DZ4"/>
    <mergeCell ref="EA4:EB4"/>
    <mergeCell ref="BN3:BO4"/>
    <mergeCell ref="BP3:BQ4"/>
    <mergeCell ref="BR3:BY3"/>
    <mergeCell ref="BZ3:CB3"/>
    <mergeCell ref="DG3:DG4"/>
    <mergeCell ref="DH3:DH4"/>
    <mergeCell ref="BT4:BU4"/>
    <mergeCell ref="BV4:BW4"/>
    <mergeCell ref="BX4:BY4"/>
    <mergeCell ref="BZ4:CB5"/>
    <mergeCell ref="O3:V3"/>
    <mergeCell ref="W3:Y3"/>
    <mergeCell ref="BD3:BD4"/>
    <mergeCell ref="BE3:BE4"/>
    <mergeCell ref="BF3:BF4"/>
    <mergeCell ref="BG3:BM4"/>
    <mergeCell ref="H1:I1"/>
    <mergeCell ref="BK1:BL1"/>
    <mergeCell ref="DN1:DO1"/>
    <mergeCell ref="FQ1:FR1"/>
    <mergeCell ref="A3:A4"/>
    <mergeCell ref="B3:B4"/>
    <mergeCell ref="C3:C4"/>
    <mergeCell ref="D3:J4"/>
    <mergeCell ref="K3:L4"/>
    <mergeCell ref="M3:N4"/>
  </mergeCells>
  <phoneticPr fontId="4"/>
  <printOptions horizontalCentered="1" gridLinesSet="0"/>
  <pageMargins left="0.39370078740157483" right="0.19685039370078741" top="0.78740157480314965" bottom="0.47244094488188981" header="0.59055118110236227" footer="0.31496062992125984"/>
  <pageSetup paperSize="9" scale="38" fitToWidth="0" orientation="landscape" horizontalDpi="4294967292" verticalDpi="400" r:id="rId1"/>
  <headerFooter scaleWithDoc="0" alignWithMargins="0">
    <oddFooter>&amp;C&amp;"ＭＳ Ｐゴシック,標準"&amp;9( &amp;P / &amp;N )</oddFooter>
  </headerFooter>
  <rowBreaks count="1" manualBreakCount="1">
    <brk id="1" max="210" man="1"/>
  </rowBreaks>
  <colBreaks count="3" manualBreakCount="3">
    <brk id="55" max="68" man="1"/>
    <brk id="110" max="68" man="1"/>
    <brk id="165" max="68"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O89"/>
  <sheetViews>
    <sheetView showGridLines="0" zoomScale="70" zoomScaleNormal="70" workbookViewId="0">
      <pane ySplit="8" topLeftCell="A9" activePane="bottomLeft" state="frozenSplit"/>
      <selection pane="bottomLeft"/>
    </sheetView>
  </sheetViews>
  <sheetFormatPr defaultColWidth="7.42578125" defaultRowHeight="20.100000000000001" customHeight="1"/>
  <cols>
    <col min="1" max="1" width="5" style="389" customWidth="1"/>
    <col min="2" max="6" width="9.5703125" style="389" customWidth="1"/>
    <col min="7" max="7" width="4.7109375" style="389" customWidth="1"/>
    <col min="8" max="8" width="7.7109375" style="389" customWidth="1"/>
    <col min="9" max="9" width="4.7109375" style="389" customWidth="1"/>
    <col min="10" max="10" width="7.7109375" style="389" customWidth="1"/>
    <col min="11" max="11" width="4.7109375" style="389" customWidth="1"/>
    <col min="12" max="12" width="7.7109375" style="389" customWidth="1"/>
    <col min="13" max="13" width="4.7109375" style="389" customWidth="1"/>
    <col min="14" max="14" width="7.7109375" style="389" customWidth="1"/>
    <col min="15" max="15" width="4.7109375" style="389" customWidth="1"/>
    <col min="16" max="16" width="7.7109375" style="389" customWidth="1"/>
    <col min="17" max="17" width="4.7109375" style="389" customWidth="1"/>
    <col min="18" max="18" width="7.7109375" style="389" customWidth="1"/>
    <col min="19" max="19" width="4.7109375" style="389" customWidth="1"/>
    <col min="20" max="20" width="7.7109375" style="389" customWidth="1"/>
    <col min="21" max="21" width="4.7109375" style="389" customWidth="1"/>
    <col min="22" max="22" width="7.7109375" style="389" customWidth="1"/>
    <col min="23" max="23" width="4.7109375" style="389" customWidth="1"/>
    <col min="24" max="24" width="7.7109375" style="389" customWidth="1"/>
    <col min="25" max="25" width="4.7109375" style="389" customWidth="1"/>
    <col min="26" max="26" width="7.7109375" style="389" customWidth="1"/>
    <col min="27" max="27" width="4.7109375" style="389" customWidth="1"/>
    <col min="28" max="28" width="7.7109375" style="389" customWidth="1"/>
    <col min="29" max="29" width="4.7109375" style="389" customWidth="1"/>
    <col min="30" max="30" width="7.7109375" style="389" customWidth="1"/>
    <col min="31" max="31" width="4.7109375" style="389" customWidth="1"/>
    <col min="32" max="32" width="7.7109375" style="389" customWidth="1"/>
    <col min="33" max="33" width="4.7109375" style="389" customWidth="1"/>
    <col min="34" max="34" width="7.7109375" style="389" customWidth="1"/>
    <col min="35" max="35" width="4.7109375" style="389" customWidth="1"/>
    <col min="36" max="36" width="7.7109375" style="389" customWidth="1"/>
    <col min="37" max="37" width="4.7109375" style="389" customWidth="1"/>
    <col min="38" max="38" width="7.7109375" style="389" customWidth="1"/>
    <col min="39" max="39" width="4.7109375" style="389" customWidth="1"/>
    <col min="40" max="40" width="7.7109375" style="389" customWidth="1"/>
    <col min="41" max="41" width="4.7109375" style="389" customWidth="1"/>
    <col min="42" max="42" width="7.7109375" style="389" customWidth="1"/>
    <col min="43" max="43" width="4.7109375" style="389" customWidth="1"/>
    <col min="44" max="44" width="7.7109375" style="389" customWidth="1"/>
    <col min="45" max="45" width="4.7109375" style="389" customWidth="1"/>
    <col min="46" max="46" width="7.7109375" style="389" customWidth="1"/>
    <col min="47" max="47" width="4.7109375" style="389" customWidth="1"/>
    <col min="48" max="48" width="7.7109375" style="389" customWidth="1"/>
    <col min="49" max="49" width="4.7109375" style="389" customWidth="1"/>
    <col min="50" max="50" width="7.7109375" style="389" customWidth="1"/>
    <col min="51" max="51" width="4.7109375" style="389" customWidth="1"/>
    <col min="52" max="52" width="7.7109375" style="389" customWidth="1"/>
    <col min="53" max="53" width="4.7109375" style="389" customWidth="1"/>
    <col min="54" max="54" width="7.7109375" style="389" customWidth="1"/>
    <col min="55" max="55" width="4.28515625" style="1207" customWidth="1"/>
    <col min="56" max="56" width="5" style="389" customWidth="1"/>
    <col min="57" max="61" width="9.5703125" style="389" customWidth="1"/>
    <col min="62" max="62" width="4.7109375" style="389" customWidth="1"/>
    <col min="63" max="63" width="7.7109375" style="389" customWidth="1"/>
    <col min="64" max="64" width="4.7109375" style="389" customWidth="1"/>
    <col min="65" max="65" width="7.7109375" style="389" customWidth="1"/>
    <col min="66" max="66" width="4.7109375" style="389" customWidth="1"/>
    <col min="67" max="67" width="7.7109375" style="389" customWidth="1"/>
    <col min="68" max="68" width="4.7109375" style="389" customWidth="1"/>
    <col min="69" max="69" width="7.7109375" style="389" customWidth="1"/>
    <col min="70" max="70" width="4.7109375" style="389" customWidth="1"/>
    <col min="71" max="71" width="7.7109375" style="389" customWidth="1"/>
    <col min="72" max="72" width="4.7109375" style="389" customWidth="1"/>
    <col min="73" max="73" width="7.7109375" style="389" customWidth="1"/>
    <col min="74" max="74" width="4.7109375" style="389" customWidth="1"/>
    <col min="75" max="75" width="7.7109375" style="389" customWidth="1"/>
    <col min="76" max="76" width="4.7109375" style="389" customWidth="1"/>
    <col min="77" max="77" width="7.7109375" style="389" customWidth="1"/>
    <col min="78" max="78" width="4.7109375" style="389" customWidth="1"/>
    <col min="79" max="79" width="7.7109375" style="389" customWidth="1"/>
    <col min="80" max="80" width="4.7109375" style="389" customWidth="1"/>
    <col min="81" max="81" width="7.7109375" style="389" customWidth="1"/>
    <col min="82" max="82" width="4.7109375" style="389" customWidth="1"/>
    <col min="83" max="83" width="7.7109375" style="389" customWidth="1"/>
    <col min="84" max="84" width="4.7109375" style="389" customWidth="1"/>
    <col min="85" max="85" width="7.7109375" style="389" customWidth="1"/>
    <col min="86" max="86" width="4.7109375" style="389" customWidth="1"/>
    <col min="87" max="87" width="7.7109375" style="389" customWidth="1"/>
    <col min="88" max="88" width="4.7109375" style="389" customWidth="1"/>
    <col min="89" max="89" width="7.7109375" style="389" customWidth="1"/>
    <col min="90" max="90" width="4.7109375" style="389" customWidth="1"/>
    <col min="91" max="91" width="7.7109375" style="389" customWidth="1"/>
    <col min="92" max="92" width="4.7109375" style="389" customWidth="1"/>
    <col min="93" max="93" width="7.7109375" style="389" customWidth="1"/>
    <col min="94" max="94" width="4.7109375" style="389" customWidth="1"/>
    <col min="95" max="95" width="7.7109375" style="389" customWidth="1"/>
    <col min="96" max="96" width="4.7109375" style="389" customWidth="1"/>
    <col min="97" max="97" width="7.7109375" style="389" customWidth="1"/>
    <col min="98" max="98" width="4.7109375" style="389" customWidth="1"/>
    <col min="99" max="99" width="7.7109375" style="389" customWidth="1"/>
    <col min="100" max="100" width="4.7109375" style="389" customWidth="1"/>
    <col min="101" max="101" width="7.7109375" style="389" customWidth="1"/>
    <col min="102" max="102" width="4.7109375" style="389" customWidth="1"/>
    <col min="103" max="103" width="7.7109375" style="389" customWidth="1"/>
    <col min="104" max="104" width="4.7109375" style="389" customWidth="1"/>
    <col min="105" max="105" width="7.7109375" style="389" customWidth="1"/>
    <col min="106" max="106" width="4.7109375" style="389" customWidth="1"/>
    <col min="107" max="107" width="7.7109375" style="389" customWidth="1"/>
    <col min="108" max="108" width="4.7109375" style="389" customWidth="1"/>
    <col min="109" max="109" width="7.7109375" style="389" customWidth="1"/>
    <col min="110" max="110" width="4.7109375" style="1207" customWidth="1"/>
    <col min="111" max="111" width="5" style="389" customWidth="1"/>
    <col min="112" max="116" width="9.5703125" style="389" customWidth="1"/>
    <col min="117" max="117" width="4.7109375" style="389" customWidth="1"/>
    <col min="118" max="118" width="7.7109375" style="389" customWidth="1"/>
    <col min="119" max="119" width="4.7109375" style="389" customWidth="1"/>
    <col min="120" max="120" width="7.7109375" style="389" customWidth="1"/>
    <col min="121" max="121" width="4.7109375" style="389" customWidth="1"/>
    <col min="122" max="122" width="7.7109375" style="389" customWidth="1"/>
    <col min="123" max="123" width="4.7109375" style="389" customWidth="1"/>
    <col min="124" max="124" width="7.7109375" style="389" customWidth="1"/>
    <col min="125" max="125" width="4.7109375" style="389" customWidth="1"/>
    <col min="126" max="126" width="7.7109375" style="389" customWidth="1"/>
    <col min="127" max="127" width="4.7109375" style="389" customWidth="1"/>
    <col min="128" max="128" width="7.7109375" style="389" customWidth="1"/>
    <col min="129" max="129" width="4.7109375" style="389" customWidth="1"/>
    <col min="130" max="130" width="7.7109375" style="389" customWidth="1"/>
    <col min="131" max="131" width="4.7109375" style="389" customWidth="1"/>
    <col min="132" max="132" width="7.7109375" style="389" customWidth="1"/>
    <col min="133" max="133" width="4.7109375" style="389" customWidth="1"/>
    <col min="134" max="134" width="7.7109375" style="389" customWidth="1"/>
    <col min="135" max="135" width="4.7109375" style="389" customWidth="1"/>
    <col min="136" max="136" width="7.7109375" style="389" customWidth="1"/>
    <col min="137" max="137" width="4.7109375" style="389" customWidth="1"/>
    <col min="138" max="138" width="7.7109375" style="389" customWidth="1"/>
    <col min="139" max="139" width="4.7109375" style="389" customWidth="1"/>
    <col min="140" max="140" width="7.7109375" style="389" customWidth="1"/>
    <col min="141" max="141" width="4.7109375" style="389" customWidth="1"/>
    <col min="142" max="142" width="7.7109375" style="389" customWidth="1"/>
    <col min="143" max="143" width="4.7109375" style="389" customWidth="1"/>
    <col min="144" max="144" width="7.7109375" style="389" customWidth="1"/>
    <col min="145" max="145" width="4.7109375" style="389" customWidth="1"/>
    <col min="146" max="146" width="7.7109375" style="389" customWidth="1"/>
    <col min="147" max="147" width="4.7109375" style="389" customWidth="1"/>
    <col min="148" max="148" width="7.7109375" style="389" customWidth="1"/>
    <col min="149" max="149" width="4.7109375" style="389" customWidth="1"/>
    <col min="150" max="150" width="7.7109375" style="389" customWidth="1"/>
    <col min="151" max="151" width="4.7109375" style="389" customWidth="1"/>
    <col min="152" max="152" width="7.7109375" style="389" customWidth="1"/>
    <col min="153" max="153" width="4.7109375" style="389" customWidth="1"/>
    <col min="154" max="154" width="7.7109375" style="389" customWidth="1"/>
    <col min="155" max="155" width="4.7109375" style="389" customWidth="1"/>
    <col min="156" max="156" width="7.7109375" style="389" customWidth="1"/>
    <col min="157" max="157" width="4.7109375" style="389" customWidth="1"/>
    <col min="158" max="158" width="7.7109375" style="389" customWidth="1"/>
    <col min="159" max="159" width="4.7109375" style="389" customWidth="1"/>
    <col min="160" max="160" width="7.7109375" style="389" customWidth="1"/>
    <col min="161" max="161" width="4.7109375" style="389" customWidth="1"/>
    <col min="162" max="162" width="7.7109375" style="389" customWidth="1"/>
    <col min="163" max="163" width="4.7109375" style="389" customWidth="1"/>
    <col min="164" max="164" width="7.7109375" style="389" customWidth="1"/>
    <col min="165" max="165" width="4.7109375" style="1207" customWidth="1"/>
    <col min="166" max="166" width="5" style="389" customWidth="1"/>
    <col min="167" max="171" width="9.5703125" style="389" customWidth="1"/>
    <col min="172" max="173" width="4.7109375" style="389" customWidth="1"/>
    <col min="174" max="174" width="7.7109375" style="389" customWidth="1"/>
    <col min="175" max="176" width="4.7109375" style="389" customWidth="1"/>
    <col min="177" max="177" width="7.7109375" style="389" customWidth="1"/>
    <col min="178" max="178" width="4.7109375" style="389" customWidth="1"/>
    <col min="179" max="179" width="7.7109375" style="389" customWidth="1"/>
    <col min="180" max="180" width="4.7109375" style="389" customWidth="1"/>
    <col min="181" max="181" width="7.7109375" style="389" customWidth="1"/>
    <col min="182" max="182" width="4.7109375" style="389" customWidth="1"/>
    <col min="183" max="183" width="7.7109375" style="389" customWidth="1"/>
    <col min="184" max="184" width="4.7109375" style="389" customWidth="1"/>
    <col min="185" max="185" width="7.7109375" style="389" customWidth="1"/>
    <col min="186" max="186" width="4.7109375" style="389" customWidth="1"/>
    <col min="187" max="187" width="7.7109375" style="389" customWidth="1"/>
    <col min="188" max="188" width="4.7109375" style="389" customWidth="1"/>
    <col min="189" max="191" width="7.7109375" style="1243" customWidth="1"/>
    <col min="192" max="192" width="4.7109375" style="1243" customWidth="1"/>
    <col min="193" max="193" width="6.7109375" style="1243" customWidth="1"/>
    <col min="194" max="199" width="8.7109375" style="1243" customWidth="1"/>
    <col min="200" max="200" width="12.5703125" style="1243" customWidth="1"/>
    <col min="201" max="201" width="7.140625" style="1243" customWidth="1"/>
    <col min="202" max="202" width="4.7109375" style="1243" customWidth="1"/>
    <col min="203" max="203" width="6.7109375" style="1243" customWidth="1"/>
    <col min="204" max="210" width="8.7109375" style="1243" customWidth="1"/>
    <col min="211" max="211" width="4.28515625" style="1207" customWidth="1"/>
    <col min="212" max="212" width="7.42578125" style="389" customWidth="1"/>
    <col min="213" max="213" width="24.5703125" style="389" customWidth="1"/>
    <col min="214" max="214" width="8.85546875" style="389" customWidth="1"/>
    <col min="215" max="16384" width="7.42578125" style="389"/>
  </cols>
  <sheetData>
    <row r="1" spans="1:353" s="382" customFormat="1" ht="42" customHeight="1">
      <c r="A1" s="372" t="s">
        <v>247</v>
      </c>
      <c r="B1" s="373"/>
      <c r="C1" s="373"/>
      <c r="D1" s="373"/>
      <c r="E1" s="373"/>
      <c r="F1" s="373"/>
      <c r="G1" s="373"/>
      <c r="H1" s="374"/>
      <c r="I1" s="374"/>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c r="AW1" s="373"/>
      <c r="AX1" s="375" t="s">
        <v>249</v>
      </c>
      <c r="AY1" s="373" t="s">
        <v>548</v>
      </c>
      <c r="AZ1" s="373"/>
      <c r="BA1" s="373"/>
      <c r="BB1" s="376"/>
      <c r="BC1" s="377"/>
      <c r="BD1" s="372" t="s">
        <v>247</v>
      </c>
      <c r="BE1" s="373"/>
      <c r="BF1" s="373"/>
      <c r="BG1" s="373"/>
      <c r="BH1" s="373"/>
      <c r="BI1" s="373"/>
      <c r="BJ1" s="373"/>
      <c r="BK1" s="374"/>
      <c r="BL1" s="374"/>
      <c r="BM1" s="373"/>
      <c r="BN1" s="373"/>
      <c r="BO1" s="373"/>
      <c r="BP1" s="373"/>
      <c r="BQ1" s="373"/>
      <c r="BR1" s="373"/>
      <c r="BS1" s="373"/>
      <c r="BT1" s="373"/>
      <c r="BU1" s="373"/>
      <c r="BV1" s="373"/>
      <c r="BW1" s="373"/>
      <c r="BX1" s="373"/>
      <c r="BY1" s="373"/>
      <c r="BZ1" s="373"/>
      <c r="CA1" s="373"/>
      <c r="CB1" s="373"/>
      <c r="CC1" s="373"/>
      <c r="CD1" s="373"/>
      <c r="CE1" s="373"/>
      <c r="CF1" s="373"/>
      <c r="CG1" s="373"/>
      <c r="CH1" s="373"/>
      <c r="CI1" s="373"/>
      <c r="CJ1" s="373"/>
      <c r="CK1" s="373"/>
      <c r="CL1" s="373"/>
      <c r="CM1" s="373"/>
      <c r="CN1" s="373"/>
      <c r="CO1" s="373"/>
      <c r="CP1" s="373"/>
      <c r="CQ1" s="373"/>
      <c r="CR1" s="373"/>
      <c r="CS1" s="373"/>
      <c r="CT1" s="373"/>
      <c r="CU1" s="373"/>
      <c r="CV1" s="373"/>
      <c r="CW1" s="373"/>
      <c r="CX1" s="373"/>
      <c r="CY1" s="373"/>
      <c r="CZ1" s="373"/>
      <c r="DA1" s="375" t="s">
        <v>249</v>
      </c>
      <c r="DB1" s="373" t="str">
        <f>$AY1</f>
        <v>24時間</v>
      </c>
      <c r="DC1" s="375"/>
      <c r="DD1" s="373"/>
      <c r="DE1" s="376"/>
      <c r="DF1" s="377"/>
      <c r="DG1" s="372" t="s">
        <v>247</v>
      </c>
      <c r="DH1" s="373"/>
      <c r="DI1" s="373"/>
      <c r="DJ1" s="373"/>
      <c r="DK1" s="373"/>
      <c r="DL1" s="373"/>
      <c r="DM1" s="373"/>
      <c r="DN1" s="374"/>
      <c r="DO1" s="374"/>
      <c r="DP1" s="373"/>
      <c r="DQ1" s="373"/>
      <c r="DR1" s="373"/>
      <c r="DS1" s="373"/>
      <c r="DT1" s="373"/>
      <c r="DU1" s="373"/>
      <c r="DV1" s="373"/>
      <c r="DW1" s="373"/>
      <c r="DX1" s="373"/>
      <c r="DY1" s="373"/>
      <c r="DZ1" s="373"/>
      <c r="EA1" s="373"/>
      <c r="EB1" s="373"/>
      <c r="EC1" s="373"/>
      <c r="ED1" s="373"/>
      <c r="EE1" s="373"/>
      <c r="EF1" s="373"/>
      <c r="EG1" s="373"/>
      <c r="EH1" s="373"/>
      <c r="EI1" s="373"/>
      <c r="EJ1" s="373"/>
      <c r="EK1" s="373"/>
      <c r="EL1" s="373"/>
      <c r="EM1" s="373"/>
      <c r="EN1" s="373"/>
      <c r="EO1" s="373"/>
      <c r="EP1" s="373"/>
      <c r="EQ1" s="373"/>
      <c r="ER1" s="373"/>
      <c r="ES1" s="373"/>
      <c r="ET1" s="373"/>
      <c r="EU1" s="373"/>
      <c r="EV1" s="373"/>
      <c r="EW1" s="373"/>
      <c r="EX1" s="373"/>
      <c r="EY1" s="373"/>
      <c r="EZ1" s="373"/>
      <c r="FA1" s="373"/>
      <c r="FB1" s="373"/>
      <c r="FC1" s="373"/>
      <c r="FD1" s="375" t="s">
        <v>249</v>
      </c>
      <c r="FE1" s="373" t="str">
        <f>$AY1</f>
        <v>24時間</v>
      </c>
      <c r="FF1" s="375"/>
      <c r="FG1" s="373"/>
      <c r="FH1" s="376"/>
      <c r="FI1" s="377"/>
      <c r="FJ1" s="372" t="s">
        <v>247</v>
      </c>
      <c r="FK1" s="373"/>
      <c r="FL1" s="373"/>
      <c r="FM1" s="373"/>
      <c r="FN1" s="373"/>
      <c r="FO1" s="373"/>
      <c r="FP1" s="373"/>
      <c r="FQ1" s="374"/>
      <c r="FR1" s="374"/>
      <c r="FS1" s="373"/>
      <c r="FT1" s="373"/>
      <c r="FU1" s="373"/>
      <c r="FV1" s="373"/>
      <c r="FW1" s="373"/>
      <c r="FX1" s="373"/>
      <c r="FY1" s="373"/>
      <c r="FZ1" s="373"/>
      <c r="GA1" s="373"/>
      <c r="GB1" s="373"/>
      <c r="GC1" s="373"/>
      <c r="GD1" s="373"/>
      <c r="GE1" s="373"/>
      <c r="GF1" s="373"/>
      <c r="GG1" s="373"/>
      <c r="GH1" s="373"/>
      <c r="GI1" s="373"/>
      <c r="GJ1" s="373"/>
      <c r="GK1" s="373"/>
      <c r="GL1" s="373"/>
      <c r="GM1" s="373"/>
      <c r="GN1" s="373"/>
      <c r="GO1" s="373"/>
      <c r="GP1" s="373"/>
      <c r="GQ1" s="373"/>
      <c r="GR1" s="373"/>
      <c r="GS1" s="373"/>
      <c r="GT1" s="373"/>
      <c r="GU1" s="375"/>
      <c r="GV1" s="373"/>
      <c r="GW1" s="373"/>
      <c r="GX1" s="373"/>
      <c r="GY1" s="375" t="s">
        <v>448</v>
      </c>
      <c r="GZ1" s="373" t="s">
        <v>335</v>
      </c>
      <c r="HA1" s="373"/>
      <c r="HB1" s="376"/>
      <c r="HC1" s="1469" t="s">
        <v>570</v>
      </c>
      <c r="HD1" s="378"/>
      <c r="HE1" s="379"/>
      <c r="HF1" s="378"/>
      <c r="HG1" s="1467"/>
      <c r="HH1" s="380" t="s">
        <v>250</v>
      </c>
      <c r="HI1" s="381"/>
    </row>
    <row r="2" spans="1:353" ht="20.100000000000001" customHeight="1" thickBot="1">
      <c r="A2" s="383"/>
      <c r="B2" s="383"/>
      <c r="C2" s="383"/>
      <c r="D2" s="383"/>
      <c r="E2" s="383"/>
      <c r="F2" s="383"/>
      <c r="G2" s="383"/>
      <c r="H2" s="383"/>
      <c r="I2" s="383"/>
      <c r="J2" s="383"/>
      <c r="K2" s="383"/>
      <c r="L2" s="383"/>
      <c r="M2" s="383"/>
      <c r="N2" s="383"/>
      <c r="O2" s="383"/>
      <c r="P2" s="383"/>
      <c r="Q2" s="383"/>
      <c r="R2" s="383"/>
      <c r="S2" s="383"/>
      <c r="T2" s="383"/>
      <c r="U2" s="383"/>
      <c r="V2" s="383"/>
      <c r="W2" s="383"/>
      <c r="X2" s="384"/>
      <c r="Y2" s="383"/>
      <c r="Z2" s="383"/>
      <c r="AA2" s="384"/>
      <c r="AB2" s="384"/>
      <c r="AC2" s="384"/>
      <c r="AD2" s="384"/>
      <c r="AE2" s="384"/>
      <c r="AF2" s="384"/>
      <c r="AG2" s="384"/>
      <c r="AH2" s="384"/>
      <c r="AI2" s="384"/>
      <c r="AJ2" s="384"/>
      <c r="AK2" s="384"/>
      <c r="AL2" s="384"/>
      <c r="AM2" s="384"/>
      <c r="AN2" s="384"/>
      <c r="AO2" s="384"/>
      <c r="AP2" s="384"/>
      <c r="AQ2" s="384"/>
      <c r="AR2" s="384"/>
      <c r="AS2" s="384"/>
      <c r="AT2" s="384"/>
      <c r="AU2" s="384"/>
      <c r="AV2" s="384"/>
      <c r="AW2" s="384"/>
      <c r="AX2" s="384"/>
      <c r="AY2" s="384"/>
      <c r="AZ2" s="384"/>
      <c r="BA2" s="384"/>
      <c r="BB2" s="384"/>
      <c r="BC2" s="385"/>
      <c r="BD2" s="383"/>
      <c r="BE2" s="383"/>
      <c r="BF2" s="383"/>
      <c r="BG2" s="383"/>
      <c r="BH2" s="383"/>
      <c r="BI2" s="383"/>
      <c r="BJ2" s="383"/>
      <c r="BK2" s="383"/>
      <c r="BL2" s="383"/>
      <c r="BM2" s="383"/>
      <c r="BN2" s="383"/>
      <c r="BO2" s="383"/>
      <c r="BP2" s="383"/>
      <c r="BQ2" s="383"/>
      <c r="BR2" s="383"/>
      <c r="BS2" s="383"/>
      <c r="BT2" s="383"/>
      <c r="BU2" s="383"/>
      <c r="BV2" s="383"/>
      <c r="BW2" s="383"/>
      <c r="BX2" s="383"/>
      <c r="BY2" s="383"/>
      <c r="BZ2" s="383"/>
      <c r="CA2" s="384"/>
      <c r="CB2" s="383"/>
      <c r="CC2" s="383"/>
      <c r="CD2" s="384"/>
      <c r="CE2" s="384"/>
      <c r="CF2" s="384"/>
      <c r="CG2" s="384"/>
      <c r="CH2" s="384"/>
      <c r="CI2" s="384"/>
      <c r="CJ2" s="384"/>
      <c r="CK2" s="384"/>
      <c r="CL2" s="384"/>
      <c r="CM2" s="384"/>
      <c r="CN2" s="384"/>
      <c r="CO2" s="384"/>
      <c r="CP2" s="384"/>
      <c r="CQ2" s="384"/>
      <c r="CR2" s="384"/>
      <c r="CS2" s="384"/>
      <c r="CT2" s="384"/>
      <c r="CU2" s="384"/>
      <c r="CV2" s="384"/>
      <c r="CW2" s="384"/>
      <c r="CX2" s="384"/>
      <c r="CY2" s="384"/>
      <c r="CZ2" s="384"/>
      <c r="DA2" s="384"/>
      <c r="DB2" s="384"/>
      <c r="DC2" s="384"/>
      <c r="DD2" s="384"/>
      <c r="DE2" s="384"/>
      <c r="DF2" s="386"/>
      <c r="DG2" s="383"/>
      <c r="DH2" s="383"/>
      <c r="DI2" s="383"/>
      <c r="DJ2" s="383"/>
      <c r="DK2" s="383"/>
      <c r="DL2" s="383"/>
      <c r="DM2" s="383"/>
      <c r="DN2" s="383"/>
      <c r="DO2" s="383"/>
      <c r="DP2" s="383"/>
      <c r="DQ2" s="383"/>
      <c r="DR2" s="383"/>
      <c r="DS2" s="383"/>
      <c r="DT2" s="383"/>
      <c r="DU2" s="383"/>
      <c r="DV2" s="383"/>
      <c r="DW2" s="383"/>
      <c r="DX2" s="383"/>
      <c r="DY2" s="383"/>
      <c r="DZ2" s="383"/>
      <c r="EA2" s="383"/>
      <c r="EB2" s="383"/>
      <c r="EC2" s="383"/>
      <c r="ED2" s="384"/>
      <c r="EE2" s="383"/>
      <c r="EF2" s="383"/>
      <c r="EG2" s="384"/>
      <c r="EH2" s="384"/>
      <c r="EI2" s="384"/>
      <c r="EJ2" s="384"/>
      <c r="EK2" s="384"/>
      <c r="EL2" s="384"/>
      <c r="EM2" s="384"/>
      <c r="EN2" s="384"/>
      <c r="EO2" s="384"/>
      <c r="EP2" s="384"/>
      <c r="EQ2" s="384"/>
      <c r="ER2" s="384"/>
      <c r="ES2" s="384"/>
      <c r="ET2" s="384"/>
      <c r="EU2" s="384"/>
      <c r="EV2" s="384"/>
      <c r="EW2" s="384"/>
      <c r="EX2" s="384"/>
      <c r="EY2" s="384"/>
      <c r="EZ2" s="384"/>
      <c r="FA2" s="384"/>
      <c r="FB2" s="384"/>
      <c r="FC2" s="384"/>
      <c r="FD2" s="384"/>
      <c r="FE2" s="384"/>
      <c r="FF2" s="384"/>
      <c r="FG2" s="384"/>
      <c r="FH2" s="384"/>
      <c r="FI2" s="386"/>
      <c r="FJ2" s="383"/>
      <c r="FK2" s="383"/>
      <c r="FL2" s="383"/>
      <c r="FM2" s="383"/>
      <c r="FN2" s="383"/>
      <c r="FO2" s="383"/>
      <c r="FP2" s="383"/>
      <c r="FQ2" s="383"/>
      <c r="FR2" s="383"/>
      <c r="FS2" s="383"/>
      <c r="FT2" s="383"/>
      <c r="FU2" s="383"/>
      <c r="FV2" s="383"/>
      <c r="FW2" s="383"/>
      <c r="FX2" s="383"/>
      <c r="FY2" s="383"/>
      <c r="FZ2" s="383"/>
      <c r="GA2" s="383"/>
      <c r="GB2" s="383"/>
      <c r="GC2" s="383"/>
      <c r="GD2" s="383"/>
      <c r="GE2" s="383"/>
      <c r="GF2" s="383"/>
      <c r="GG2" s="387"/>
      <c r="GH2" s="387"/>
      <c r="GI2" s="387"/>
      <c r="GJ2" s="387"/>
      <c r="GK2" s="387"/>
      <c r="GL2" s="387"/>
      <c r="GM2" s="387"/>
      <c r="GN2" s="387"/>
      <c r="GO2" s="387"/>
      <c r="GP2" s="387"/>
      <c r="GQ2" s="387"/>
      <c r="GR2" s="387"/>
      <c r="GS2" s="387"/>
      <c r="GT2" s="388"/>
      <c r="GU2" s="388"/>
      <c r="GV2" s="387"/>
      <c r="GW2" s="387"/>
      <c r="GX2" s="387"/>
      <c r="GY2" s="387"/>
      <c r="GZ2" s="387"/>
      <c r="HA2" s="387"/>
      <c r="HB2" s="387"/>
      <c r="HC2" s="385"/>
      <c r="HD2" s="383"/>
      <c r="HE2" s="383"/>
      <c r="HF2" s="383"/>
      <c r="HG2" s="383"/>
    </row>
    <row r="3" spans="1:353" ht="20.100000000000001" customHeight="1">
      <c r="A3" s="390" t="s">
        <v>551</v>
      </c>
      <c r="B3" s="391">
        <v>202</v>
      </c>
      <c r="C3" s="392" t="s">
        <v>552</v>
      </c>
      <c r="D3" s="393" t="s">
        <v>553</v>
      </c>
      <c r="E3" s="393"/>
      <c r="F3" s="393"/>
      <c r="G3" s="393"/>
      <c r="H3" s="393"/>
      <c r="I3" s="393"/>
      <c r="J3" s="394"/>
      <c r="K3" s="395" t="s">
        <v>346</v>
      </c>
      <c r="L3" s="396"/>
      <c r="M3" s="395" t="s">
        <v>351</v>
      </c>
      <c r="N3" s="396"/>
      <c r="O3" s="397" t="s">
        <v>771</v>
      </c>
      <c r="P3" s="398"/>
      <c r="Q3" s="398"/>
      <c r="R3" s="398"/>
      <c r="S3" s="398"/>
      <c r="T3" s="398"/>
      <c r="U3" s="398"/>
      <c r="V3" s="399"/>
      <c r="W3" s="400" t="s">
        <v>348</v>
      </c>
      <c r="X3" s="401"/>
      <c r="Y3" s="402"/>
      <c r="Z3" s="403"/>
      <c r="AA3" s="403"/>
      <c r="AB3" s="403"/>
      <c r="AC3" s="403"/>
      <c r="AD3" s="403"/>
      <c r="AE3" s="403"/>
      <c r="AF3" s="403"/>
      <c r="AG3" s="403"/>
      <c r="AH3" s="403"/>
      <c r="AI3" s="403"/>
      <c r="AJ3" s="403"/>
      <c r="AK3" s="403"/>
      <c r="AL3" s="403"/>
      <c r="AM3" s="403"/>
      <c r="AN3" s="403"/>
      <c r="AO3" s="403"/>
      <c r="AP3" s="403"/>
      <c r="AQ3" s="403"/>
      <c r="AR3" s="403"/>
      <c r="AS3" s="403"/>
      <c r="AT3" s="403"/>
      <c r="AU3" s="403"/>
      <c r="AV3" s="403"/>
      <c r="AW3" s="403"/>
      <c r="AX3" s="403"/>
      <c r="AY3" s="403"/>
      <c r="AZ3" s="403"/>
      <c r="BA3" s="403"/>
      <c r="BB3" s="403"/>
      <c r="BC3" s="403"/>
      <c r="BD3" s="390" t="s">
        <v>353</v>
      </c>
      <c r="BE3" s="391">
        <v>202</v>
      </c>
      <c r="BF3" s="392" t="s">
        <v>343</v>
      </c>
      <c r="BG3" s="404" t="s">
        <v>547</v>
      </c>
      <c r="BH3" s="404"/>
      <c r="BI3" s="404"/>
      <c r="BJ3" s="404"/>
      <c r="BK3" s="404"/>
      <c r="BL3" s="404"/>
      <c r="BM3" s="405"/>
      <c r="BN3" s="395" t="s">
        <v>346</v>
      </c>
      <c r="BO3" s="396"/>
      <c r="BP3" s="395" t="s">
        <v>351</v>
      </c>
      <c r="BQ3" s="396"/>
      <c r="BR3" s="397" t="s">
        <v>773</v>
      </c>
      <c r="BS3" s="398"/>
      <c r="BT3" s="398"/>
      <c r="BU3" s="398"/>
      <c r="BV3" s="398"/>
      <c r="BW3" s="398"/>
      <c r="BX3" s="398"/>
      <c r="BY3" s="399"/>
      <c r="BZ3" s="400" t="s">
        <v>352</v>
      </c>
      <c r="CA3" s="401"/>
      <c r="CB3" s="402"/>
      <c r="CC3" s="403"/>
      <c r="CD3" s="403"/>
      <c r="CE3" s="403"/>
      <c r="CF3" s="403"/>
      <c r="CG3" s="403"/>
      <c r="CH3" s="403"/>
      <c r="CI3" s="403"/>
      <c r="CJ3" s="403"/>
      <c r="CK3" s="403"/>
      <c r="CL3" s="403"/>
      <c r="CM3" s="403"/>
      <c r="CN3" s="403"/>
      <c r="CO3" s="403"/>
      <c r="CP3" s="403"/>
      <c r="CQ3" s="403"/>
      <c r="CR3" s="403"/>
      <c r="CS3" s="403"/>
      <c r="CT3" s="403"/>
      <c r="CU3" s="403"/>
      <c r="CV3" s="403"/>
      <c r="CW3" s="403"/>
      <c r="CX3" s="403"/>
      <c r="CY3" s="403"/>
      <c r="CZ3" s="403"/>
      <c r="DA3" s="403"/>
      <c r="DB3" s="403"/>
      <c r="DC3" s="403"/>
      <c r="DD3" s="403"/>
      <c r="DE3" s="403"/>
      <c r="DF3" s="403"/>
      <c r="DG3" s="390" t="s">
        <v>349</v>
      </c>
      <c r="DH3" s="391">
        <v>202</v>
      </c>
      <c r="DI3" s="392" t="s">
        <v>343</v>
      </c>
      <c r="DJ3" s="404" t="s">
        <v>547</v>
      </c>
      <c r="DK3" s="404"/>
      <c r="DL3" s="404"/>
      <c r="DM3" s="404"/>
      <c r="DN3" s="404"/>
      <c r="DO3" s="404"/>
      <c r="DP3" s="405"/>
      <c r="DQ3" s="395" t="s">
        <v>350</v>
      </c>
      <c r="DR3" s="396"/>
      <c r="DS3" s="395" t="s">
        <v>351</v>
      </c>
      <c r="DT3" s="396"/>
      <c r="DU3" s="397" t="s">
        <v>748</v>
      </c>
      <c r="DV3" s="398"/>
      <c r="DW3" s="398"/>
      <c r="DX3" s="398"/>
      <c r="DY3" s="398"/>
      <c r="DZ3" s="398"/>
      <c r="EA3" s="398"/>
      <c r="EB3" s="399"/>
      <c r="EC3" s="400" t="s">
        <v>348</v>
      </c>
      <c r="ED3" s="401"/>
      <c r="EE3" s="402"/>
      <c r="EF3" s="403"/>
      <c r="EG3" s="403"/>
      <c r="EH3" s="403"/>
      <c r="EI3" s="403"/>
      <c r="EJ3" s="403"/>
      <c r="EK3" s="403"/>
      <c r="EL3" s="403"/>
      <c r="EM3" s="403"/>
      <c r="EN3" s="403"/>
      <c r="EO3" s="403"/>
      <c r="EP3" s="403"/>
      <c r="EQ3" s="403"/>
      <c r="ER3" s="403"/>
      <c r="ES3" s="403"/>
      <c r="ET3" s="403"/>
      <c r="EU3" s="403"/>
      <c r="EV3" s="403"/>
      <c r="EW3" s="403"/>
      <c r="EX3" s="403"/>
      <c r="EY3" s="403"/>
      <c r="EZ3" s="403"/>
      <c r="FA3" s="403"/>
      <c r="FB3" s="403"/>
      <c r="FC3" s="403"/>
      <c r="FD3" s="403"/>
      <c r="FE3" s="403"/>
      <c r="FF3" s="403"/>
      <c r="FG3" s="403"/>
      <c r="FH3" s="403"/>
      <c r="FI3" s="403"/>
      <c r="FJ3" s="390" t="s">
        <v>353</v>
      </c>
      <c r="FK3" s="391">
        <v>202</v>
      </c>
      <c r="FL3" s="392" t="s">
        <v>343</v>
      </c>
      <c r="FM3" s="404" t="s">
        <v>547</v>
      </c>
      <c r="FN3" s="404"/>
      <c r="FO3" s="404"/>
      <c r="FP3" s="404"/>
      <c r="FQ3" s="404"/>
      <c r="FR3" s="404"/>
      <c r="FS3" s="405"/>
      <c r="FT3" s="395" t="s">
        <v>346</v>
      </c>
      <c r="FU3" s="396"/>
      <c r="FV3" s="395" t="s">
        <v>354</v>
      </c>
      <c r="FW3" s="396"/>
      <c r="FX3" s="397" t="s">
        <v>754</v>
      </c>
      <c r="FY3" s="398"/>
      <c r="FZ3" s="398"/>
      <c r="GA3" s="398"/>
      <c r="GB3" s="398"/>
      <c r="GC3" s="398"/>
      <c r="GD3" s="398"/>
      <c r="GE3" s="399"/>
      <c r="GF3" s="400" t="s">
        <v>352</v>
      </c>
      <c r="GG3" s="401"/>
      <c r="GH3" s="402"/>
      <c r="GI3" s="406"/>
      <c r="GJ3" s="407" t="s">
        <v>450</v>
      </c>
      <c r="GK3" s="408"/>
      <c r="GL3" s="408"/>
      <c r="GM3" s="408"/>
      <c r="GN3" s="408"/>
      <c r="GO3" s="408"/>
      <c r="GP3" s="408"/>
      <c r="GQ3" s="408"/>
      <c r="GR3" s="409"/>
      <c r="GS3" s="410"/>
      <c r="GT3" s="407" t="s">
        <v>571</v>
      </c>
      <c r="GU3" s="408"/>
      <c r="GV3" s="408"/>
      <c r="GW3" s="408"/>
      <c r="GX3" s="408"/>
      <c r="GY3" s="408"/>
      <c r="GZ3" s="408"/>
      <c r="HA3" s="408"/>
      <c r="HB3" s="409"/>
      <c r="HC3" s="411"/>
      <c r="HD3" s="434"/>
      <c r="HE3" s="413"/>
      <c r="HF3" s="413"/>
      <c r="HG3" s="383"/>
    </row>
    <row r="4" spans="1:353" ht="20.100000000000001" customHeight="1">
      <c r="A4" s="414"/>
      <c r="B4" s="415"/>
      <c r="C4" s="416"/>
      <c r="D4" s="417"/>
      <c r="E4" s="417"/>
      <c r="F4" s="417"/>
      <c r="G4" s="417"/>
      <c r="H4" s="417"/>
      <c r="I4" s="417"/>
      <c r="J4" s="418"/>
      <c r="K4" s="419"/>
      <c r="L4" s="420"/>
      <c r="M4" s="419"/>
      <c r="N4" s="420"/>
      <c r="O4" s="421" t="s">
        <v>360</v>
      </c>
      <c r="P4" s="422"/>
      <c r="Q4" s="423" t="s">
        <v>356</v>
      </c>
      <c r="R4" s="422"/>
      <c r="S4" s="424" t="s">
        <v>357</v>
      </c>
      <c r="T4" s="425"/>
      <c r="U4" s="426" t="s">
        <v>358</v>
      </c>
      <c r="V4" s="427"/>
      <c r="W4" s="428" t="s">
        <v>359</v>
      </c>
      <c r="X4" s="429"/>
      <c r="Y4" s="430"/>
      <c r="Z4" s="403"/>
      <c r="AA4" s="403"/>
      <c r="AB4" s="403"/>
      <c r="AC4" s="403"/>
      <c r="AD4" s="403"/>
      <c r="AE4" s="403"/>
      <c r="AF4" s="403"/>
      <c r="AG4" s="403"/>
      <c r="AH4" s="403"/>
      <c r="AI4" s="403"/>
      <c r="AJ4" s="403"/>
      <c r="AK4" s="403"/>
      <c r="AL4" s="403"/>
      <c r="AM4" s="403"/>
      <c r="AN4" s="403"/>
      <c r="AO4" s="403"/>
      <c r="AP4" s="403"/>
      <c r="AQ4" s="403"/>
      <c r="AR4" s="403"/>
      <c r="AS4" s="403"/>
      <c r="AT4" s="403"/>
      <c r="AU4" s="403"/>
      <c r="AV4" s="403"/>
      <c r="AW4" s="403"/>
      <c r="AX4" s="403"/>
      <c r="AY4" s="403"/>
      <c r="AZ4" s="403"/>
      <c r="BA4" s="403"/>
      <c r="BB4" s="403"/>
      <c r="BC4" s="403"/>
      <c r="BD4" s="414"/>
      <c r="BE4" s="415"/>
      <c r="BF4" s="416"/>
      <c r="BG4" s="431"/>
      <c r="BH4" s="431"/>
      <c r="BI4" s="431"/>
      <c r="BJ4" s="431"/>
      <c r="BK4" s="431"/>
      <c r="BL4" s="431"/>
      <c r="BM4" s="432"/>
      <c r="BN4" s="419"/>
      <c r="BO4" s="420"/>
      <c r="BP4" s="419"/>
      <c r="BQ4" s="420"/>
      <c r="BR4" s="421" t="s">
        <v>355</v>
      </c>
      <c r="BS4" s="422"/>
      <c r="BT4" s="423" t="s">
        <v>356</v>
      </c>
      <c r="BU4" s="422"/>
      <c r="BV4" s="424" t="s">
        <v>361</v>
      </c>
      <c r="BW4" s="425"/>
      <c r="BX4" s="426" t="s">
        <v>358</v>
      </c>
      <c r="BY4" s="427"/>
      <c r="BZ4" s="428" t="s">
        <v>554</v>
      </c>
      <c r="CA4" s="429"/>
      <c r="CB4" s="430"/>
      <c r="CC4" s="403"/>
      <c r="CD4" s="403"/>
      <c r="CE4" s="403"/>
      <c r="CF4" s="403"/>
      <c r="CG4" s="403"/>
      <c r="CH4" s="403"/>
      <c r="CI4" s="403"/>
      <c r="CJ4" s="403"/>
      <c r="CK4" s="403"/>
      <c r="CL4" s="403"/>
      <c r="CM4" s="403"/>
      <c r="CN4" s="403"/>
      <c r="CO4" s="403"/>
      <c r="CP4" s="403"/>
      <c r="CQ4" s="403"/>
      <c r="CR4" s="403"/>
      <c r="CS4" s="403"/>
      <c r="CT4" s="403"/>
      <c r="CU4" s="403"/>
      <c r="CV4" s="403"/>
      <c r="CW4" s="403"/>
      <c r="CX4" s="403"/>
      <c r="CY4" s="403"/>
      <c r="CZ4" s="403"/>
      <c r="DA4" s="403"/>
      <c r="DB4" s="403"/>
      <c r="DC4" s="403"/>
      <c r="DD4" s="403"/>
      <c r="DE4" s="403"/>
      <c r="DF4" s="403"/>
      <c r="DG4" s="414"/>
      <c r="DH4" s="415"/>
      <c r="DI4" s="416"/>
      <c r="DJ4" s="431"/>
      <c r="DK4" s="431"/>
      <c r="DL4" s="431"/>
      <c r="DM4" s="431"/>
      <c r="DN4" s="431"/>
      <c r="DO4" s="431"/>
      <c r="DP4" s="432"/>
      <c r="DQ4" s="419"/>
      <c r="DR4" s="420"/>
      <c r="DS4" s="419"/>
      <c r="DT4" s="420"/>
      <c r="DU4" s="421" t="s">
        <v>360</v>
      </c>
      <c r="DV4" s="422"/>
      <c r="DW4" s="423" t="s">
        <v>527</v>
      </c>
      <c r="DX4" s="422"/>
      <c r="DY4" s="424" t="s">
        <v>357</v>
      </c>
      <c r="DZ4" s="425"/>
      <c r="EA4" s="426" t="s">
        <v>362</v>
      </c>
      <c r="EB4" s="427"/>
      <c r="EC4" s="428" t="s">
        <v>554</v>
      </c>
      <c r="ED4" s="429"/>
      <c r="EE4" s="430"/>
      <c r="EF4" s="403"/>
      <c r="EG4" s="403"/>
      <c r="EH4" s="403"/>
      <c r="EI4" s="403"/>
      <c r="EJ4" s="403"/>
      <c r="EK4" s="403"/>
      <c r="EL4" s="403"/>
      <c r="EM4" s="403"/>
      <c r="EN4" s="403"/>
      <c r="EO4" s="403"/>
      <c r="EP4" s="403"/>
      <c r="EQ4" s="403"/>
      <c r="ER4" s="403"/>
      <c r="ES4" s="403"/>
      <c r="ET4" s="403"/>
      <c r="EU4" s="403"/>
      <c r="EV4" s="403"/>
      <c r="EW4" s="403"/>
      <c r="EX4" s="403"/>
      <c r="EY4" s="403"/>
      <c r="EZ4" s="403"/>
      <c r="FA4" s="403"/>
      <c r="FB4" s="403"/>
      <c r="FC4" s="403"/>
      <c r="FD4" s="403"/>
      <c r="FE4" s="403"/>
      <c r="FF4" s="403"/>
      <c r="FG4" s="403"/>
      <c r="FH4" s="403"/>
      <c r="FI4" s="403"/>
      <c r="FJ4" s="414"/>
      <c r="FK4" s="415"/>
      <c r="FL4" s="416"/>
      <c r="FM4" s="431"/>
      <c r="FN4" s="431"/>
      <c r="FO4" s="431"/>
      <c r="FP4" s="431"/>
      <c r="FQ4" s="431"/>
      <c r="FR4" s="431"/>
      <c r="FS4" s="432"/>
      <c r="FT4" s="419"/>
      <c r="FU4" s="420"/>
      <c r="FV4" s="419"/>
      <c r="FW4" s="420"/>
      <c r="FX4" s="421" t="s">
        <v>360</v>
      </c>
      <c r="FY4" s="422"/>
      <c r="FZ4" s="423" t="s">
        <v>356</v>
      </c>
      <c r="GA4" s="422"/>
      <c r="GB4" s="424" t="s">
        <v>357</v>
      </c>
      <c r="GC4" s="425"/>
      <c r="GD4" s="426" t="s">
        <v>362</v>
      </c>
      <c r="GE4" s="427"/>
      <c r="GF4" s="428" t="s">
        <v>333</v>
      </c>
      <c r="GG4" s="429"/>
      <c r="GH4" s="430"/>
      <c r="GI4" s="406"/>
      <c r="GJ4" s="433"/>
      <c r="GK4" s="433"/>
      <c r="GL4" s="433"/>
      <c r="GM4" s="433"/>
      <c r="GN4" s="433"/>
      <c r="GO4" s="433"/>
      <c r="GP4" s="433"/>
      <c r="GQ4" s="433"/>
      <c r="GR4" s="433"/>
      <c r="GS4" s="410"/>
      <c r="GT4" s="433"/>
      <c r="GU4" s="433"/>
      <c r="GV4" s="433"/>
      <c r="GW4" s="433"/>
      <c r="GX4" s="433"/>
      <c r="GY4" s="433"/>
      <c r="GZ4" s="433"/>
      <c r="HA4" s="433"/>
      <c r="HB4" s="433"/>
      <c r="HC4" s="1470"/>
      <c r="HD4" s="434"/>
      <c r="HE4" s="434"/>
      <c r="HF4" s="497"/>
      <c r="HG4" s="383"/>
      <c r="MO4" s="389" t="s">
        <v>333</v>
      </c>
    </row>
    <row r="5" spans="1:353" ht="24.95" customHeight="1" thickBot="1">
      <c r="A5" s="435" t="s">
        <v>368</v>
      </c>
      <c r="B5" s="436">
        <v>2</v>
      </c>
      <c r="C5" s="437" t="s">
        <v>555</v>
      </c>
      <c r="D5" s="438">
        <v>91</v>
      </c>
      <c r="E5" s="439" t="s">
        <v>369</v>
      </c>
      <c r="F5" s="440">
        <v>3</v>
      </c>
      <c r="G5" s="441" t="s">
        <v>367</v>
      </c>
      <c r="H5" s="442"/>
      <c r="I5" s="443">
        <v>273</v>
      </c>
      <c r="J5" s="444"/>
      <c r="K5" s="445">
        <v>2730</v>
      </c>
      <c r="L5" s="446"/>
      <c r="M5" s="445">
        <v>90</v>
      </c>
      <c r="N5" s="446"/>
      <c r="O5" s="1463" t="s">
        <v>767</v>
      </c>
      <c r="P5" s="447"/>
      <c r="Q5" s="1464" t="s">
        <v>768</v>
      </c>
      <c r="R5" s="448"/>
      <c r="S5" s="1465" t="s">
        <v>769</v>
      </c>
      <c r="T5" s="449"/>
      <c r="U5" s="1466" t="s">
        <v>770</v>
      </c>
      <c r="V5" s="450"/>
      <c r="W5" s="451"/>
      <c r="X5" s="452"/>
      <c r="Y5" s="453"/>
      <c r="Z5" s="411"/>
      <c r="AA5" s="454"/>
      <c r="AB5" s="411"/>
      <c r="AC5" s="454"/>
      <c r="AD5" s="411"/>
      <c r="AE5" s="454"/>
      <c r="AF5" s="411"/>
      <c r="AG5" s="454"/>
      <c r="AH5" s="411"/>
      <c r="AI5" s="454"/>
      <c r="AJ5" s="411"/>
      <c r="AK5" s="454"/>
      <c r="AL5" s="411"/>
      <c r="AM5" s="454"/>
      <c r="AN5" s="411"/>
      <c r="AO5" s="454"/>
      <c r="AP5" s="411"/>
      <c r="AQ5" s="454"/>
      <c r="AR5" s="411"/>
      <c r="AS5" s="454"/>
      <c r="AT5" s="411"/>
      <c r="AU5" s="454"/>
      <c r="AV5" s="411"/>
      <c r="AW5" s="454"/>
      <c r="AX5" s="411"/>
      <c r="AY5" s="454"/>
      <c r="AZ5" s="411"/>
      <c r="BA5" s="454"/>
      <c r="BB5" s="411"/>
      <c r="BC5" s="411"/>
      <c r="BD5" s="435" t="s">
        <v>364</v>
      </c>
      <c r="BE5" s="436">
        <v>2</v>
      </c>
      <c r="BF5" s="437" t="s">
        <v>251</v>
      </c>
      <c r="BG5" s="438">
        <v>91</v>
      </c>
      <c r="BH5" s="439" t="s">
        <v>369</v>
      </c>
      <c r="BI5" s="440">
        <v>3</v>
      </c>
      <c r="BJ5" s="441" t="s">
        <v>556</v>
      </c>
      <c r="BK5" s="442"/>
      <c r="BL5" s="443">
        <v>273</v>
      </c>
      <c r="BM5" s="444"/>
      <c r="BN5" s="445">
        <v>2730</v>
      </c>
      <c r="BO5" s="446"/>
      <c r="BP5" s="445">
        <v>90</v>
      </c>
      <c r="BQ5" s="446"/>
      <c r="BR5" s="1463" t="s">
        <v>772</v>
      </c>
      <c r="BS5" s="447"/>
      <c r="BT5" s="1464" t="s">
        <v>751</v>
      </c>
      <c r="BU5" s="448"/>
      <c r="BV5" s="1465" t="s">
        <v>746</v>
      </c>
      <c r="BW5" s="449"/>
      <c r="BX5" s="1466" t="s">
        <v>747</v>
      </c>
      <c r="BY5" s="450"/>
      <c r="BZ5" s="451"/>
      <c r="CA5" s="452"/>
      <c r="CB5" s="453"/>
      <c r="CC5" s="411"/>
      <c r="CD5" s="454"/>
      <c r="CE5" s="411"/>
      <c r="CF5" s="454"/>
      <c r="CG5" s="411"/>
      <c r="CH5" s="454"/>
      <c r="CI5" s="411"/>
      <c r="CJ5" s="454"/>
      <c r="CK5" s="411"/>
      <c r="CL5" s="454"/>
      <c r="CM5" s="411"/>
      <c r="CN5" s="454"/>
      <c r="CO5" s="411"/>
      <c r="CP5" s="454"/>
      <c r="CQ5" s="411"/>
      <c r="CR5" s="454"/>
      <c r="CS5" s="411"/>
      <c r="CT5" s="454"/>
      <c r="CU5" s="411"/>
      <c r="CV5" s="454"/>
      <c r="CW5" s="411"/>
      <c r="CX5" s="454"/>
      <c r="CY5" s="411"/>
      <c r="CZ5" s="454"/>
      <c r="DA5" s="411"/>
      <c r="DB5" s="454"/>
      <c r="DC5" s="411"/>
      <c r="DD5" s="454"/>
      <c r="DE5" s="411"/>
      <c r="DF5" s="411"/>
      <c r="DG5" s="435" t="s">
        <v>364</v>
      </c>
      <c r="DH5" s="436">
        <v>2</v>
      </c>
      <c r="DI5" s="437" t="s">
        <v>251</v>
      </c>
      <c r="DJ5" s="438">
        <v>91</v>
      </c>
      <c r="DK5" s="439" t="s">
        <v>366</v>
      </c>
      <c r="DL5" s="440">
        <v>3</v>
      </c>
      <c r="DM5" s="441" t="s">
        <v>367</v>
      </c>
      <c r="DN5" s="442"/>
      <c r="DO5" s="443">
        <v>273</v>
      </c>
      <c r="DP5" s="444"/>
      <c r="DQ5" s="445">
        <v>2730</v>
      </c>
      <c r="DR5" s="446"/>
      <c r="DS5" s="445">
        <v>90</v>
      </c>
      <c r="DT5" s="446"/>
      <c r="DU5" s="1463" t="s">
        <v>772</v>
      </c>
      <c r="DV5" s="447"/>
      <c r="DW5" s="1464" t="s">
        <v>751</v>
      </c>
      <c r="DX5" s="448"/>
      <c r="DY5" s="1465" t="s">
        <v>746</v>
      </c>
      <c r="DZ5" s="449"/>
      <c r="EA5" s="1466" t="s">
        <v>747</v>
      </c>
      <c r="EB5" s="450"/>
      <c r="EC5" s="451"/>
      <c r="ED5" s="452"/>
      <c r="EE5" s="453"/>
      <c r="EF5" s="411"/>
      <c r="EG5" s="454"/>
      <c r="EH5" s="411"/>
      <c r="EI5" s="454"/>
      <c r="EJ5" s="411"/>
      <c r="EK5" s="454"/>
      <c r="EL5" s="411"/>
      <c r="EM5" s="454"/>
      <c r="EN5" s="411"/>
      <c r="EO5" s="454"/>
      <c r="EP5" s="411"/>
      <c r="EQ5" s="454"/>
      <c r="ER5" s="411"/>
      <c r="ES5" s="454"/>
      <c r="ET5" s="411"/>
      <c r="EU5" s="454"/>
      <c r="EV5" s="411"/>
      <c r="EW5" s="454"/>
      <c r="EX5" s="411"/>
      <c r="EY5" s="454"/>
      <c r="EZ5" s="411"/>
      <c r="FA5" s="454"/>
      <c r="FB5" s="411"/>
      <c r="FC5" s="454"/>
      <c r="FD5" s="411"/>
      <c r="FE5" s="454"/>
      <c r="FF5" s="411"/>
      <c r="FG5" s="454"/>
      <c r="FH5" s="411"/>
      <c r="FI5" s="411"/>
      <c r="FJ5" s="435" t="s">
        <v>364</v>
      </c>
      <c r="FK5" s="436">
        <v>2</v>
      </c>
      <c r="FL5" s="437" t="s">
        <v>251</v>
      </c>
      <c r="FM5" s="438">
        <v>91</v>
      </c>
      <c r="FN5" s="439" t="s">
        <v>369</v>
      </c>
      <c r="FO5" s="440">
        <v>3</v>
      </c>
      <c r="FP5" s="441" t="s">
        <v>556</v>
      </c>
      <c r="FQ5" s="442"/>
      <c r="FR5" s="443">
        <v>273</v>
      </c>
      <c r="FS5" s="444"/>
      <c r="FT5" s="445">
        <v>2730</v>
      </c>
      <c r="FU5" s="446"/>
      <c r="FV5" s="445">
        <v>90</v>
      </c>
      <c r="FW5" s="446"/>
      <c r="FX5" s="1463" t="s">
        <v>744</v>
      </c>
      <c r="FY5" s="447"/>
      <c r="FZ5" s="1464" t="s">
        <v>774</v>
      </c>
      <c r="GA5" s="448"/>
      <c r="GB5" s="1465" t="s">
        <v>775</v>
      </c>
      <c r="GC5" s="449"/>
      <c r="GD5" s="1466" t="s">
        <v>770</v>
      </c>
      <c r="GE5" s="450"/>
      <c r="GF5" s="451"/>
      <c r="GG5" s="452"/>
      <c r="GH5" s="453"/>
      <c r="GI5" s="455"/>
      <c r="GJ5" s="406"/>
      <c r="GK5" s="456" t="s">
        <v>572</v>
      </c>
      <c r="GL5" s="456"/>
      <c r="GM5" s="456"/>
      <c r="GN5" s="406" t="s">
        <v>455</v>
      </c>
      <c r="GO5" s="457"/>
      <c r="GP5" s="457"/>
      <c r="GQ5" s="457"/>
      <c r="GR5" s="406"/>
      <c r="GS5" s="406"/>
      <c r="GT5" s="410"/>
      <c r="GU5" s="456" t="s">
        <v>454</v>
      </c>
      <c r="GV5" s="456"/>
      <c r="GW5" s="456"/>
      <c r="GX5" s="406" t="s">
        <v>455</v>
      </c>
      <c r="GY5" s="457"/>
      <c r="GZ5" s="457"/>
      <c r="HA5" s="457"/>
      <c r="HB5" s="406"/>
      <c r="HC5" s="458"/>
      <c r="HD5" s="434"/>
      <c r="HE5" s="434"/>
      <c r="HF5" s="497"/>
      <c r="HG5" s="383"/>
    </row>
    <row r="6" spans="1:353" ht="20.100000000000001" customHeight="1" thickBot="1">
      <c r="A6" s="459" t="s">
        <v>557</v>
      </c>
      <c r="B6" s="460"/>
      <c r="C6" s="461" t="s">
        <v>371</v>
      </c>
      <c r="D6" s="461"/>
      <c r="E6" s="461"/>
      <c r="F6" s="462">
        <v>0</v>
      </c>
      <c r="G6" s="462"/>
      <c r="H6" s="461" t="s">
        <v>372</v>
      </c>
      <c r="I6" s="461"/>
      <c r="J6" s="461"/>
      <c r="K6" s="461"/>
      <c r="L6" s="461"/>
      <c r="M6" s="463">
        <v>0</v>
      </c>
      <c r="N6" s="463"/>
      <c r="O6" s="464"/>
      <c r="P6" s="465"/>
      <c r="Q6" s="465" t="s">
        <v>558</v>
      </c>
      <c r="R6" s="466">
        <v>0</v>
      </c>
      <c r="S6" s="466"/>
      <c r="T6" s="467"/>
      <c r="U6" s="468" t="s">
        <v>559</v>
      </c>
      <c r="V6" s="469">
        <v>0</v>
      </c>
      <c r="W6" s="469"/>
      <c r="X6" s="470"/>
      <c r="Y6" s="465"/>
      <c r="Z6" s="465"/>
      <c r="AA6" s="465"/>
      <c r="AB6" s="463"/>
      <c r="AC6" s="463"/>
      <c r="AD6" s="465"/>
      <c r="AE6" s="464"/>
      <c r="AF6" s="460"/>
      <c r="AG6" s="465"/>
      <c r="AH6" s="465"/>
      <c r="AI6" s="470"/>
      <c r="AJ6" s="465"/>
      <c r="AK6" s="470"/>
      <c r="AL6" s="465"/>
      <c r="AM6" s="470"/>
      <c r="AN6" s="465"/>
      <c r="AO6" s="470"/>
      <c r="AP6" s="465"/>
      <c r="AQ6" s="470"/>
      <c r="AR6" s="465"/>
      <c r="AS6" s="470"/>
      <c r="AT6" s="465"/>
      <c r="AU6" s="470"/>
      <c r="AV6" s="465"/>
      <c r="AW6" s="470"/>
      <c r="AX6" s="471"/>
      <c r="AY6" s="470"/>
      <c r="AZ6" s="465"/>
      <c r="BA6" s="470"/>
      <c r="BB6" s="37" t="s">
        <v>376</v>
      </c>
      <c r="BC6" s="472"/>
      <c r="BD6" s="459" t="s">
        <v>377</v>
      </c>
      <c r="BE6" s="460"/>
      <c r="BF6" s="461" t="s">
        <v>371</v>
      </c>
      <c r="BG6" s="461"/>
      <c r="BH6" s="461"/>
      <c r="BI6" s="462">
        <v>0</v>
      </c>
      <c r="BJ6" s="462"/>
      <c r="BK6" s="461" t="s">
        <v>372</v>
      </c>
      <c r="BL6" s="461"/>
      <c r="BM6" s="461"/>
      <c r="BN6" s="461"/>
      <c r="BO6" s="461"/>
      <c r="BP6" s="463">
        <v>0</v>
      </c>
      <c r="BQ6" s="463"/>
      <c r="BR6" s="464"/>
      <c r="BS6" s="465"/>
      <c r="BT6" s="465" t="s">
        <v>252</v>
      </c>
      <c r="BU6" s="466">
        <v>0</v>
      </c>
      <c r="BV6" s="466"/>
      <c r="BW6" s="467"/>
      <c r="BX6" s="468" t="s">
        <v>253</v>
      </c>
      <c r="BY6" s="469">
        <v>0</v>
      </c>
      <c r="BZ6" s="469"/>
      <c r="CA6" s="470"/>
      <c r="CB6" s="465"/>
      <c r="CC6" s="465"/>
      <c r="CD6" s="470"/>
      <c r="CE6" s="463"/>
      <c r="CF6" s="463"/>
      <c r="CG6" s="465"/>
      <c r="CH6" s="464"/>
      <c r="CI6" s="460"/>
      <c r="CJ6" s="465"/>
      <c r="CK6" s="465"/>
      <c r="CL6" s="470"/>
      <c r="CM6" s="465"/>
      <c r="CN6" s="470"/>
      <c r="CO6" s="465"/>
      <c r="CP6" s="470"/>
      <c r="CQ6" s="465"/>
      <c r="CR6" s="470"/>
      <c r="CS6" s="465"/>
      <c r="CT6" s="470"/>
      <c r="CU6" s="465"/>
      <c r="CV6" s="470"/>
      <c r="CW6" s="465"/>
      <c r="CX6" s="470"/>
      <c r="CY6" s="465"/>
      <c r="CZ6" s="470"/>
      <c r="DA6" s="465"/>
      <c r="DB6" s="470"/>
      <c r="DC6" s="465"/>
      <c r="DD6" s="470"/>
      <c r="DE6" s="473" t="s">
        <v>35</v>
      </c>
      <c r="DF6" s="474"/>
      <c r="DG6" s="459" t="s">
        <v>377</v>
      </c>
      <c r="DH6" s="460"/>
      <c r="DI6" s="461" t="s">
        <v>371</v>
      </c>
      <c r="DJ6" s="461"/>
      <c r="DK6" s="461"/>
      <c r="DL6" s="462">
        <v>0</v>
      </c>
      <c r="DM6" s="462"/>
      <c r="DN6" s="461" t="s">
        <v>372</v>
      </c>
      <c r="DO6" s="461"/>
      <c r="DP6" s="461"/>
      <c r="DQ6" s="461"/>
      <c r="DR6" s="461"/>
      <c r="DS6" s="463">
        <v>0</v>
      </c>
      <c r="DT6" s="463"/>
      <c r="DU6" s="464"/>
      <c r="DV6" s="465"/>
      <c r="DW6" s="465" t="s">
        <v>252</v>
      </c>
      <c r="DX6" s="466">
        <v>0</v>
      </c>
      <c r="DY6" s="466"/>
      <c r="DZ6" s="467"/>
      <c r="EA6" s="468" t="s">
        <v>253</v>
      </c>
      <c r="EB6" s="469">
        <v>0</v>
      </c>
      <c r="EC6" s="469"/>
      <c r="ED6" s="470"/>
      <c r="EE6" s="465"/>
      <c r="EF6" s="470"/>
      <c r="EG6" s="465"/>
      <c r="EH6" s="460"/>
      <c r="EI6" s="470"/>
      <c r="EJ6" s="465"/>
      <c r="EK6" s="464"/>
      <c r="EL6" s="460"/>
      <c r="EM6" s="465"/>
      <c r="EN6" s="465"/>
      <c r="EO6" s="470"/>
      <c r="EP6" s="465"/>
      <c r="EQ6" s="470"/>
      <c r="ER6" s="465"/>
      <c r="ES6" s="470"/>
      <c r="ET6" s="465"/>
      <c r="EU6" s="470"/>
      <c r="EV6" s="465"/>
      <c r="EW6" s="470"/>
      <c r="EX6" s="465"/>
      <c r="EY6" s="470"/>
      <c r="EZ6" s="465"/>
      <c r="FA6" s="470"/>
      <c r="FB6" s="465"/>
      <c r="FC6" s="470"/>
      <c r="FD6" s="465"/>
      <c r="FE6" s="470"/>
      <c r="FF6" s="465"/>
      <c r="FG6" s="470"/>
      <c r="FH6" s="475" t="s">
        <v>36</v>
      </c>
      <c r="FI6" s="474"/>
      <c r="FJ6" s="459" t="s">
        <v>560</v>
      </c>
      <c r="FK6" s="460"/>
      <c r="FL6" s="461" t="s">
        <v>371</v>
      </c>
      <c r="FM6" s="461"/>
      <c r="FN6" s="461"/>
      <c r="FO6" s="462">
        <v>0</v>
      </c>
      <c r="FP6" s="462"/>
      <c r="FQ6" s="461" t="s">
        <v>372</v>
      </c>
      <c r="FR6" s="461"/>
      <c r="FS6" s="461"/>
      <c r="FT6" s="461"/>
      <c r="FU6" s="461"/>
      <c r="FV6" s="463">
        <v>0</v>
      </c>
      <c r="FW6" s="463"/>
      <c r="FX6" s="464"/>
      <c r="FY6" s="465"/>
      <c r="FZ6" s="465" t="s">
        <v>561</v>
      </c>
      <c r="GA6" s="466">
        <v>0</v>
      </c>
      <c r="GB6" s="466"/>
      <c r="GC6" s="467"/>
      <c r="GD6" s="468" t="s">
        <v>562</v>
      </c>
      <c r="GE6" s="469">
        <v>0</v>
      </c>
      <c r="GF6" s="469"/>
      <c r="GG6" s="470"/>
      <c r="GH6" s="465"/>
      <c r="GI6" s="465"/>
      <c r="GJ6" s="476"/>
      <c r="GK6" s="477" t="s">
        <v>573</v>
      </c>
      <c r="GL6" s="477"/>
      <c r="GM6" s="477"/>
      <c r="GN6" s="478">
        <v>2</v>
      </c>
      <c r="GO6" s="479"/>
      <c r="GP6" s="479"/>
      <c r="GQ6" s="479"/>
      <c r="GR6" s="476"/>
      <c r="GS6" s="476"/>
      <c r="GT6" s="410"/>
      <c r="GU6" s="477" t="s">
        <v>574</v>
      </c>
      <c r="GV6" s="477"/>
      <c r="GW6" s="477"/>
      <c r="GX6" s="478">
        <v>2</v>
      </c>
      <c r="GY6" s="410"/>
      <c r="GZ6" s="410"/>
      <c r="HA6" s="479"/>
      <c r="HB6" s="479"/>
      <c r="HC6" s="480"/>
      <c r="HD6" s="434"/>
      <c r="HE6" s="434"/>
      <c r="HF6" s="497"/>
      <c r="HG6" s="383"/>
    </row>
    <row r="7" spans="1:353" ht="20.100000000000001" customHeight="1">
      <c r="A7" s="481" t="s">
        <v>254</v>
      </c>
      <c r="B7" s="482"/>
      <c r="C7" s="482"/>
      <c r="D7" s="482"/>
      <c r="E7" s="482"/>
      <c r="F7" s="483"/>
      <c r="G7" s="484" t="s">
        <v>255</v>
      </c>
      <c r="H7" s="485"/>
      <c r="I7" s="485"/>
      <c r="J7" s="485"/>
      <c r="K7" s="485"/>
      <c r="L7" s="485"/>
      <c r="M7" s="485"/>
      <c r="N7" s="485"/>
      <c r="O7" s="485"/>
      <c r="P7" s="485"/>
      <c r="Q7" s="485"/>
      <c r="R7" s="485"/>
      <c r="S7" s="485"/>
      <c r="T7" s="485"/>
      <c r="U7" s="485"/>
      <c r="V7" s="485"/>
      <c r="W7" s="485"/>
      <c r="X7" s="485"/>
      <c r="Y7" s="485"/>
      <c r="Z7" s="485"/>
      <c r="AA7" s="485"/>
      <c r="AB7" s="485"/>
      <c r="AC7" s="485"/>
      <c r="AD7" s="485"/>
      <c r="AE7" s="485"/>
      <c r="AF7" s="485"/>
      <c r="AG7" s="485"/>
      <c r="AH7" s="485"/>
      <c r="AI7" s="485"/>
      <c r="AJ7" s="485"/>
      <c r="AK7" s="485"/>
      <c r="AL7" s="485"/>
      <c r="AM7" s="485"/>
      <c r="AN7" s="485"/>
      <c r="AO7" s="485"/>
      <c r="AP7" s="485"/>
      <c r="AQ7" s="485"/>
      <c r="AR7" s="485"/>
      <c r="AS7" s="485"/>
      <c r="AT7" s="485"/>
      <c r="AU7" s="485"/>
      <c r="AV7" s="485"/>
      <c r="AW7" s="485"/>
      <c r="AX7" s="485"/>
      <c r="AY7" s="485"/>
      <c r="AZ7" s="485"/>
      <c r="BA7" s="485"/>
      <c r="BB7" s="486"/>
      <c r="BC7" s="458"/>
      <c r="BD7" s="481" t="s">
        <v>254</v>
      </c>
      <c r="BE7" s="482"/>
      <c r="BF7" s="482"/>
      <c r="BG7" s="482"/>
      <c r="BH7" s="482"/>
      <c r="BI7" s="483"/>
      <c r="BJ7" s="484" t="s">
        <v>256</v>
      </c>
      <c r="BK7" s="485"/>
      <c r="BL7" s="485"/>
      <c r="BM7" s="485"/>
      <c r="BN7" s="485"/>
      <c r="BO7" s="485"/>
      <c r="BP7" s="485"/>
      <c r="BQ7" s="485"/>
      <c r="BR7" s="485"/>
      <c r="BS7" s="485"/>
      <c r="BT7" s="485"/>
      <c r="BU7" s="485"/>
      <c r="BV7" s="485"/>
      <c r="BW7" s="485"/>
      <c r="BX7" s="485"/>
      <c r="BY7" s="485"/>
      <c r="BZ7" s="485"/>
      <c r="CA7" s="485"/>
      <c r="CB7" s="485"/>
      <c r="CC7" s="485"/>
      <c r="CD7" s="485"/>
      <c r="CE7" s="485"/>
      <c r="CF7" s="485"/>
      <c r="CG7" s="485"/>
      <c r="CH7" s="485"/>
      <c r="CI7" s="485"/>
      <c r="CJ7" s="485"/>
      <c r="CK7" s="485"/>
      <c r="CL7" s="485"/>
      <c r="CM7" s="485"/>
      <c r="CN7" s="485"/>
      <c r="CO7" s="485"/>
      <c r="CP7" s="485"/>
      <c r="CQ7" s="485"/>
      <c r="CR7" s="485"/>
      <c r="CS7" s="485"/>
      <c r="CT7" s="485"/>
      <c r="CU7" s="485"/>
      <c r="CV7" s="485"/>
      <c r="CW7" s="485"/>
      <c r="CX7" s="485"/>
      <c r="CY7" s="485"/>
      <c r="CZ7" s="485"/>
      <c r="DA7" s="485"/>
      <c r="DB7" s="485"/>
      <c r="DC7" s="485"/>
      <c r="DD7" s="485"/>
      <c r="DE7" s="486"/>
      <c r="DF7" s="458"/>
      <c r="DG7" s="481" t="s">
        <v>254</v>
      </c>
      <c r="DH7" s="482"/>
      <c r="DI7" s="482"/>
      <c r="DJ7" s="482"/>
      <c r="DK7" s="482"/>
      <c r="DL7" s="483"/>
      <c r="DM7" s="484" t="s">
        <v>257</v>
      </c>
      <c r="DN7" s="485"/>
      <c r="DO7" s="485"/>
      <c r="DP7" s="485"/>
      <c r="DQ7" s="485"/>
      <c r="DR7" s="485"/>
      <c r="DS7" s="485"/>
      <c r="DT7" s="485"/>
      <c r="DU7" s="485"/>
      <c r="DV7" s="485"/>
      <c r="DW7" s="485"/>
      <c r="DX7" s="485"/>
      <c r="DY7" s="485"/>
      <c r="DZ7" s="485"/>
      <c r="EA7" s="485"/>
      <c r="EB7" s="485"/>
      <c r="EC7" s="485"/>
      <c r="ED7" s="485"/>
      <c r="EE7" s="485"/>
      <c r="EF7" s="485"/>
      <c r="EG7" s="485"/>
      <c r="EH7" s="485"/>
      <c r="EI7" s="485"/>
      <c r="EJ7" s="485"/>
      <c r="EK7" s="485"/>
      <c r="EL7" s="485"/>
      <c r="EM7" s="485"/>
      <c r="EN7" s="485"/>
      <c r="EO7" s="485"/>
      <c r="EP7" s="485"/>
      <c r="EQ7" s="485"/>
      <c r="ER7" s="485"/>
      <c r="ES7" s="485"/>
      <c r="ET7" s="485"/>
      <c r="EU7" s="485"/>
      <c r="EV7" s="485"/>
      <c r="EW7" s="485"/>
      <c r="EX7" s="485"/>
      <c r="EY7" s="485"/>
      <c r="EZ7" s="485"/>
      <c r="FA7" s="485"/>
      <c r="FB7" s="485"/>
      <c r="FC7" s="485"/>
      <c r="FD7" s="485"/>
      <c r="FE7" s="485"/>
      <c r="FF7" s="485"/>
      <c r="FG7" s="485"/>
      <c r="FH7" s="486"/>
      <c r="FI7" s="458"/>
      <c r="FJ7" s="481" t="s">
        <v>254</v>
      </c>
      <c r="FK7" s="482"/>
      <c r="FL7" s="482"/>
      <c r="FM7" s="482"/>
      <c r="FN7" s="482"/>
      <c r="FO7" s="483"/>
      <c r="FP7" s="487" t="s">
        <v>258</v>
      </c>
      <c r="FQ7" s="488"/>
      <c r="FR7" s="488"/>
      <c r="FS7" s="488"/>
      <c r="FT7" s="488"/>
      <c r="FU7" s="488"/>
      <c r="FV7" s="489" t="s">
        <v>259</v>
      </c>
      <c r="FW7" s="490"/>
      <c r="FX7" s="490"/>
      <c r="FY7" s="490"/>
      <c r="FZ7" s="490"/>
      <c r="GA7" s="490"/>
      <c r="GB7" s="490"/>
      <c r="GC7" s="490"/>
      <c r="GD7" s="490"/>
      <c r="GE7" s="491"/>
      <c r="GF7" s="492"/>
      <c r="GG7" s="457"/>
      <c r="GH7" s="457"/>
      <c r="GI7" s="457"/>
      <c r="GJ7" s="493"/>
      <c r="GK7" s="494"/>
      <c r="GL7" s="494"/>
      <c r="GM7" s="494"/>
      <c r="GN7" s="495"/>
      <c r="GO7" s="495"/>
      <c r="GP7" s="494"/>
      <c r="GQ7" s="494"/>
      <c r="GR7" s="494"/>
      <c r="GS7" s="494"/>
      <c r="GT7" s="494"/>
      <c r="GU7" s="494"/>
      <c r="GV7" s="494"/>
      <c r="GW7" s="494"/>
      <c r="GX7" s="494"/>
      <c r="GY7" s="494"/>
      <c r="GZ7" s="494"/>
      <c r="HA7" s="494"/>
      <c r="HB7" s="494"/>
      <c r="HC7" s="534"/>
      <c r="HD7" s="434"/>
      <c r="HE7" s="434"/>
      <c r="HF7" s="497"/>
      <c r="HG7" s="383"/>
    </row>
    <row r="8" spans="1:353" s="524" customFormat="1" ht="20.100000000000001" customHeight="1">
      <c r="A8" s="498"/>
      <c r="B8" s="499"/>
      <c r="C8" s="499"/>
      <c r="D8" s="499"/>
      <c r="E8" s="499"/>
      <c r="F8" s="500"/>
      <c r="G8" s="501">
        <v>1</v>
      </c>
      <c r="H8" s="502"/>
      <c r="I8" s="503">
        <v>2</v>
      </c>
      <c r="J8" s="502"/>
      <c r="K8" s="503">
        <v>3</v>
      </c>
      <c r="L8" s="502"/>
      <c r="M8" s="503">
        <v>4</v>
      </c>
      <c r="N8" s="502"/>
      <c r="O8" s="503">
        <v>5</v>
      </c>
      <c r="P8" s="502"/>
      <c r="Q8" s="503">
        <v>6</v>
      </c>
      <c r="R8" s="502"/>
      <c r="S8" s="503">
        <v>7</v>
      </c>
      <c r="T8" s="502"/>
      <c r="U8" s="503">
        <v>8</v>
      </c>
      <c r="V8" s="502"/>
      <c r="W8" s="503">
        <v>9</v>
      </c>
      <c r="X8" s="502"/>
      <c r="Y8" s="503">
        <v>10</v>
      </c>
      <c r="Z8" s="502"/>
      <c r="AA8" s="503">
        <v>11</v>
      </c>
      <c r="AB8" s="502"/>
      <c r="AC8" s="503">
        <v>12</v>
      </c>
      <c r="AD8" s="502"/>
      <c r="AE8" s="503">
        <v>13</v>
      </c>
      <c r="AF8" s="502"/>
      <c r="AG8" s="503">
        <v>14</v>
      </c>
      <c r="AH8" s="502"/>
      <c r="AI8" s="503">
        <v>15</v>
      </c>
      <c r="AJ8" s="502"/>
      <c r="AK8" s="503">
        <v>16</v>
      </c>
      <c r="AL8" s="502"/>
      <c r="AM8" s="503">
        <v>17</v>
      </c>
      <c r="AN8" s="502"/>
      <c r="AO8" s="503">
        <v>18</v>
      </c>
      <c r="AP8" s="502"/>
      <c r="AQ8" s="503">
        <v>19</v>
      </c>
      <c r="AR8" s="502"/>
      <c r="AS8" s="503">
        <v>20</v>
      </c>
      <c r="AT8" s="502"/>
      <c r="AU8" s="503">
        <v>21</v>
      </c>
      <c r="AV8" s="502"/>
      <c r="AW8" s="503">
        <v>22</v>
      </c>
      <c r="AX8" s="502"/>
      <c r="AY8" s="503">
        <v>23</v>
      </c>
      <c r="AZ8" s="502"/>
      <c r="BA8" s="503">
        <v>24</v>
      </c>
      <c r="BB8" s="504"/>
      <c r="BC8" s="480"/>
      <c r="BD8" s="498"/>
      <c r="BE8" s="499"/>
      <c r="BF8" s="499"/>
      <c r="BG8" s="499"/>
      <c r="BH8" s="499"/>
      <c r="BI8" s="500"/>
      <c r="BJ8" s="505">
        <v>1</v>
      </c>
      <c r="BK8" s="506"/>
      <c r="BL8" s="507">
        <v>2</v>
      </c>
      <c r="BM8" s="506"/>
      <c r="BN8" s="507">
        <v>3</v>
      </c>
      <c r="BO8" s="506"/>
      <c r="BP8" s="507">
        <v>4</v>
      </c>
      <c r="BQ8" s="506"/>
      <c r="BR8" s="507">
        <v>5</v>
      </c>
      <c r="BS8" s="506"/>
      <c r="BT8" s="507">
        <v>6</v>
      </c>
      <c r="BU8" s="506"/>
      <c r="BV8" s="507">
        <v>7</v>
      </c>
      <c r="BW8" s="506"/>
      <c r="BX8" s="507">
        <v>8</v>
      </c>
      <c r="BY8" s="506"/>
      <c r="BZ8" s="507">
        <v>9</v>
      </c>
      <c r="CA8" s="506"/>
      <c r="CB8" s="507">
        <v>10</v>
      </c>
      <c r="CC8" s="506"/>
      <c r="CD8" s="507">
        <v>11</v>
      </c>
      <c r="CE8" s="506"/>
      <c r="CF8" s="507">
        <v>12</v>
      </c>
      <c r="CG8" s="506"/>
      <c r="CH8" s="507">
        <v>13</v>
      </c>
      <c r="CI8" s="506"/>
      <c r="CJ8" s="507">
        <v>14</v>
      </c>
      <c r="CK8" s="506"/>
      <c r="CL8" s="507">
        <v>15</v>
      </c>
      <c r="CM8" s="506"/>
      <c r="CN8" s="507">
        <v>16</v>
      </c>
      <c r="CO8" s="506"/>
      <c r="CP8" s="507">
        <v>17</v>
      </c>
      <c r="CQ8" s="506"/>
      <c r="CR8" s="507">
        <v>18</v>
      </c>
      <c r="CS8" s="506"/>
      <c r="CT8" s="507">
        <v>19</v>
      </c>
      <c r="CU8" s="506"/>
      <c r="CV8" s="507">
        <v>20</v>
      </c>
      <c r="CW8" s="506"/>
      <c r="CX8" s="507">
        <v>21</v>
      </c>
      <c r="CY8" s="506"/>
      <c r="CZ8" s="507">
        <v>22</v>
      </c>
      <c r="DA8" s="506"/>
      <c r="DB8" s="507">
        <v>23</v>
      </c>
      <c r="DC8" s="506"/>
      <c r="DD8" s="507">
        <v>24</v>
      </c>
      <c r="DE8" s="508"/>
      <c r="DF8" s="480"/>
      <c r="DG8" s="498"/>
      <c r="DH8" s="499"/>
      <c r="DI8" s="499"/>
      <c r="DJ8" s="499"/>
      <c r="DK8" s="499"/>
      <c r="DL8" s="500"/>
      <c r="DM8" s="509">
        <v>1</v>
      </c>
      <c r="DN8" s="510"/>
      <c r="DO8" s="511">
        <v>2</v>
      </c>
      <c r="DP8" s="510"/>
      <c r="DQ8" s="511">
        <v>3</v>
      </c>
      <c r="DR8" s="510"/>
      <c r="DS8" s="511">
        <v>4</v>
      </c>
      <c r="DT8" s="510"/>
      <c r="DU8" s="511">
        <v>5</v>
      </c>
      <c r="DV8" s="510"/>
      <c r="DW8" s="511">
        <v>6</v>
      </c>
      <c r="DX8" s="510"/>
      <c r="DY8" s="511">
        <v>7</v>
      </c>
      <c r="DZ8" s="510"/>
      <c r="EA8" s="511">
        <v>8</v>
      </c>
      <c r="EB8" s="510"/>
      <c r="EC8" s="511">
        <v>9</v>
      </c>
      <c r="ED8" s="510"/>
      <c r="EE8" s="511">
        <v>10</v>
      </c>
      <c r="EF8" s="510"/>
      <c r="EG8" s="511">
        <v>11</v>
      </c>
      <c r="EH8" s="510"/>
      <c r="EI8" s="511">
        <v>12</v>
      </c>
      <c r="EJ8" s="510"/>
      <c r="EK8" s="511">
        <v>13</v>
      </c>
      <c r="EL8" s="510"/>
      <c r="EM8" s="511">
        <v>14</v>
      </c>
      <c r="EN8" s="510"/>
      <c r="EO8" s="511">
        <v>15</v>
      </c>
      <c r="EP8" s="510"/>
      <c r="EQ8" s="511">
        <v>16</v>
      </c>
      <c r="ER8" s="510"/>
      <c r="ES8" s="511">
        <v>17</v>
      </c>
      <c r="ET8" s="510"/>
      <c r="EU8" s="511">
        <v>18</v>
      </c>
      <c r="EV8" s="510"/>
      <c r="EW8" s="511">
        <v>19</v>
      </c>
      <c r="EX8" s="510"/>
      <c r="EY8" s="511">
        <v>20</v>
      </c>
      <c r="EZ8" s="510"/>
      <c r="FA8" s="511">
        <v>21</v>
      </c>
      <c r="FB8" s="510"/>
      <c r="FC8" s="511">
        <v>22</v>
      </c>
      <c r="FD8" s="510"/>
      <c r="FE8" s="511">
        <v>23</v>
      </c>
      <c r="FF8" s="510"/>
      <c r="FG8" s="511">
        <v>24</v>
      </c>
      <c r="FH8" s="512"/>
      <c r="FI8" s="480"/>
      <c r="FJ8" s="498"/>
      <c r="FK8" s="499"/>
      <c r="FL8" s="499"/>
      <c r="FM8" s="499"/>
      <c r="FN8" s="499"/>
      <c r="FO8" s="500"/>
      <c r="FP8" s="513" t="s">
        <v>260</v>
      </c>
      <c r="FQ8" s="514"/>
      <c r="FR8" s="515"/>
      <c r="FS8" s="516" t="s">
        <v>261</v>
      </c>
      <c r="FT8" s="516"/>
      <c r="FU8" s="517"/>
      <c r="FV8" s="518"/>
      <c r="FW8" s="519"/>
      <c r="FX8" s="519"/>
      <c r="FY8" s="519"/>
      <c r="FZ8" s="519"/>
      <c r="GA8" s="519"/>
      <c r="GB8" s="519"/>
      <c r="GC8" s="519"/>
      <c r="GD8" s="519"/>
      <c r="GE8" s="520"/>
      <c r="GF8" s="492"/>
      <c r="GG8" s="476"/>
      <c r="GH8" s="476"/>
      <c r="GI8" s="476"/>
      <c r="GJ8" s="521" t="s">
        <v>429</v>
      </c>
      <c r="GK8" s="521"/>
      <c r="GL8" s="522"/>
      <c r="GM8" s="523"/>
      <c r="GN8" s="522"/>
      <c r="GO8" s="523"/>
      <c r="GP8" s="522"/>
      <c r="GQ8" s="522"/>
      <c r="GR8" s="522"/>
      <c r="GS8" s="522"/>
      <c r="GT8" s="521" t="s">
        <v>429</v>
      </c>
      <c r="GU8" s="521"/>
      <c r="GV8" s="410"/>
      <c r="GW8" s="476"/>
      <c r="GX8" s="479"/>
      <c r="GY8" s="476"/>
      <c r="GZ8" s="479"/>
      <c r="HA8" s="523"/>
      <c r="HB8" s="523"/>
      <c r="HC8" s="523"/>
      <c r="HD8" s="434"/>
      <c r="HE8" s="434"/>
      <c r="HF8" s="1468"/>
      <c r="HG8" s="1468"/>
    </row>
    <row r="9" spans="1:353" ht="22.5" customHeight="1">
      <c r="A9" s="525" t="s">
        <v>262</v>
      </c>
      <c r="B9" s="526" t="s">
        <v>263</v>
      </c>
      <c r="C9" s="527" t="s">
        <v>264</v>
      </c>
      <c r="D9" s="527" t="s">
        <v>528</v>
      </c>
      <c r="E9" s="528" t="s">
        <v>529</v>
      </c>
      <c r="F9" s="529" t="s">
        <v>267</v>
      </c>
      <c r="G9" s="530" t="s">
        <v>530</v>
      </c>
      <c r="H9" s="531" t="s">
        <v>531</v>
      </c>
      <c r="I9" s="532" t="s">
        <v>270</v>
      </c>
      <c r="J9" s="531" t="s">
        <v>531</v>
      </c>
      <c r="K9" s="532" t="s">
        <v>270</v>
      </c>
      <c r="L9" s="531" t="s">
        <v>531</v>
      </c>
      <c r="M9" s="532" t="s">
        <v>270</v>
      </c>
      <c r="N9" s="531" t="s">
        <v>531</v>
      </c>
      <c r="O9" s="532" t="s">
        <v>270</v>
      </c>
      <c r="P9" s="531" t="s">
        <v>531</v>
      </c>
      <c r="Q9" s="532" t="s">
        <v>270</v>
      </c>
      <c r="R9" s="531" t="s">
        <v>531</v>
      </c>
      <c r="S9" s="532" t="s">
        <v>270</v>
      </c>
      <c r="T9" s="531" t="s">
        <v>531</v>
      </c>
      <c r="U9" s="532" t="s">
        <v>270</v>
      </c>
      <c r="V9" s="531" t="s">
        <v>531</v>
      </c>
      <c r="W9" s="532" t="s">
        <v>270</v>
      </c>
      <c r="X9" s="531" t="s">
        <v>531</v>
      </c>
      <c r="Y9" s="532" t="s">
        <v>270</v>
      </c>
      <c r="Z9" s="531" t="s">
        <v>531</v>
      </c>
      <c r="AA9" s="532" t="s">
        <v>270</v>
      </c>
      <c r="AB9" s="531" t="s">
        <v>531</v>
      </c>
      <c r="AC9" s="532" t="s">
        <v>270</v>
      </c>
      <c r="AD9" s="531" t="s">
        <v>531</v>
      </c>
      <c r="AE9" s="532" t="s">
        <v>270</v>
      </c>
      <c r="AF9" s="531" t="s">
        <v>531</v>
      </c>
      <c r="AG9" s="532" t="s">
        <v>270</v>
      </c>
      <c r="AH9" s="531" t="s">
        <v>531</v>
      </c>
      <c r="AI9" s="532" t="s">
        <v>270</v>
      </c>
      <c r="AJ9" s="531" t="s">
        <v>531</v>
      </c>
      <c r="AK9" s="532" t="s">
        <v>270</v>
      </c>
      <c r="AL9" s="531" t="s">
        <v>531</v>
      </c>
      <c r="AM9" s="532" t="s">
        <v>270</v>
      </c>
      <c r="AN9" s="531" t="s">
        <v>531</v>
      </c>
      <c r="AO9" s="532" t="s">
        <v>270</v>
      </c>
      <c r="AP9" s="531" t="s">
        <v>531</v>
      </c>
      <c r="AQ9" s="532" t="s">
        <v>270</v>
      </c>
      <c r="AR9" s="531" t="s">
        <v>531</v>
      </c>
      <c r="AS9" s="532" t="s">
        <v>270</v>
      </c>
      <c r="AT9" s="531" t="s">
        <v>531</v>
      </c>
      <c r="AU9" s="532" t="s">
        <v>270</v>
      </c>
      <c r="AV9" s="531" t="s">
        <v>531</v>
      </c>
      <c r="AW9" s="532" t="s">
        <v>270</v>
      </c>
      <c r="AX9" s="531" t="s">
        <v>531</v>
      </c>
      <c r="AY9" s="532" t="s">
        <v>270</v>
      </c>
      <c r="AZ9" s="531" t="s">
        <v>531</v>
      </c>
      <c r="BA9" s="532" t="s">
        <v>270</v>
      </c>
      <c r="BB9" s="533" t="s">
        <v>271</v>
      </c>
      <c r="BC9" s="496"/>
      <c r="BD9" s="525" t="s">
        <v>262</v>
      </c>
      <c r="BE9" s="526" t="s">
        <v>263</v>
      </c>
      <c r="BF9" s="527" t="s">
        <v>264</v>
      </c>
      <c r="BG9" s="527" t="s">
        <v>528</v>
      </c>
      <c r="BH9" s="528" t="s">
        <v>529</v>
      </c>
      <c r="BI9" s="529" t="s">
        <v>267</v>
      </c>
      <c r="BJ9" s="530" t="s">
        <v>530</v>
      </c>
      <c r="BK9" s="531" t="s">
        <v>531</v>
      </c>
      <c r="BL9" s="532" t="s">
        <v>270</v>
      </c>
      <c r="BM9" s="531" t="s">
        <v>531</v>
      </c>
      <c r="BN9" s="532" t="s">
        <v>270</v>
      </c>
      <c r="BO9" s="531" t="s">
        <v>531</v>
      </c>
      <c r="BP9" s="532" t="s">
        <v>270</v>
      </c>
      <c r="BQ9" s="531" t="s">
        <v>531</v>
      </c>
      <c r="BR9" s="532" t="s">
        <v>270</v>
      </c>
      <c r="BS9" s="531" t="s">
        <v>531</v>
      </c>
      <c r="BT9" s="532" t="s">
        <v>270</v>
      </c>
      <c r="BU9" s="531" t="s">
        <v>531</v>
      </c>
      <c r="BV9" s="532" t="s">
        <v>270</v>
      </c>
      <c r="BW9" s="531" t="s">
        <v>531</v>
      </c>
      <c r="BX9" s="532" t="s">
        <v>270</v>
      </c>
      <c r="BY9" s="531" t="s">
        <v>531</v>
      </c>
      <c r="BZ9" s="532" t="s">
        <v>270</v>
      </c>
      <c r="CA9" s="531" t="s">
        <v>531</v>
      </c>
      <c r="CB9" s="532" t="s">
        <v>270</v>
      </c>
      <c r="CC9" s="531" t="s">
        <v>531</v>
      </c>
      <c r="CD9" s="532" t="s">
        <v>270</v>
      </c>
      <c r="CE9" s="531" t="s">
        <v>531</v>
      </c>
      <c r="CF9" s="532" t="s">
        <v>270</v>
      </c>
      <c r="CG9" s="531" t="s">
        <v>531</v>
      </c>
      <c r="CH9" s="532" t="s">
        <v>270</v>
      </c>
      <c r="CI9" s="531" t="s">
        <v>531</v>
      </c>
      <c r="CJ9" s="532" t="s">
        <v>270</v>
      </c>
      <c r="CK9" s="531" t="s">
        <v>531</v>
      </c>
      <c r="CL9" s="532" t="s">
        <v>270</v>
      </c>
      <c r="CM9" s="531" t="s">
        <v>531</v>
      </c>
      <c r="CN9" s="532" t="s">
        <v>270</v>
      </c>
      <c r="CO9" s="531" t="s">
        <v>531</v>
      </c>
      <c r="CP9" s="532" t="s">
        <v>270</v>
      </c>
      <c r="CQ9" s="531" t="s">
        <v>531</v>
      </c>
      <c r="CR9" s="532" t="s">
        <v>270</v>
      </c>
      <c r="CS9" s="531" t="s">
        <v>531</v>
      </c>
      <c r="CT9" s="532" t="s">
        <v>270</v>
      </c>
      <c r="CU9" s="531" t="s">
        <v>531</v>
      </c>
      <c r="CV9" s="532" t="s">
        <v>270</v>
      </c>
      <c r="CW9" s="531" t="s">
        <v>531</v>
      </c>
      <c r="CX9" s="532" t="s">
        <v>270</v>
      </c>
      <c r="CY9" s="531" t="s">
        <v>531</v>
      </c>
      <c r="CZ9" s="532" t="s">
        <v>270</v>
      </c>
      <c r="DA9" s="531" t="s">
        <v>531</v>
      </c>
      <c r="DB9" s="532" t="s">
        <v>270</v>
      </c>
      <c r="DC9" s="531" t="s">
        <v>531</v>
      </c>
      <c r="DD9" s="532" t="s">
        <v>270</v>
      </c>
      <c r="DE9" s="533" t="s">
        <v>271</v>
      </c>
      <c r="DF9" s="496"/>
      <c r="DG9" s="525" t="s">
        <v>262</v>
      </c>
      <c r="DH9" s="526" t="s">
        <v>263</v>
      </c>
      <c r="DI9" s="527" t="s">
        <v>264</v>
      </c>
      <c r="DJ9" s="527" t="s">
        <v>528</v>
      </c>
      <c r="DK9" s="528" t="s">
        <v>529</v>
      </c>
      <c r="DL9" s="529" t="s">
        <v>267</v>
      </c>
      <c r="DM9" s="530" t="s">
        <v>530</v>
      </c>
      <c r="DN9" s="531" t="s">
        <v>531</v>
      </c>
      <c r="DO9" s="532" t="s">
        <v>270</v>
      </c>
      <c r="DP9" s="531" t="s">
        <v>531</v>
      </c>
      <c r="DQ9" s="532" t="s">
        <v>270</v>
      </c>
      <c r="DR9" s="531" t="s">
        <v>531</v>
      </c>
      <c r="DS9" s="532" t="s">
        <v>270</v>
      </c>
      <c r="DT9" s="531" t="s">
        <v>531</v>
      </c>
      <c r="DU9" s="532" t="s">
        <v>270</v>
      </c>
      <c r="DV9" s="531" t="s">
        <v>531</v>
      </c>
      <c r="DW9" s="532" t="s">
        <v>270</v>
      </c>
      <c r="DX9" s="531" t="s">
        <v>531</v>
      </c>
      <c r="DY9" s="532" t="s">
        <v>270</v>
      </c>
      <c r="DZ9" s="531" t="s">
        <v>531</v>
      </c>
      <c r="EA9" s="532" t="s">
        <v>270</v>
      </c>
      <c r="EB9" s="531" t="s">
        <v>531</v>
      </c>
      <c r="EC9" s="532" t="s">
        <v>270</v>
      </c>
      <c r="ED9" s="531" t="s">
        <v>531</v>
      </c>
      <c r="EE9" s="532" t="s">
        <v>270</v>
      </c>
      <c r="EF9" s="531" t="s">
        <v>531</v>
      </c>
      <c r="EG9" s="532" t="s">
        <v>270</v>
      </c>
      <c r="EH9" s="531" t="s">
        <v>531</v>
      </c>
      <c r="EI9" s="532" t="s">
        <v>270</v>
      </c>
      <c r="EJ9" s="531" t="s">
        <v>531</v>
      </c>
      <c r="EK9" s="532" t="s">
        <v>270</v>
      </c>
      <c r="EL9" s="531" t="s">
        <v>531</v>
      </c>
      <c r="EM9" s="532" t="s">
        <v>270</v>
      </c>
      <c r="EN9" s="531" t="s">
        <v>531</v>
      </c>
      <c r="EO9" s="532" t="s">
        <v>270</v>
      </c>
      <c r="EP9" s="531" t="s">
        <v>531</v>
      </c>
      <c r="EQ9" s="532" t="s">
        <v>270</v>
      </c>
      <c r="ER9" s="531" t="s">
        <v>531</v>
      </c>
      <c r="ES9" s="532" t="s">
        <v>270</v>
      </c>
      <c r="ET9" s="531" t="s">
        <v>531</v>
      </c>
      <c r="EU9" s="532" t="s">
        <v>270</v>
      </c>
      <c r="EV9" s="531" t="s">
        <v>531</v>
      </c>
      <c r="EW9" s="532" t="s">
        <v>270</v>
      </c>
      <c r="EX9" s="531" t="s">
        <v>531</v>
      </c>
      <c r="EY9" s="532" t="s">
        <v>270</v>
      </c>
      <c r="EZ9" s="531" t="s">
        <v>531</v>
      </c>
      <c r="FA9" s="532" t="s">
        <v>270</v>
      </c>
      <c r="FB9" s="531" t="s">
        <v>531</v>
      </c>
      <c r="FC9" s="532" t="s">
        <v>270</v>
      </c>
      <c r="FD9" s="531" t="s">
        <v>531</v>
      </c>
      <c r="FE9" s="532" t="s">
        <v>270</v>
      </c>
      <c r="FF9" s="531" t="s">
        <v>531</v>
      </c>
      <c r="FG9" s="532" t="s">
        <v>270</v>
      </c>
      <c r="FH9" s="533" t="s">
        <v>271</v>
      </c>
      <c r="FI9" s="534"/>
      <c r="FJ9" s="535" t="s">
        <v>262</v>
      </c>
      <c r="FK9" s="526" t="s">
        <v>263</v>
      </c>
      <c r="FL9" s="527" t="s">
        <v>264</v>
      </c>
      <c r="FM9" s="527" t="s">
        <v>528</v>
      </c>
      <c r="FN9" s="528" t="s">
        <v>529</v>
      </c>
      <c r="FO9" s="529" t="s">
        <v>267</v>
      </c>
      <c r="FP9" s="536" t="s">
        <v>272</v>
      </c>
      <c r="FQ9" s="537" t="s">
        <v>270</v>
      </c>
      <c r="FR9" s="531" t="s">
        <v>271</v>
      </c>
      <c r="FS9" s="538" t="s">
        <v>272</v>
      </c>
      <c r="FT9" s="537" t="s">
        <v>270</v>
      </c>
      <c r="FU9" s="531" t="s">
        <v>271</v>
      </c>
      <c r="FV9" s="518"/>
      <c r="FW9" s="519"/>
      <c r="FX9" s="519"/>
      <c r="FY9" s="519"/>
      <c r="FZ9" s="519"/>
      <c r="GA9" s="519"/>
      <c r="GB9" s="519"/>
      <c r="GC9" s="519"/>
      <c r="GD9" s="539"/>
      <c r="GE9" s="540"/>
      <c r="GF9" s="492"/>
      <c r="GG9" s="541"/>
      <c r="GH9" s="541"/>
      <c r="GI9" s="541"/>
      <c r="GJ9" s="522"/>
      <c r="GK9" s="523" t="s">
        <v>458</v>
      </c>
      <c r="GL9" s="522"/>
      <c r="GM9" s="523"/>
      <c r="GN9" s="522"/>
      <c r="GO9" s="542">
        <v>0.92</v>
      </c>
      <c r="GP9" s="522"/>
      <c r="GQ9" s="522"/>
      <c r="GR9" s="522"/>
      <c r="GS9" s="522"/>
      <c r="GT9" s="543"/>
      <c r="GU9" s="476" t="s">
        <v>575</v>
      </c>
      <c r="GV9" s="410"/>
      <c r="GW9" s="476"/>
      <c r="GX9" s="544">
        <v>1</v>
      </c>
      <c r="GY9" s="476"/>
      <c r="GZ9" s="479"/>
      <c r="HA9" s="523"/>
      <c r="HB9" s="523"/>
      <c r="HC9" s="523"/>
      <c r="HD9" s="434"/>
      <c r="HE9" s="434"/>
      <c r="HF9" s="1472"/>
      <c r="HG9" s="1472"/>
    </row>
    <row r="10" spans="1:353" ht="20.100000000000001" customHeight="1">
      <c r="A10" s="545"/>
      <c r="B10" s="546"/>
      <c r="C10" s="547"/>
      <c r="D10" s="548"/>
      <c r="E10" s="546"/>
      <c r="F10" s="547"/>
      <c r="G10" s="549"/>
      <c r="H10" s="550"/>
      <c r="I10" s="551"/>
      <c r="J10" s="552"/>
      <c r="K10" s="553"/>
      <c r="L10" s="552"/>
      <c r="M10" s="553"/>
      <c r="N10" s="552"/>
      <c r="O10" s="553"/>
      <c r="P10" s="552"/>
      <c r="Q10" s="553"/>
      <c r="R10" s="552"/>
      <c r="S10" s="553"/>
      <c r="T10" s="552"/>
      <c r="U10" s="553"/>
      <c r="V10" s="552"/>
      <c r="W10" s="553"/>
      <c r="X10" s="552"/>
      <c r="Y10" s="553"/>
      <c r="Z10" s="552"/>
      <c r="AA10" s="553"/>
      <c r="AB10" s="552"/>
      <c r="AC10" s="553"/>
      <c r="AD10" s="552"/>
      <c r="AE10" s="553"/>
      <c r="AF10" s="552"/>
      <c r="AG10" s="553"/>
      <c r="AH10" s="552"/>
      <c r="AI10" s="553"/>
      <c r="AJ10" s="552"/>
      <c r="AK10" s="553"/>
      <c r="AL10" s="552"/>
      <c r="AM10" s="553"/>
      <c r="AN10" s="552"/>
      <c r="AO10" s="553"/>
      <c r="AP10" s="552"/>
      <c r="AQ10" s="553"/>
      <c r="AR10" s="552"/>
      <c r="AS10" s="553"/>
      <c r="AT10" s="552"/>
      <c r="AU10" s="553"/>
      <c r="AV10" s="552"/>
      <c r="AW10" s="553"/>
      <c r="AX10" s="552"/>
      <c r="AY10" s="553"/>
      <c r="AZ10" s="552"/>
      <c r="BA10" s="553"/>
      <c r="BB10" s="554"/>
      <c r="BC10" s="555"/>
      <c r="BD10" s="545"/>
      <c r="BE10" s="546"/>
      <c r="BF10" s="547"/>
      <c r="BG10" s="548"/>
      <c r="BH10" s="546"/>
      <c r="BI10" s="547"/>
      <c r="BJ10" s="549"/>
      <c r="BK10" s="550"/>
      <c r="BL10" s="551"/>
      <c r="BM10" s="552"/>
      <c r="BN10" s="553"/>
      <c r="BO10" s="552"/>
      <c r="BP10" s="553"/>
      <c r="BQ10" s="552"/>
      <c r="BR10" s="553"/>
      <c r="BS10" s="552"/>
      <c r="BT10" s="553"/>
      <c r="BU10" s="552"/>
      <c r="BV10" s="553"/>
      <c r="BW10" s="552"/>
      <c r="BX10" s="553"/>
      <c r="BY10" s="552"/>
      <c r="BZ10" s="553"/>
      <c r="CA10" s="552"/>
      <c r="CB10" s="553"/>
      <c r="CC10" s="552"/>
      <c r="CD10" s="553"/>
      <c r="CE10" s="552"/>
      <c r="CF10" s="553"/>
      <c r="CG10" s="552"/>
      <c r="CH10" s="553"/>
      <c r="CI10" s="552"/>
      <c r="CJ10" s="553"/>
      <c r="CK10" s="552"/>
      <c r="CL10" s="553"/>
      <c r="CM10" s="552"/>
      <c r="CN10" s="553"/>
      <c r="CO10" s="552"/>
      <c r="CP10" s="553"/>
      <c r="CQ10" s="552"/>
      <c r="CR10" s="553"/>
      <c r="CS10" s="552"/>
      <c r="CT10" s="553"/>
      <c r="CU10" s="552"/>
      <c r="CV10" s="553"/>
      <c r="CW10" s="552"/>
      <c r="CX10" s="553"/>
      <c r="CY10" s="552"/>
      <c r="CZ10" s="553"/>
      <c r="DA10" s="552"/>
      <c r="DB10" s="553"/>
      <c r="DC10" s="552"/>
      <c r="DD10" s="553"/>
      <c r="DE10" s="554"/>
      <c r="DF10" s="555"/>
      <c r="DG10" s="545"/>
      <c r="DH10" s="546"/>
      <c r="DI10" s="547"/>
      <c r="DJ10" s="548"/>
      <c r="DK10" s="546"/>
      <c r="DL10" s="547"/>
      <c r="DM10" s="549"/>
      <c r="DN10" s="550"/>
      <c r="DO10" s="551"/>
      <c r="DP10" s="552"/>
      <c r="DQ10" s="553"/>
      <c r="DR10" s="552"/>
      <c r="DS10" s="553"/>
      <c r="DT10" s="552"/>
      <c r="DU10" s="553"/>
      <c r="DV10" s="552"/>
      <c r="DW10" s="553"/>
      <c r="DX10" s="552"/>
      <c r="DY10" s="553"/>
      <c r="DZ10" s="552"/>
      <c r="EA10" s="553"/>
      <c r="EB10" s="552"/>
      <c r="EC10" s="553"/>
      <c r="ED10" s="552"/>
      <c r="EE10" s="553"/>
      <c r="EF10" s="552"/>
      <c r="EG10" s="553"/>
      <c r="EH10" s="552"/>
      <c r="EI10" s="553"/>
      <c r="EJ10" s="552"/>
      <c r="EK10" s="553"/>
      <c r="EL10" s="552"/>
      <c r="EM10" s="553"/>
      <c r="EN10" s="552"/>
      <c r="EO10" s="553"/>
      <c r="EP10" s="552"/>
      <c r="EQ10" s="553"/>
      <c r="ER10" s="552"/>
      <c r="ES10" s="553"/>
      <c r="ET10" s="552"/>
      <c r="EU10" s="553"/>
      <c r="EV10" s="552"/>
      <c r="EW10" s="553"/>
      <c r="EX10" s="552"/>
      <c r="EY10" s="553"/>
      <c r="EZ10" s="552"/>
      <c r="FA10" s="553"/>
      <c r="FB10" s="552"/>
      <c r="FC10" s="553"/>
      <c r="FD10" s="552"/>
      <c r="FE10" s="553"/>
      <c r="FF10" s="552"/>
      <c r="FG10" s="553"/>
      <c r="FH10" s="554"/>
      <c r="FI10" s="556"/>
      <c r="FJ10" s="557"/>
      <c r="FK10" s="546"/>
      <c r="FL10" s="547"/>
      <c r="FM10" s="548"/>
      <c r="FN10" s="546"/>
      <c r="FO10" s="547"/>
      <c r="FP10" s="558"/>
      <c r="FQ10" s="551"/>
      <c r="FR10" s="550" t="s">
        <v>532</v>
      </c>
      <c r="FS10" s="559"/>
      <c r="FT10" s="551"/>
      <c r="FU10" s="560" t="s">
        <v>533</v>
      </c>
      <c r="FV10" s="561" t="s">
        <v>274</v>
      </c>
      <c r="FW10" s="1269"/>
      <c r="FX10" s="1270" t="s">
        <v>275</v>
      </c>
      <c r="FY10" s="1271"/>
      <c r="FZ10" s="1272" t="s">
        <v>276</v>
      </c>
      <c r="GA10" s="1273"/>
      <c r="GB10" s="1274" t="s">
        <v>549</v>
      </c>
      <c r="GC10" s="1275"/>
      <c r="GD10" s="569" t="s">
        <v>550</v>
      </c>
      <c r="GE10" s="570"/>
      <c r="GF10" s="492"/>
      <c r="GG10" s="541"/>
      <c r="GH10" s="541"/>
      <c r="GI10" s="541"/>
      <c r="GJ10" s="571"/>
      <c r="GK10" s="493"/>
      <c r="GL10" s="493"/>
      <c r="GM10" s="572"/>
      <c r="GN10" s="572"/>
      <c r="GO10" s="571"/>
      <c r="GP10" s="493"/>
      <c r="GQ10" s="493"/>
      <c r="GR10" s="493"/>
      <c r="GS10" s="493"/>
      <c r="GT10" s="493"/>
      <c r="GU10" s="493"/>
      <c r="GV10" s="493"/>
      <c r="GW10" s="572"/>
      <c r="GX10" s="572"/>
      <c r="GY10" s="572"/>
      <c r="GZ10" s="571"/>
      <c r="HA10" s="493"/>
      <c r="HB10" s="493"/>
      <c r="HC10" s="573"/>
      <c r="HD10" s="792"/>
      <c r="HE10" s="434"/>
      <c r="HF10" s="1472"/>
      <c r="HG10" s="1472"/>
    </row>
    <row r="11" spans="1:353" ht="20.100000000000001" customHeight="1">
      <c r="A11" s="545"/>
      <c r="B11" s="574"/>
      <c r="C11" s="575"/>
      <c r="D11" s="576"/>
      <c r="E11" s="574"/>
      <c r="F11" s="575"/>
      <c r="G11" s="577"/>
      <c r="H11" s="578"/>
      <c r="I11" s="579"/>
      <c r="J11" s="580"/>
      <c r="K11" s="581"/>
      <c r="L11" s="580"/>
      <c r="M11" s="581"/>
      <c r="N11" s="580"/>
      <c r="O11" s="581"/>
      <c r="P11" s="580"/>
      <c r="Q11" s="581"/>
      <c r="R11" s="580"/>
      <c r="S11" s="581"/>
      <c r="T11" s="580"/>
      <c r="U11" s="581"/>
      <c r="V11" s="580"/>
      <c r="W11" s="581"/>
      <c r="X11" s="580"/>
      <c r="Y11" s="581"/>
      <c r="Z11" s="580"/>
      <c r="AA11" s="581"/>
      <c r="AB11" s="580"/>
      <c r="AC11" s="581"/>
      <c r="AD11" s="580"/>
      <c r="AE11" s="581"/>
      <c r="AF11" s="580"/>
      <c r="AG11" s="581"/>
      <c r="AH11" s="580"/>
      <c r="AI11" s="581"/>
      <c r="AJ11" s="580"/>
      <c r="AK11" s="581"/>
      <c r="AL11" s="580"/>
      <c r="AM11" s="581"/>
      <c r="AN11" s="580"/>
      <c r="AO11" s="581"/>
      <c r="AP11" s="580"/>
      <c r="AQ11" s="581"/>
      <c r="AR11" s="580"/>
      <c r="AS11" s="581"/>
      <c r="AT11" s="580"/>
      <c r="AU11" s="581"/>
      <c r="AV11" s="580"/>
      <c r="AW11" s="581"/>
      <c r="AX11" s="580"/>
      <c r="AY11" s="581"/>
      <c r="AZ11" s="580"/>
      <c r="BA11" s="581"/>
      <c r="BB11" s="582"/>
      <c r="BC11" s="555"/>
      <c r="BD11" s="545"/>
      <c r="BE11" s="574"/>
      <c r="BF11" s="575"/>
      <c r="BG11" s="576"/>
      <c r="BH11" s="574"/>
      <c r="BI11" s="575"/>
      <c r="BJ11" s="577"/>
      <c r="BK11" s="578"/>
      <c r="BL11" s="579"/>
      <c r="BM11" s="580"/>
      <c r="BN11" s="581"/>
      <c r="BO11" s="580"/>
      <c r="BP11" s="581"/>
      <c r="BQ11" s="580"/>
      <c r="BR11" s="581"/>
      <c r="BS11" s="580"/>
      <c r="BT11" s="581"/>
      <c r="BU11" s="580"/>
      <c r="BV11" s="581"/>
      <c r="BW11" s="580"/>
      <c r="BX11" s="581"/>
      <c r="BY11" s="580"/>
      <c r="BZ11" s="581"/>
      <c r="CA11" s="580"/>
      <c r="CB11" s="581"/>
      <c r="CC11" s="580"/>
      <c r="CD11" s="581"/>
      <c r="CE11" s="580"/>
      <c r="CF11" s="581"/>
      <c r="CG11" s="580"/>
      <c r="CH11" s="581"/>
      <c r="CI11" s="580"/>
      <c r="CJ11" s="581"/>
      <c r="CK11" s="580"/>
      <c r="CL11" s="581"/>
      <c r="CM11" s="580"/>
      <c r="CN11" s="581"/>
      <c r="CO11" s="580"/>
      <c r="CP11" s="581"/>
      <c r="CQ11" s="580"/>
      <c r="CR11" s="581"/>
      <c r="CS11" s="580"/>
      <c r="CT11" s="581"/>
      <c r="CU11" s="580"/>
      <c r="CV11" s="581"/>
      <c r="CW11" s="580"/>
      <c r="CX11" s="581"/>
      <c r="CY11" s="580"/>
      <c r="CZ11" s="581"/>
      <c r="DA11" s="580"/>
      <c r="DB11" s="581"/>
      <c r="DC11" s="580"/>
      <c r="DD11" s="581"/>
      <c r="DE11" s="582"/>
      <c r="DF11" s="555"/>
      <c r="DG11" s="545"/>
      <c r="DH11" s="574"/>
      <c r="DI11" s="575"/>
      <c r="DJ11" s="576"/>
      <c r="DK11" s="574"/>
      <c r="DL11" s="575"/>
      <c r="DM11" s="577"/>
      <c r="DN11" s="578"/>
      <c r="DO11" s="579"/>
      <c r="DP11" s="580"/>
      <c r="DQ11" s="581"/>
      <c r="DR11" s="580"/>
      <c r="DS11" s="581"/>
      <c r="DT11" s="580"/>
      <c r="DU11" s="581"/>
      <c r="DV11" s="580"/>
      <c r="DW11" s="581"/>
      <c r="DX11" s="580"/>
      <c r="DY11" s="581"/>
      <c r="DZ11" s="580"/>
      <c r="EA11" s="581"/>
      <c r="EB11" s="580"/>
      <c r="EC11" s="581"/>
      <c r="ED11" s="580"/>
      <c r="EE11" s="581"/>
      <c r="EF11" s="580"/>
      <c r="EG11" s="581"/>
      <c r="EH11" s="580"/>
      <c r="EI11" s="581"/>
      <c r="EJ11" s="580"/>
      <c r="EK11" s="581"/>
      <c r="EL11" s="580"/>
      <c r="EM11" s="581"/>
      <c r="EN11" s="580"/>
      <c r="EO11" s="581"/>
      <c r="EP11" s="580"/>
      <c r="EQ11" s="581"/>
      <c r="ER11" s="580"/>
      <c r="ES11" s="581"/>
      <c r="ET11" s="580"/>
      <c r="EU11" s="581"/>
      <c r="EV11" s="580"/>
      <c r="EW11" s="581"/>
      <c r="EX11" s="580"/>
      <c r="EY11" s="581"/>
      <c r="EZ11" s="580"/>
      <c r="FA11" s="581"/>
      <c r="FB11" s="580"/>
      <c r="FC11" s="581"/>
      <c r="FD11" s="580"/>
      <c r="FE11" s="581"/>
      <c r="FF11" s="580"/>
      <c r="FG11" s="581"/>
      <c r="FH11" s="582"/>
      <c r="FI11" s="556"/>
      <c r="FJ11" s="557"/>
      <c r="FK11" s="574"/>
      <c r="FL11" s="575"/>
      <c r="FM11" s="576"/>
      <c r="FN11" s="574"/>
      <c r="FO11" s="575"/>
      <c r="FP11" s="583"/>
      <c r="FQ11" s="579"/>
      <c r="FR11" s="578" t="s">
        <v>532</v>
      </c>
      <c r="FS11" s="584"/>
      <c r="FT11" s="579"/>
      <c r="FU11" s="585" t="s">
        <v>532</v>
      </c>
      <c r="FV11" s="586"/>
      <c r="FW11" s="587"/>
      <c r="FX11" s="588"/>
      <c r="FY11" s="589"/>
      <c r="FZ11" s="590"/>
      <c r="GA11" s="591"/>
      <c r="GB11" s="592"/>
      <c r="GC11" s="593"/>
      <c r="GD11" s="592"/>
      <c r="GE11" s="594"/>
      <c r="GF11" s="492"/>
      <c r="GG11" s="595"/>
      <c r="GH11" s="595"/>
      <c r="GI11" s="595"/>
      <c r="GJ11" s="522"/>
      <c r="GK11" s="573" t="s">
        <v>576</v>
      </c>
      <c r="GL11" s="410"/>
      <c r="GM11" s="476"/>
      <c r="GN11" s="479"/>
      <c r="GO11" s="476"/>
      <c r="GP11" s="410"/>
      <c r="GQ11" s="522"/>
      <c r="GR11" s="522"/>
      <c r="GS11" s="522"/>
      <c r="GT11" s="541"/>
      <c r="GU11" s="573" t="s">
        <v>577</v>
      </c>
      <c r="GV11" s="410"/>
      <c r="GW11" s="476"/>
      <c r="GX11" s="479"/>
      <c r="GY11" s="476"/>
      <c r="GZ11" s="410"/>
      <c r="HA11" s="523"/>
      <c r="HB11" s="523"/>
      <c r="HC11" s="406"/>
      <c r="HD11" s="792"/>
      <c r="HE11" s="434"/>
      <c r="HF11" s="1472"/>
      <c r="HG11" s="1472"/>
    </row>
    <row r="12" spans="1:353" ht="20.100000000000001" customHeight="1">
      <c r="A12" s="545"/>
      <c r="B12" s="574"/>
      <c r="C12" s="575"/>
      <c r="D12" s="576"/>
      <c r="E12" s="574"/>
      <c r="F12" s="575"/>
      <c r="G12" s="577"/>
      <c r="H12" s="578"/>
      <c r="I12" s="579"/>
      <c r="J12" s="580"/>
      <c r="K12" s="581"/>
      <c r="L12" s="580"/>
      <c r="M12" s="581"/>
      <c r="N12" s="580"/>
      <c r="O12" s="581"/>
      <c r="P12" s="580"/>
      <c r="Q12" s="581"/>
      <c r="R12" s="580"/>
      <c r="S12" s="581"/>
      <c r="T12" s="580"/>
      <c r="U12" s="581"/>
      <c r="V12" s="580"/>
      <c r="W12" s="581"/>
      <c r="X12" s="580"/>
      <c r="Y12" s="581"/>
      <c r="Z12" s="580"/>
      <c r="AA12" s="581"/>
      <c r="AB12" s="580"/>
      <c r="AC12" s="581"/>
      <c r="AD12" s="580"/>
      <c r="AE12" s="581"/>
      <c r="AF12" s="580"/>
      <c r="AG12" s="581"/>
      <c r="AH12" s="580"/>
      <c r="AI12" s="581"/>
      <c r="AJ12" s="580"/>
      <c r="AK12" s="581"/>
      <c r="AL12" s="580"/>
      <c r="AM12" s="581"/>
      <c r="AN12" s="580"/>
      <c r="AO12" s="581"/>
      <c r="AP12" s="580"/>
      <c r="AQ12" s="581"/>
      <c r="AR12" s="580"/>
      <c r="AS12" s="581"/>
      <c r="AT12" s="580"/>
      <c r="AU12" s="581"/>
      <c r="AV12" s="580"/>
      <c r="AW12" s="581"/>
      <c r="AX12" s="580"/>
      <c r="AY12" s="581"/>
      <c r="AZ12" s="580"/>
      <c r="BA12" s="581"/>
      <c r="BB12" s="582"/>
      <c r="BC12" s="555"/>
      <c r="BD12" s="545"/>
      <c r="BE12" s="574"/>
      <c r="BF12" s="575"/>
      <c r="BG12" s="576"/>
      <c r="BH12" s="574"/>
      <c r="BI12" s="575"/>
      <c r="BJ12" s="577"/>
      <c r="BK12" s="578"/>
      <c r="BL12" s="579"/>
      <c r="BM12" s="580"/>
      <c r="BN12" s="581"/>
      <c r="BO12" s="580"/>
      <c r="BP12" s="581"/>
      <c r="BQ12" s="580"/>
      <c r="BR12" s="581"/>
      <c r="BS12" s="580"/>
      <c r="BT12" s="581"/>
      <c r="BU12" s="580"/>
      <c r="BV12" s="581"/>
      <c r="BW12" s="580"/>
      <c r="BX12" s="581"/>
      <c r="BY12" s="580"/>
      <c r="BZ12" s="581"/>
      <c r="CA12" s="580"/>
      <c r="CB12" s="581"/>
      <c r="CC12" s="580"/>
      <c r="CD12" s="581"/>
      <c r="CE12" s="580"/>
      <c r="CF12" s="581"/>
      <c r="CG12" s="580"/>
      <c r="CH12" s="581"/>
      <c r="CI12" s="580"/>
      <c r="CJ12" s="581"/>
      <c r="CK12" s="580"/>
      <c r="CL12" s="581"/>
      <c r="CM12" s="580"/>
      <c r="CN12" s="581"/>
      <c r="CO12" s="580"/>
      <c r="CP12" s="581"/>
      <c r="CQ12" s="580"/>
      <c r="CR12" s="581"/>
      <c r="CS12" s="580"/>
      <c r="CT12" s="581"/>
      <c r="CU12" s="580"/>
      <c r="CV12" s="581"/>
      <c r="CW12" s="580"/>
      <c r="CX12" s="581"/>
      <c r="CY12" s="580"/>
      <c r="CZ12" s="581"/>
      <c r="DA12" s="580"/>
      <c r="DB12" s="581"/>
      <c r="DC12" s="580"/>
      <c r="DD12" s="581"/>
      <c r="DE12" s="582"/>
      <c r="DF12" s="555"/>
      <c r="DG12" s="545"/>
      <c r="DH12" s="574"/>
      <c r="DI12" s="575"/>
      <c r="DJ12" s="576"/>
      <c r="DK12" s="574"/>
      <c r="DL12" s="575"/>
      <c r="DM12" s="577"/>
      <c r="DN12" s="578"/>
      <c r="DO12" s="579"/>
      <c r="DP12" s="580"/>
      <c r="DQ12" s="581"/>
      <c r="DR12" s="580"/>
      <c r="DS12" s="581"/>
      <c r="DT12" s="580"/>
      <c r="DU12" s="581"/>
      <c r="DV12" s="580"/>
      <c r="DW12" s="581"/>
      <c r="DX12" s="580"/>
      <c r="DY12" s="581"/>
      <c r="DZ12" s="580"/>
      <c r="EA12" s="581"/>
      <c r="EB12" s="580"/>
      <c r="EC12" s="581"/>
      <c r="ED12" s="580"/>
      <c r="EE12" s="581"/>
      <c r="EF12" s="580"/>
      <c r="EG12" s="581"/>
      <c r="EH12" s="580"/>
      <c r="EI12" s="581"/>
      <c r="EJ12" s="580"/>
      <c r="EK12" s="581"/>
      <c r="EL12" s="580"/>
      <c r="EM12" s="581"/>
      <c r="EN12" s="580"/>
      <c r="EO12" s="581"/>
      <c r="EP12" s="580"/>
      <c r="EQ12" s="581"/>
      <c r="ER12" s="580"/>
      <c r="ES12" s="581"/>
      <c r="ET12" s="580"/>
      <c r="EU12" s="581"/>
      <c r="EV12" s="580"/>
      <c r="EW12" s="581"/>
      <c r="EX12" s="580"/>
      <c r="EY12" s="581"/>
      <c r="EZ12" s="580"/>
      <c r="FA12" s="581"/>
      <c r="FB12" s="580"/>
      <c r="FC12" s="581"/>
      <c r="FD12" s="580"/>
      <c r="FE12" s="581"/>
      <c r="FF12" s="580"/>
      <c r="FG12" s="581"/>
      <c r="FH12" s="582"/>
      <c r="FI12" s="556"/>
      <c r="FJ12" s="557"/>
      <c r="FK12" s="574"/>
      <c r="FL12" s="575"/>
      <c r="FM12" s="576"/>
      <c r="FN12" s="574"/>
      <c r="FO12" s="575"/>
      <c r="FP12" s="583"/>
      <c r="FQ12" s="579"/>
      <c r="FR12" s="578" t="s">
        <v>533</v>
      </c>
      <c r="FS12" s="584"/>
      <c r="FT12" s="579"/>
      <c r="FU12" s="585" t="s">
        <v>532</v>
      </c>
      <c r="FV12" s="586"/>
      <c r="FW12" s="587"/>
      <c r="FX12" s="588"/>
      <c r="FY12" s="589"/>
      <c r="FZ12" s="590"/>
      <c r="GA12" s="591"/>
      <c r="GB12" s="592"/>
      <c r="GC12" s="593"/>
      <c r="GD12" s="592"/>
      <c r="GE12" s="594"/>
      <c r="GF12" s="492"/>
      <c r="GG12" s="595"/>
      <c r="GH12" s="595"/>
      <c r="GI12" s="595"/>
      <c r="GJ12" s="410"/>
      <c r="GK12" s="596" t="s">
        <v>349</v>
      </c>
      <c r="GL12" s="597"/>
      <c r="GM12" s="598" t="s">
        <v>468</v>
      </c>
      <c r="GN12" s="599" t="s">
        <v>578</v>
      </c>
      <c r="GO12" s="600" t="s">
        <v>464</v>
      </c>
      <c r="GP12" s="601" t="s">
        <v>465</v>
      </c>
      <c r="GQ12" s="600" t="s">
        <v>579</v>
      </c>
      <c r="GR12" s="600" t="s">
        <v>580</v>
      </c>
      <c r="GS12" s="602"/>
      <c r="GT12" s="541"/>
      <c r="GU12" s="596" t="s">
        <v>349</v>
      </c>
      <c r="GV12" s="597"/>
      <c r="GW12" s="598" t="s">
        <v>462</v>
      </c>
      <c r="GX12" s="603" t="s">
        <v>581</v>
      </c>
      <c r="GY12" s="604"/>
      <c r="GZ12" s="605" t="s">
        <v>582</v>
      </c>
      <c r="HA12" s="606" t="s">
        <v>470</v>
      </c>
      <c r="HB12" s="607"/>
      <c r="HC12" s="608"/>
      <c r="HD12" s="792"/>
      <c r="HE12" s="434"/>
      <c r="HF12" s="1472"/>
      <c r="HG12" s="1472"/>
    </row>
    <row r="13" spans="1:353" ht="20.100000000000001" customHeight="1">
      <c r="A13" s="545"/>
      <c r="B13" s="609"/>
      <c r="C13" s="610"/>
      <c r="D13" s="611"/>
      <c r="E13" s="609"/>
      <c r="F13" s="610"/>
      <c r="G13" s="612"/>
      <c r="H13" s="613"/>
      <c r="I13" s="614"/>
      <c r="J13" s="615"/>
      <c r="K13" s="616"/>
      <c r="L13" s="615"/>
      <c r="M13" s="616"/>
      <c r="N13" s="615"/>
      <c r="O13" s="616"/>
      <c r="P13" s="615"/>
      <c r="Q13" s="616"/>
      <c r="R13" s="615"/>
      <c r="S13" s="616"/>
      <c r="T13" s="615"/>
      <c r="U13" s="616"/>
      <c r="V13" s="615"/>
      <c r="W13" s="616"/>
      <c r="X13" s="615"/>
      <c r="Y13" s="616"/>
      <c r="Z13" s="615"/>
      <c r="AA13" s="616"/>
      <c r="AB13" s="615"/>
      <c r="AC13" s="616"/>
      <c r="AD13" s="615"/>
      <c r="AE13" s="616"/>
      <c r="AF13" s="615"/>
      <c r="AG13" s="616"/>
      <c r="AH13" s="615"/>
      <c r="AI13" s="616"/>
      <c r="AJ13" s="615"/>
      <c r="AK13" s="616"/>
      <c r="AL13" s="615"/>
      <c r="AM13" s="616"/>
      <c r="AN13" s="615"/>
      <c r="AO13" s="616"/>
      <c r="AP13" s="615"/>
      <c r="AQ13" s="616"/>
      <c r="AR13" s="615"/>
      <c r="AS13" s="616"/>
      <c r="AT13" s="615"/>
      <c r="AU13" s="616"/>
      <c r="AV13" s="615"/>
      <c r="AW13" s="616"/>
      <c r="AX13" s="615"/>
      <c r="AY13" s="616"/>
      <c r="AZ13" s="615"/>
      <c r="BA13" s="616"/>
      <c r="BB13" s="617"/>
      <c r="BC13" s="555"/>
      <c r="BD13" s="545"/>
      <c r="BE13" s="609"/>
      <c r="BF13" s="610"/>
      <c r="BG13" s="611"/>
      <c r="BH13" s="609"/>
      <c r="BI13" s="610"/>
      <c r="BJ13" s="612"/>
      <c r="BK13" s="613"/>
      <c r="BL13" s="614"/>
      <c r="BM13" s="615"/>
      <c r="BN13" s="616"/>
      <c r="BO13" s="615"/>
      <c r="BP13" s="616"/>
      <c r="BQ13" s="615"/>
      <c r="BR13" s="616"/>
      <c r="BS13" s="615"/>
      <c r="BT13" s="616"/>
      <c r="BU13" s="615"/>
      <c r="BV13" s="616"/>
      <c r="BW13" s="615"/>
      <c r="BX13" s="616"/>
      <c r="BY13" s="615"/>
      <c r="BZ13" s="616"/>
      <c r="CA13" s="615"/>
      <c r="CB13" s="616"/>
      <c r="CC13" s="615"/>
      <c r="CD13" s="616"/>
      <c r="CE13" s="615"/>
      <c r="CF13" s="616"/>
      <c r="CG13" s="615"/>
      <c r="CH13" s="616"/>
      <c r="CI13" s="615"/>
      <c r="CJ13" s="616"/>
      <c r="CK13" s="615"/>
      <c r="CL13" s="616"/>
      <c r="CM13" s="615"/>
      <c r="CN13" s="616"/>
      <c r="CO13" s="615"/>
      <c r="CP13" s="616"/>
      <c r="CQ13" s="615"/>
      <c r="CR13" s="616"/>
      <c r="CS13" s="615"/>
      <c r="CT13" s="616"/>
      <c r="CU13" s="615"/>
      <c r="CV13" s="616"/>
      <c r="CW13" s="615"/>
      <c r="CX13" s="616"/>
      <c r="CY13" s="615"/>
      <c r="CZ13" s="616"/>
      <c r="DA13" s="615"/>
      <c r="DB13" s="616"/>
      <c r="DC13" s="615"/>
      <c r="DD13" s="616"/>
      <c r="DE13" s="617"/>
      <c r="DF13" s="555"/>
      <c r="DG13" s="545"/>
      <c r="DH13" s="609"/>
      <c r="DI13" s="610"/>
      <c r="DJ13" s="611"/>
      <c r="DK13" s="609"/>
      <c r="DL13" s="610"/>
      <c r="DM13" s="612"/>
      <c r="DN13" s="613"/>
      <c r="DO13" s="614"/>
      <c r="DP13" s="615"/>
      <c r="DQ13" s="616"/>
      <c r="DR13" s="615"/>
      <c r="DS13" s="616"/>
      <c r="DT13" s="615"/>
      <c r="DU13" s="616"/>
      <c r="DV13" s="615"/>
      <c r="DW13" s="616"/>
      <c r="DX13" s="615"/>
      <c r="DY13" s="616"/>
      <c r="DZ13" s="615"/>
      <c r="EA13" s="616"/>
      <c r="EB13" s="615"/>
      <c r="EC13" s="616"/>
      <c r="ED13" s="615"/>
      <c r="EE13" s="616"/>
      <c r="EF13" s="615"/>
      <c r="EG13" s="616"/>
      <c r="EH13" s="615"/>
      <c r="EI13" s="616"/>
      <c r="EJ13" s="615"/>
      <c r="EK13" s="616"/>
      <c r="EL13" s="615"/>
      <c r="EM13" s="616"/>
      <c r="EN13" s="615"/>
      <c r="EO13" s="616"/>
      <c r="EP13" s="615"/>
      <c r="EQ13" s="616"/>
      <c r="ER13" s="615"/>
      <c r="ES13" s="616"/>
      <c r="ET13" s="615"/>
      <c r="EU13" s="616"/>
      <c r="EV13" s="615"/>
      <c r="EW13" s="616"/>
      <c r="EX13" s="615"/>
      <c r="EY13" s="616"/>
      <c r="EZ13" s="615"/>
      <c r="FA13" s="616"/>
      <c r="FB13" s="615"/>
      <c r="FC13" s="616"/>
      <c r="FD13" s="615"/>
      <c r="FE13" s="616"/>
      <c r="FF13" s="615"/>
      <c r="FG13" s="616"/>
      <c r="FH13" s="617"/>
      <c r="FI13" s="556"/>
      <c r="FJ13" s="557"/>
      <c r="FK13" s="609"/>
      <c r="FL13" s="610"/>
      <c r="FM13" s="611"/>
      <c r="FN13" s="609"/>
      <c r="FO13" s="610"/>
      <c r="FP13" s="618"/>
      <c r="FQ13" s="614"/>
      <c r="FR13" s="613" t="s">
        <v>534</v>
      </c>
      <c r="FS13" s="619"/>
      <c r="FT13" s="614"/>
      <c r="FU13" s="620" t="s">
        <v>532</v>
      </c>
      <c r="FV13" s="586"/>
      <c r="FW13" s="587"/>
      <c r="FX13" s="588"/>
      <c r="FY13" s="589"/>
      <c r="FZ13" s="590"/>
      <c r="GA13" s="591"/>
      <c r="GB13" s="592"/>
      <c r="GC13" s="593"/>
      <c r="GD13" s="592"/>
      <c r="GE13" s="594"/>
      <c r="GF13" s="492"/>
      <c r="GG13" s="595"/>
      <c r="GH13" s="595"/>
      <c r="GI13" s="595"/>
      <c r="GJ13" s="410"/>
      <c r="GK13" s="621"/>
      <c r="GL13" s="622"/>
      <c r="GM13" s="623"/>
      <c r="GN13" s="624"/>
      <c r="GO13" s="625"/>
      <c r="GP13" s="625"/>
      <c r="GQ13" s="626">
        <v>0</v>
      </c>
      <c r="GR13" s="627">
        <v>0</v>
      </c>
      <c r="GS13" s="571"/>
      <c r="GT13" s="410"/>
      <c r="GU13" s="621"/>
      <c r="GV13" s="622"/>
      <c r="GW13" s="628"/>
      <c r="GX13" s="629"/>
      <c r="GY13" s="630"/>
      <c r="GZ13" s="631"/>
      <c r="HA13" s="632">
        <v>0</v>
      </c>
      <c r="HB13" s="633"/>
      <c r="HC13" s="523"/>
      <c r="HD13" s="792"/>
      <c r="HE13" s="434"/>
      <c r="HF13" s="383"/>
      <c r="HG13" s="383"/>
    </row>
    <row r="14" spans="1:353" ht="20.100000000000001" customHeight="1">
      <c r="A14" s="634"/>
      <c r="B14" s="635"/>
      <c r="C14" s="635"/>
      <c r="D14" s="636" t="s">
        <v>535</v>
      </c>
      <c r="E14" s="635"/>
      <c r="F14" s="635"/>
      <c r="G14" s="637"/>
      <c r="H14" s="638">
        <f>SUM(H10:H13)</f>
        <v>0</v>
      </c>
      <c r="I14" s="1276"/>
      <c r="J14" s="638">
        <f>SUM(J10:J13)</f>
        <v>0</v>
      </c>
      <c r="K14" s="1276"/>
      <c r="L14" s="638">
        <f>SUM(L10:L13)</f>
        <v>0</v>
      </c>
      <c r="M14" s="1276"/>
      <c r="N14" s="638">
        <f>SUM(N10:N13)</f>
        <v>0</v>
      </c>
      <c r="O14" s="1276"/>
      <c r="P14" s="638">
        <f>SUM(P10:P13)</f>
        <v>0</v>
      </c>
      <c r="Q14" s="1276"/>
      <c r="R14" s="638">
        <f>SUM(R10:R13)</f>
        <v>0</v>
      </c>
      <c r="S14" s="1276"/>
      <c r="T14" s="638">
        <f>SUM(T10:T13)</f>
        <v>0</v>
      </c>
      <c r="U14" s="1276"/>
      <c r="V14" s="638">
        <f>SUM(V10:V13)</f>
        <v>0</v>
      </c>
      <c r="W14" s="1276"/>
      <c r="X14" s="638">
        <f>SUM(X10:X13)</f>
        <v>0</v>
      </c>
      <c r="Y14" s="1276"/>
      <c r="Z14" s="638">
        <f>SUM(Z10:Z13)</f>
        <v>0</v>
      </c>
      <c r="AA14" s="1276"/>
      <c r="AB14" s="638">
        <f>SUM(AB10:AB13)</f>
        <v>0</v>
      </c>
      <c r="AC14" s="1276"/>
      <c r="AD14" s="638">
        <f>SUM(AD10:AD13)</f>
        <v>0</v>
      </c>
      <c r="AE14" s="1276"/>
      <c r="AF14" s="638">
        <f>SUM(AF10:AF13)</f>
        <v>0</v>
      </c>
      <c r="AG14" s="1276"/>
      <c r="AH14" s="638">
        <f>SUM(AH10:AH13)</f>
        <v>0</v>
      </c>
      <c r="AI14" s="1276"/>
      <c r="AJ14" s="638">
        <f>SUM(AJ10:AJ13)</f>
        <v>0</v>
      </c>
      <c r="AK14" s="1276"/>
      <c r="AL14" s="638">
        <f>SUM(AL10:AL13)</f>
        <v>0</v>
      </c>
      <c r="AM14" s="1276"/>
      <c r="AN14" s="638">
        <f>SUM(AN10:AN13)</f>
        <v>0</v>
      </c>
      <c r="AO14" s="1276"/>
      <c r="AP14" s="638">
        <f>SUM(AP10:AP13)</f>
        <v>0</v>
      </c>
      <c r="AQ14" s="1276"/>
      <c r="AR14" s="638">
        <f>SUM(AR10:AR13)</f>
        <v>0</v>
      </c>
      <c r="AS14" s="1276"/>
      <c r="AT14" s="638">
        <f>SUM(AT10:AT13)</f>
        <v>0</v>
      </c>
      <c r="AU14" s="1276"/>
      <c r="AV14" s="638">
        <f>SUM(AV10:AV13)</f>
        <v>0</v>
      </c>
      <c r="AW14" s="1276"/>
      <c r="AX14" s="638">
        <f>SUM(AX10:AX13)</f>
        <v>0</v>
      </c>
      <c r="AY14" s="1276"/>
      <c r="AZ14" s="638">
        <f>SUM(AZ10:AZ13)</f>
        <v>0</v>
      </c>
      <c r="BA14" s="1276"/>
      <c r="BB14" s="640">
        <f>SUM(BB10:BB13)</f>
        <v>0</v>
      </c>
      <c r="BC14" s="641"/>
      <c r="BD14" s="634"/>
      <c r="BE14" s="635"/>
      <c r="BF14" s="635"/>
      <c r="BG14" s="636" t="s">
        <v>536</v>
      </c>
      <c r="BH14" s="635"/>
      <c r="BI14" s="635"/>
      <c r="BJ14" s="637"/>
      <c r="BK14" s="638">
        <f>SUM(BK10:BK13)</f>
        <v>0</v>
      </c>
      <c r="BL14" s="1276"/>
      <c r="BM14" s="638">
        <f>SUM(BM10:BM13)</f>
        <v>0</v>
      </c>
      <c r="BN14" s="1276"/>
      <c r="BO14" s="638">
        <f>SUM(BO10:BO13)</f>
        <v>0</v>
      </c>
      <c r="BP14" s="1276"/>
      <c r="BQ14" s="638">
        <f>SUM(BQ10:BQ13)</f>
        <v>0</v>
      </c>
      <c r="BR14" s="1276"/>
      <c r="BS14" s="638">
        <f>SUM(BS10:BS13)</f>
        <v>0</v>
      </c>
      <c r="BT14" s="1276"/>
      <c r="BU14" s="638">
        <f>SUM(BU10:BU13)</f>
        <v>0</v>
      </c>
      <c r="BV14" s="1276"/>
      <c r="BW14" s="638">
        <f>SUM(BW10:BW13)</f>
        <v>0</v>
      </c>
      <c r="BX14" s="1276"/>
      <c r="BY14" s="638">
        <f>SUM(BY10:BY13)</f>
        <v>0</v>
      </c>
      <c r="BZ14" s="1276"/>
      <c r="CA14" s="638">
        <f>SUM(CA10:CA13)</f>
        <v>0</v>
      </c>
      <c r="CB14" s="1276"/>
      <c r="CC14" s="638">
        <f>SUM(CC10:CC13)</f>
        <v>0</v>
      </c>
      <c r="CD14" s="1276"/>
      <c r="CE14" s="638">
        <f>SUM(CE10:CE13)</f>
        <v>0</v>
      </c>
      <c r="CF14" s="1276"/>
      <c r="CG14" s="638">
        <f>SUM(CG10:CG13)</f>
        <v>0</v>
      </c>
      <c r="CH14" s="1276"/>
      <c r="CI14" s="638">
        <f>SUM(CI10:CI13)</f>
        <v>0</v>
      </c>
      <c r="CJ14" s="1276"/>
      <c r="CK14" s="638">
        <f>SUM(CK10:CK13)</f>
        <v>0</v>
      </c>
      <c r="CL14" s="1276"/>
      <c r="CM14" s="638">
        <f>SUM(CM10:CM13)</f>
        <v>0</v>
      </c>
      <c r="CN14" s="1276"/>
      <c r="CO14" s="638">
        <f>SUM(CO10:CO13)</f>
        <v>0</v>
      </c>
      <c r="CP14" s="1276"/>
      <c r="CQ14" s="638">
        <f>SUM(CQ10:CQ13)</f>
        <v>0</v>
      </c>
      <c r="CR14" s="1276"/>
      <c r="CS14" s="638">
        <f>SUM(CS10:CS13)</f>
        <v>0</v>
      </c>
      <c r="CT14" s="1276"/>
      <c r="CU14" s="638">
        <f>SUM(CU10:CU13)</f>
        <v>0</v>
      </c>
      <c r="CV14" s="1276"/>
      <c r="CW14" s="638">
        <f>SUM(CW10:CW13)</f>
        <v>0</v>
      </c>
      <c r="CX14" s="1276"/>
      <c r="CY14" s="638">
        <f>SUM(CY10:CY13)</f>
        <v>0</v>
      </c>
      <c r="CZ14" s="1276"/>
      <c r="DA14" s="638">
        <f>SUM(DA10:DA13)</f>
        <v>0</v>
      </c>
      <c r="DB14" s="1276"/>
      <c r="DC14" s="638">
        <f>SUM(DC10:DC13)</f>
        <v>0</v>
      </c>
      <c r="DD14" s="1276"/>
      <c r="DE14" s="640">
        <f>SUM(DE10:DE13)</f>
        <v>0</v>
      </c>
      <c r="DF14" s="641"/>
      <c r="DG14" s="634"/>
      <c r="DH14" s="635"/>
      <c r="DI14" s="635"/>
      <c r="DJ14" s="636" t="s">
        <v>536</v>
      </c>
      <c r="DK14" s="635"/>
      <c r="DL14" s="635"/>
      <c r="DM14" s="637"/>
      <c r="DN14" s="638">
        <f>SUM(DN10:DN13)</f>
        <v>0</v>
      </c>
      <c r="DO14" s="1276"/>
      <c r="DP14" s="638">
        <f>SUM(DP10:DP13)</f>
        <v>0</v>
      </c>
      <c r="DQ14" s="1276"/>
      <c r="DR14" s="638">
        <f>SUM(DR10:DR13)</f>
        <v>0</v>
      </c>
      <c r="DS14" s="1276"/>
      <c r="DT14" s="638">
        <f>SUM(DT10:DT13)</f>
        <v>0</v>
      </c>
      <c r="DU14" s="1276"/>
      <c r="DV14" s="638">
        <f>SUM(DV10:DV13)</f>
        <v>0</v>
      </c>
      <c r="DW14" s="1276"/>
      <c r="DX14" s="638">
        <f>SUM(DX10:DX13)</f>
        <v>0</v>
      </c>
      <c r="DY14" s="1276"/>
      <c r="DZ14" s="638">
        <f>SUM(DZ10:DZ13)</f>
        <v>0</v>
      </c>
      <c r="EA14" s="1276"/>
      <c r="EB14" s="638">
        <f>SUM(EB10:EB13)</f>
        <v>0</v>
      </c>
      <c r="EC14" s="1276"/>
      <c r="ED14" s="638">
        <f>SUM(ED10:ED13)</f>
        <v>0</v>
      </c>
      <c r="EE14" s="1276"/>
      <c r="EF14" s="638">
        <f>SUM(EF10:EF13)</f>
        <v>0</v>
      </c>
      <c r="EG14" s="1276"/>
      <c r="EH14" s="638">
        <f>SUM(EH10:EH13)</f>
        <v>0</v>
      </c>
      <c r="EI14" s="1276"/>
      <c r="EJ14" s="638">
        <f>SUM(EJ10:EJ13)</f>
        <v>0</v>
      </c>
      <c r="EK14" s="1276"/>
      <c r="EL14" s="638">
        <f>SUM(EL10:EL13)</f>
        <v>0</v>
      </c>
      <c r="EM14" s="1276"/>
      <c r="EN14" s="638">
        <f>SUM(EN10:EN13)</f>
        <v>0</v>
      </c>
      <c r="EO14" s="1276"/>
      <c r="EP14" s="638">
        <f>SUM(EP10:EP13)</f>
        <v>0</v>
      </c>
      <c r="EQ14" s="1276"/>
      <c r="ER14" s="638">
        <f>SUM(ER10:ER13)</f>
        <v>0</v>
      </c>
      <c r="ES14" s="1276"/>
      <c r="ET14" s="638">
        <f>SUM(ET10:ET13)</f>
        <v>0</v>
      </c>
      <c r="EU14" s="1276"/>
      <c r="EV14" s="638">
        <f>SUM(EV10:EV13)</f>
        <v>0</v>
      </c>
      <c r="EW14" s="1276"/>
      <c r="EX14" s="638">
        <f>SUM(EX10:EX13)</f>
        <v>0</v>
      </c>
      <c r="EY14" s="1276"/>
      <c r="EZ14" s="638">
        <f>SUM(EZ10:EZ13)</f>
        <v>0</v>
      </c>
      <c r="FA14" s="1276"/>
      <c r="FB14" s="638">
        <f>SUM(FB10:FB13)</f>
        <v>0</v>
      </c>
      <c r="FC14" s="1276"/>
      <c r="FD14" s="638">
        <f>SUM(FD10:FD13)</f>
        <v>0</v>
      </c>
      <c r="FE14" s="1276"/>
      <c r="FF14" s="638">
        <f>SUM(FF10:FF13)</f>
        <v>0</v>
      </c>
      <c r="FG14" s="1276"/>
      <c r="FH14" s="640">
        <f>SUM(FH10:FH13)</f>
        <v>0</v>
      </c>
      <c r="FI14" s="642"/>
      <c r="FJ14" s="557"/>
      <c r="FK14" s="635"/>
      <c r="FL14" s="635"/>
      <c r="FM14" s="636" t="s">
        <v>536</v>
      </c>
      <c r="FN14" s="635"/>
      <c r="FO14" s="635"/>
      <c r="FP14" s="643"/>
      <c r="FQ14" s="644"/>
      <c r="FR14" s="638">
        <f>SUM(FR10:FR13)</f>
        <v>0</v>
      </c>
      <c r="FS14" s="645"/>
      <c r="FT14" s="644"/>
      <c r="FU14" s="646">
        <f>SUM(FU10:FU13)</f>
        <v>0</v>
      </c>
      <c r="FV14" s="586"/>
      <c r="FW14" s="587"/>
      <c r="FX14" s="588"/>
      <c r="FY14" s="589"/>
      <c r="FZ14" s="590"/>
      <c r="GA14" s="591"/>
      <c r="GB14" s="592"/>
      <c r="GC14" s="593"/>
      <c r="GD14" s="592"/>
      <c r="GE14" s="594"/>
      <c r="GF14" s="647"/>
      <c r="GG14" s="648"/>
      <c r="GH14" s="648"/>
      <c r="GI14" s="648"/>
      <c r="GJ14" s="608"/>
      <c r="GK14" s="621"/>
      <c r="GL14" s="622"/>
      <c r="GM14" s="623"/>
      <c r="GN14" s="624"/>
      <c r="GO14" s="625"/>
      <c r="GP14" s="649"/>
      <c r="GQ14" s="626">
        <v>0</v>
      </c>
      <c r="GR14" s="627">
        <v>0</v>
      </c>
      <c r="GS14" s="608"/>
      <c r="GT14" s="650"/>
      <c r="GU14" s="621"/>
      <c r="GV14" s="622"/>
      <c r="GW14" s="628"/>
      <c r="GX14" s="629"/>
      <c r="GY14" s="630"/>
      <c r="GZ14" s="631"/>
      <c r="HA14" s="632">
        <v>0</v>
      </c>
      <c r="HB14" s="633"/>
      <c r="HC14" s="523"/>
      <c r="HD14" s="1471"/>
      <c r="HE14" s="412"/>
      <c r="HF14" s="412"/>
      <c r="HG14" s="412"/>
    </row>
    <row r="15" spans="1:353" ht="24" customHeight="1">
      <c r="A15" s="525" t="s">
        <v>278</v>
      </c>
      <c r="B15" s="651" t="s">
        <v>263</v>
      </c>
      <c r="C15" s="652" t="s">
        <v>264</v>
      </c>
      <c r="D15" s="653" t="s">
        <v>528</v>
      </c>
      <c r="E15" s="653" t="s">
        <v>280</v>
      </c>
      <c r="F15" s="654" t="s">
        <v>281</v>
      </c>
      <c r="G15" s="655" t="s">
        <v>537</v>
      </c>
      <c r="H15" s="656" t="s">
        <v>538</v>
      </c>
      <c r="I15" s="657" t="s">
        <v>284</v>
      </c>
      <c r="J15" s="656" t="s">
        <v>538</v>
      </c>
      <c r="K15" s="657" t="s">
        <v>284</v>
      </c>
      <c r="L15" s="656" t="s">
        <v>538</v>
      </c>
      <c r="M15" s="657" t="s">
        <v>284</v>
      </c>
      <c r="N15" s="656" t="s">
        <v>538</v>
      </c>
      <c r="O15" s="657" t="s">
        <v>284</v>
      </c>
      <c r="P15" s="656" t="s">
        <v>538</v>
      </c>
      <c r="Q15" s="657" t="s">
        <v>284</v>
      </c>
      <c r="R15" s="656" t="s">
        <v>538</v>
      </c>
      <c r="S15" s="657" t="s">
        <v>284</v>
      </c>
      <c r="T15" s="656" t="s">
        <v>539</v>
      </c>
      <c r="U15" s="657" t="s">
        <v>284</v>
      </c>
      <c r="V15" s="656" t="s">
        <v>538</v>
      </c>
      <c r="W15" s="657" t="s">
        <v>284</v>
      </c>
      <c r="X15" s="656" t="s">
        <v>540</v>
      </c>
      <c r="Y15" s="657" t="s">
        <v>284</v>
      </c>
      <c r="Z15" s="656" t="s">
        <v>538</v>
      </c>
      <c r="AA15" s="657" t="s">
        <v>284</v>
      </c>
      <c r="AB15" s="656" t="s">
        <v>538</v>
      </c>
      <c r="AC15" s="657" t="s">
        <v>284</v>
      </c>
      <c r="AD15" s="656" t="s">
        <v>538</v>
      </c>
      <c r="AE15" s="657" t="s">
        <v>284</v>
      </c>
      <c r="AF15" s="656" t="s">
        <v>538</v>
      </c>
      <c r="AG15" s="657" t="s">
        <v>284</v>
      </c>
      <c r="AH15" s="656" t="s">
        <v>538</v>
      </c>
      <c r="AI15" s="657" t="s">
        <v>284</v>
      </c>
      <c r="AJ15" s="656" t="s">
        <v>540</v>
      </c>
      <c r="AK15" s="657" t="s">
        <v>284</v>
      </c>
      <c r="AL15" s="656" t="s">
        <v>538</v>
      </c>
      <c r="AM15" s="657" t="s">
        <v>284</v>
      </c>
      <c r="AN15" s="656" t="s">
        <v>538</v>
      </c>
      <c r="AO15" s="657" t="s">
        <v>284</v>
      </c>
      <c r="AP15" s="656" t="s">
        <v>539</v>
      </c>
      <c r="AQ15" s="657" t="s">
        <v>284</v>
      </c>
      <c r="AR15" s="656" t="s">
        <v>538</v>
      </c>
      <c r="AS15" s="657" t="s">
        <v>284</v>
      </c>
      <c r="AT15" s="656" t="s">
        <v>539</v>
      </c>
      <c r="AU15" s="657" t="s">
        <v>284</v>
      </c>
      <c r="AV15" s="656" t="s">
        <v>538</v>
      </c>
      <c r="AW15" s="657" t="s">
        <v>284</v>
      </c>
      <c r="AX15" s="656" t="s">
        <v>538</v>
      </c>
      <c r="AY15" s="657" t="s">
        <v>284</v>
      </c>
      <c r="AZ15" s="656" t="s">
        <v>538</v>
      </c>
      <c r="BA15" s="657" t="s">
        <v>284</v>
      </c>
      <c r="BB15" s="658" t="s">
        <v>286</v>
      </c>
      <c r="BC15" s="659"/>
      <c r="BD15" s="525" t="s">
        <v>278</v>
      </c>
      <c r="BE15" s="651" t="s">
        <v>263</v>
      </c>
      <c r="BF15" s="652" t="s">
        <v>264</v>
      </c>
      <c r="BG15" s="653" t="s">
        <v>541</v>
      </c>
      <c r="BH15" s="653" t="s">
        <v>280</v>
      </c>
      <c r="BI15" s="654" t="s">
        <v>281</v>
      </c>
      <c r="BJ15" s="655" t="s">
        <v>542</v>
      </c>
      <c r="BK15" s="656" t="s">
        <v>543</v>
      </c>
      <c r="BL15" s="657" t="s">
        <v>284</v>
      </c>
      <c r="BM15" s="656" t="s">
        <v>538</v>
      </c>
      <c r="BN15" s="657" t="s">
        <v>284</v>
      </c>
      <c r="BO15" s="656" t="s">
        <v>539</v>
      </c>
      <c r="BP15" s="657" t="s">
        <v>284</v>
      </c>
      <c r="BQ15" s="656" t="s">
        <v>538</v>
      </c>
      <c r="BR15" s="657" t="s">
        <v>284</v>
      </c>
      <c r="BS15" s="656" t="s">
        <v>543</v>
      </c>
      <c r="BT15" s="657" t="s">
        <v>284</v>
      </c>
      <c r="BU15" s="656" t="s">
        <v>538</v>
      </c>
      <c r="BV15" s="657" t="s">
        <v>284</v>
      </c>
      <c r="BW15" s="656" t="s">
        <v>538</v>
      </c>
      <c r="BX15" s="657" t="s">
        <v>284</v>
      </c>
      <c r="BY15" s="656" t="s">
        <v>538</v>
      </c>
      <c r="BZ15" s="657" t="s">
        <v>284</v>
      </c>
      <c r="CA15" s="656" t="s">
        <v>538</v>
      </c>
      <c r="CB15" s="657" t="s">
        <v>284</v>
      </c>
      <c r="CC15" s="656" t="s">
        <v>538</v>
      </c>
      <c r="CD15" s="657" t="s">
        <v>284</v>
      </c>
      <c r="CE15" s="656" t="s">
        <v>538</v>
      </c>
      <c r="CF15" s="657" t="s">
        <v>284</v>
      </c>
      <c r="CG15" s="656" t="s">
        <v>543</v>
      </c>
      <c r="CH15" s="657" t="s">
        <v>284</v>
      </c>
      <c r="CI15" s="656" t="s">
        <v>539</v>
      </c>
      <c r="CJ15" s="657" t="s">
        <v>284</v>
      </c>
      <c r="CK15" s="656" t="s">
        <v>538</v>
      </c>
      <c r="CL15" s="657" t="s">
        <v>284</v>
      </c>
      <c r="CM15" s="656" t="s">
        <v>539</v>
      </c>
      <c r="CN15" s="657" t="s">
        <v>284</v>
      </c>
      <c r="CO15" s="656" t="s">
        <v>538</v>
      </c>
      <c r="CP15" s="657" t="s">
        <v>284</v>
      </c>
      <c r="CQ15" s="656" t="s">
        <v>538</v>
      </c>
      <c r="CR15" s="657" t="s">
        <v>284</v>
      </c>
      <c r="CS15" s="656" t="s">
        <v>540</v>
      </c>
      <c r="CT15" s="657" t="s">
        <v>284</v>
      </c>
      <c r="CU15" s="656" t="s">
        <v>539</v>
      </c>
      <c r="CV15" s="657" t="s">
        <v>284</v>
      </c>
      <c r="CW15" s="656" t="s">
        <v>539</v>
      </c>
      <c r="CX15" s="657" t="s">
        <v>284</v>
      </c>
      <c r="CY15" s="656" t="s">
        <v>538</v>
      </c>
      <c r="CZ15" s="657" t="s">
        <v>284</v>
      </c>
      <c r="DA15" s="656" t="s">
        <v>538</v>
      </c>
      <c r="DB15" s="657" t="s">
        <v>284</v>
      </c>
      <c r="DC15" s="656" t="s">
        <v>538</v>
      </c>
      <c r="DD15" s="657" t="s">
        <v>284</v>
      </c>
      <c r="DE15" s="658" t="s">
        <v>286</v>
      </c>
      <c r="DF15" s="659"/>
      <c r="DG15" s="525" t="s">
        <v>278</v>
      </c>
      <c r="DH15" s="660" t="s">
        <v>263</v>
      </c>
      <c r="DI15" s="661" t="s">
        <v>264</v>
      </c>
      <c r="DJ15" s="662" t="s">
        <v>544</v>
      </c>
      <c r="DK15" s="662" t="s">
        <v>280</v>
      </c>
      <c r="DL15" s="663" t="s">
        <v>281</v>
      </c>
      <c r="DM15" s="655" t="s">
        <v>537</v>
      </c>
      <c r="DN15" s="656" t="s">
        <v>539</v>
      </c>
      <c r="DO15" s="657" t="s">
        <v>284</v>
      </c>
      <c r="DP15" s="656" t="s">
        <v>538</v>
      </c>
      <c r="DQ15" s="657" t="s">
        <v>284</v>
      </c>
      <c r="DR15" s="656" t="s">
        <v>538</v>
      </c>
      <c r="DS15" s="657" t="s">
        <v>284</v>
      </c>
      <c r="DT15" s="656" t="s">
        <v>538</v>
      </c>
      <c r="DU15" s="657" t="s">
        <v>284</v>
      </c>
      <c r="DV15" s="656" t="s">
        <v>538</v>
      </c>
      <c r="DW15" s="657" t="s">
        <v>284</v>
      </c>
      <c r="DX15" s="656" t="s">
        <v>538</v>
      </c>
      <c r="DY15" s="657" t="s">
        <v>284</v>
      </c>
      <c r="DZ15" s="656" t="s">
        <v>538</v>
      </c>
      <c r="EA15" s="657" t="s">
        <v>284</v>
      </c>
      <c r="EB15" s="656" t="s">
        <v>539</v>
      </c>
      <c r="EC15" s="657" t="s">
        <v>284</v>
      </c>
      <c r="ED15" s="656" t="s">
        <v>538</v>
      </c>
      <c r="EE15" s="657" t="s">
        <v>284</v>
      </c>
      <c r="EF15" s="656" t="s">
        <v>538</v>
      </c>
      <c r="EG15" s="657" t="s">
        <v>284</v>
      </c>
      <c r="EH15" s="656" t="s">
        <v>538</v>
      </c>
      <c r="EI15" s="657" t="s">
        <v>284</v>
      </c>
      <c r="EJ15" s="656" t="s">
        <v>538</v>
      </c>
      <c r="EK15" s="657" t="s">
        <v>284</v>
      </c>
      <c r="EL15" s="656" t="s">
        <v>538</v>
      </c>
      <c r="EM15" s="657" t="s">
        <v>284</v>
      </c>
      <c r="EN15" s="656" t="s">
        <v>539</v>
      </c>
      <c r="EO15" s="657" t="s">
        <v>284</v>
      </c>
      <c r="EP15" s="656" t="s">
        <v>538</v>
      </c>
      <c r="EQ15" s="657" t="s">
        <v>284</v>
      </c>
      <c r="ER15" s="656" t="s">
        <v>539</v>
      </c>
      <c r="ES15" s="657" t="s">
        <v>284</v>
      </c>
      <c r="ET15" s="656" t="s">
        <v>538</v>
      </c>
      <c r="EU15" s="657" t="s">
        <v>284</v>
      </c>
      <c r="EV15" s="656" t="s">
        <v>540</v>
      </c>
      <c r="EW15" s="657" t="s">
        <v>284</v>
      </c>
      <c r="EX15" s="656" t="s">
        <v>538</v>
      </c>
      <c r="EY15" s="657" t="s">
        <v>284</v>
      </c>
      <c r="EZ15" s="656" t="s">
        <v>543</v>
      </c>
      <c r="FA15" s="657" t="s">
        <v>284</v>
      </c>
      <c r="FB15" s="656" t="s">
        <v>538</v>
      </c>
      <c r="FC15" s="657" t="s">
        <v>284</v>
      </c>
      <c r="FD15" s="656" t="s">
        <v>539</v>
      </c>
      <c r="FE15" s="657" t="s">
        <v>284</v>
      </c>
      <c r="FF15" s="656" t="s">
        <v>538</v>
      </c>
      <c r="FG15" s="657" t="s">
        <v>284</v>
      </c>
      <c r="FH15" s="658" t="s">
        <v>286</v>
      </c>
      <c r="FI15" s="664"/>
      <c r="FJ15" s="535" t="s">
        <v>278</v>
      </c>
      <c r="FK15" s="651" t="s">
        <v>263</v>
      </c>
      <c r="FL15" s="652" t="s">
        <v>264</v>
      </c>
      <c r="FM15" s="653" t="s">
        <v>528</v>
      </c>
      <c r="FN15" s="653" t="s">
        <v>280</v>
      </c>
      <c r="FO15" s="654" t="s">
        <v>281</v>
      </c>
      <c r="FP15" s="665" t="s">
        <v>272</v>
      </c>
      <c r="FQ15" s="666" t="s">
        <v>284</v>
      </c>
      <c r="FR15" s="656" t="s">
        <v>286</v>
      </c>
      <c r="FS15" s="667" t="s">
        <v>272</v>
      </c>
      <c r="FT15" s="666" t="s">
        <v>284</v>
      </c>
      <c r="FU15" s="668" t="s">
        <v>286</v>
      </c>
      <c r="FV15" s="586"/>
      <c r="FW15" s="587"/>
      <c r="FX15" s="588"/>
      <c r="FY15" s="589"/>
      <c r="FZ15" s="590"/>
      <c r="GA15" s="591"/>
      <c r="GB15" s="592"/>
      <c r="GC15" s="593"/>
      <c r="GD15" s="592"/>
      <c r="GE15" s="594"/>
      <c r="GF15" s="669"/>
      <c r="GG15" s="670"/>
      <c r="GH15" s="670"/>
      <c r="GI15" s="670"/>
      <c r="GJ15" s="522"/>
      <c r="GK15" s="621"/>
      <c r="GL15" s="622"/>
      <c r="GM15" s="623"/>
      <c r="GN15" s="624"/>
      <c r="GO15" s="625"/>
      <c r="GP15" s="649"/>
      <c r="GQ15" s="626">
        <v>0</v>
      </c>
      <c r="GR15" s="627">
        <v>0</v>
      </c>
      <c r="GS15" s="522"/>
      <c r="GT15" s="670"/>
      <c r="GU15" s="621"/>
      <c r="GV15" s="622"/>
      <c r="GW15" s="628"/>
      <c r="GX15" s="629"/>
      <c r="GY15" s="630"/>
      <c r="GZ15" s="631"/>
      <c r="HA15" s="632">
        <v>0</v>
      </c>
      <c r="HB15" s="633"/>
      <c r="HC15" s="671"/>
      <c r="HD15" s="659"/>
      <c r="HE15" s="412"/>
      <c r="HF15" s="412"/>
      <c r="HG15" s="412"/>
    </row>
    <row r="16" spans="1:353" ht="20.100000000000001" customHeight="1">
      <c r="A16" s="545"/>
      <c r="B16" s="547" t="s">
        <v>200</v>
      </c>
      <c r="C16" s="672" t="s">
        <v>70</v>
      </c>
      <c r="D16" s="548">
        <v>68.25</v>
      </c>
      <c r="E16" s="673">
        <v>0.38</v>
      </c>
      <c r="F16" s="674"/>
      <c r="G16" s="675">
        <v>4.2</v>
      </c>
      <c r="H16" s="552">
        <f>ROUND(68.25*0.38*4.2,0)</f>
        <v>109</v>
      </c>
      <c r="I16" s="676">
        <v>3.5</v>
      </c>
      <c r="J16" s="552">
        <f>ROUND(68.25*0.38*3.5,0)</f>
        <v>91</v>
      </c>
      <c r="K16" s="676">
        <v>2.8</v>
      </c>
      <c r="L16" s="552">
        <f>ROUND(68.25*0.38*2.8,0)</f>
        <v>73</v>
      </c>
      <c r="M16" s="676">
        <v>2.2999999999999998</v>
      </c>
      <c r="N16" s="552">
        <f>ROUND(68.25*0.38*2.3,0)</f>
        <v>60</v>
      </c>
      <c r="O16" s="676">
        <v>1.7</v>
      </c>
      <c r="P16" s="552">
        <f>ROUND(68.25*0.38*1.7,0)</f>
        <v>44</v>
      </c>
      <c r="Q16" s="676">
        <v>1.3</v>
      </c>
      <c r="R16" s="552">
        <f>ROUND(68.25*0.38*1.3,0)</f>
        <v>34</v>
      </c>
      <c r="S16" s="676">
        <v>1.3</v>
      </c>
      <c r="T16" s="552">
        <f>ROUND(68.25*0.38*1.3,0)</f>
        <v>34</v>
      </c>
      <c r="U16" s="676">
        <v>1.7</v>
      </c>
      <c r="V16" s="552">
        <f>ROUND(68.25*0.38*1.7,0)</f>
        <v>44</v>
      </c>
      <c r="W16" s="676">
        <v>2.4</v>
      </c>
      <c r="X16" s="552">
        <f>ROUND(68.25*0.38*2.4,0)</f>
        <v>62</v>
      </c>
      <c r="Y16" s="676">
        <v>3.3</v>
      </c>
      <c r="Z16" s="552">
        <f>ROUND(68.25*0.38*3.3,0)</f>
        <v>86</v>
      </c>
      <c r="AA16" s="676">
        <v>4.2</v>
      </c>
      <c r="AB16" s="552">
        <f>ROUND(68.25*0.38*4.2,0)</f>
        <v>109</v>
      </c>
      <c r="AC16" s="676">
        <v>5.2</v>
      </c>
      <c r="AD16" s="552">
        <f>ROUND(68.25*0.38*5.2,0)</f>
        <v>135</v>
      </c>
      <c r="AE16" s="676">
        <v>6.2</v>
      </c>
      <c r="AF16" s="552">
        <f>ROUND(68.25*0.38*6.2,0)</f>
        <v>161</v>
      </c>
      <c r="AG16" s="676">
        <v>7.2</v>
      </c>
      <c r="AH16" s="552">
        <f>ROUND(68.25*0.38*7.2,0)</f>
        <v>187</v>
      </c>
      <c r="AI16" s="676">
        <v>8.1</v>
      </c>
      <c r="AJ16" s="552">
        <f>ROUND(68.25*0.38*8.1,0)</f>
        <v>210</v>
      </c>
      <c r="AK16" s="676">
        <v>8.9</v>
      </c>
      <c r="AL16" s="552">
        <f>ROUND(68.25*0.38*8.9,0)</f>
        <v>231</v>
      </c>
      <c r="AM16" s="676">
        <v>9.3000000000000007</v>
      </c>
      <c r="AN16" s="552">
        <f>ROUND(68.25*0.38*9.3,0)</f>
        <v>241</v>
      </c>
      <c r="AO16" s="676">
        <v>9.4</v>
      </c>
      <c r="AP16" s="552">
        <f>ROUND(68.25*0.38*9.4,0)</f>
        <v>244</v>
      </c>
      <c r="AQ16" s="676">
        <v>9.1</v>
      </c>
      <c r="AR16" s="552">
        <f>ROUND(68.25*0.38*9.1,0)</f>
        <v>236</v>
      </c>
      <c r="AS16" s="676">
        <v>8.5</v>
      </c>
      <c r="AT16" s="552">
        <f>ROUND(68.25*0.38*8.5,0)</f>
        <v>220</v>
      </c>
      <c r="AU16" s="676">
        <v>7.6</v>
      </c>
      <c r="AV16" s="552">
        <f>ROUND(68.25*0.38*7.6,0)</f>
        <v>197</v>
      </c>
      <c r="AW16" s="676">
        <v>6.7</v>
      </c>
      <c r="AX16" s="552">
        <f>ROUND(68.25*0.38*6.7,0)</f>
        <v>174</v>
      </c>
      <c r="AY16" s="676">
        <v>5.8</v>
      </c>
      <c r="AZ16" s="552">
        <f>ROUND(68.25*0.38*5.8,0)</f>
        <v>150</v>
      </c>
      <c r="BA16" s="676">
        <v>5</v>
      </c>
      <c r="BB16" s="677">
        <f>ROUND(68.25*0.38*5,0)</f>
        <v>130</v>
      </c>
      <c r="BC16" s="555"/>
      <c r="BD16" s="545"/>
      <c r="BE16" s="547" t="s">
        <v>200</v>
      </c>
      <c r="BF16" s="672" t="s">
        <v>70</v>
      </c>
      <c r="BG16" s="548">
        <v>68.25</v>
      </c>
      <c r="BH16" s="673">
        <v>0.38</v>
      </c>
      <c r="BI16" s="674"/>
      <c r="BJ16" s="675">
        <v>4.3</v>
      </c>
      <c r="BK16" s="552">
        <f>ROUND(68.25*0.38*4.3,0)</f>
        <v>112</v>
      </c>
      <c r="BL16" s="676">
        <v>3.4</v>
      </c>
      <c r="BM16" s="552">
        <f>ROUND(68.25*0.38*3.4,0)</f>
        <v>88</v>
      </c>
      <c r="BN16" s="676">
        <v>2.7</v>
      </c>
      <c r="BO16" s="552">
        <f>ROUND(68.25*0.38*2.7,0)</f>
        <v>70</v>
      </c>
      <c r="BP16" s="676">
        <v>2</v>
      </c>
      <c r="BQ16" s="552">
        <f>ROUND(68.25*0.38*2,0)</f>
        <v>52</v>
      </c>
      <c r="BR16" s="676">
        <v>1.5</v>
      </c>
      <c r="BS16" s="552">
        <f>ROUND(68.25*0.38*1.5,0)</f>
        <v>39</v>
      </c>
      <c r="BT16" s="676">
        <v>1</v>
      </c>
      <c r="BU16" s="552">
        <f>ROUND(68.25*0.38*1,0)</f>
        <v>26</v>
      </c>
      <c r="BV16" s="676">
        <v>1.1000000000000001</v>
      </c>
      <c r="BW16" s="552">
        <f>ROUND(68.25*0.38*1.1,0)</f>
        <v>29</v>
      </c>
      <c r="BX16" s="676">
        <v>1.8</v>
      </c>
      <c r="BY16" s="552">
        <f>ROUND(68.25*0.38*1.8,0)</f>
        <v>47</v>
      </c>
      <c r="BZ16" s="676">
        <v>2.9</v>
      </c>
      <c r="CA16" s="552">
        <f>ROUND(68.25*0.38*2.9,0)</f>
        <v>75</v>
      </c>
      <c r="CB16" s="676">
        <v>3.9</v>
      </c>
      <c r="CC16" s="552">
        <f>ROUND(68.25*0.38*3.9,0)</f>
        <v>101</v>
      </c>
      <c r="CD16" s="676">
        <v>4.9000000000000004</v>
      </c>
      <c r="CE16" s="552">
        <f>ROUND(68.25*0.38*4.9,0)</f>
        <v>127</v>
      </c>
      <c r="CF16" s="676">
        <v>5.9</v>
      </c>
      <c r="CG16" s="552">
        <f>ROUND(68.25*0.38*5.9,0)</f>
        <v>153</v>
      </c>
      <c r="CH16" s="676">
        <v>6.9</v>
      </c>
      <c r="CI16" s="552">
        <f>ROUND(68.25*0.38*6.9,0)</f>
        <v>179</v>
      </c>
      <c r="CJ16" s="676">
        <v>7.9</v>
      </c>
      <c r="CK16" s="552">
        <f>ROUND(68.25*0.38*7.9,0)</f>
        <v>205</v>
      </c>
      <c r="CL16" s="676">
        <v>8.6999999999999993</v>
      </c>
      <c r="CM16" s="552">
        <f>ROUND(68.25*0.38*8.7,0)</f>
        <v>226</v>
      </c>
      <c r="CN16" s="676">
        <v>9.4</v>
      </c>
      <c r="CO16" s="552">
        <f>ROUND(68.25*0.38*9.4,0)</f>
        <v>244</v>
      </c>
      <c r="CP16" s="676">
        <v>9.9</v>
      </c>
      <c r="CQ16" s="552">
        <f>ROUND(68.25*0.38*9.9,0)</f>
        <v>257</v>
      </c>
      <c r="CR16" s="676">
        <v>10</v>
      </c>
      <c r="CS16" s="552">
        <f>ROUND(68.25*0.38*10,0)</f>
        <v>259</v>
      </c>
      <c r="CT16" s="676">
        <v>9.8000000000000007</v>
      </c>
      <c r="CU16" s="552">
        <f>ROUND(68.25*0.38*9.8,0)</f>
        <v>254</v>
      </c>
      <c r="CV16" s="676">
        <v>9.1</v>
      </c>
      <c r="CW16" s="552">
        <f>ROUND(68.25*0.38*9.1,0)</f>
        <v>236</v>
      </c>
      <c r="CX16" s="676">
        <v>8.1999999999999993</v>
      </c>
      <c r="CY16" s="552">
        <f>ROUND(68.25*0.38*8.2,0)</f>
        <v>213</v>
      </c>
      <c r="CZ16" s="676">
        <v>7.2</v>
      </c>
      <c r="DA16" s="552">
        <f>ROUND(68.25*0.38*7.2,0)</f>
        <v>187</v>
      </c>
      <c r="DB16" s="676">
        <v>6.1</v>
      </c>
      <c r="DC16" s="552">
        <f>ROUND(68.25*0.38*6.1,0)</f>
        <v>158</v>
      </c>
      <c r="DD16" s="676">
        <v>5.2</v>
      </c>
      <c r="DE16" s="677">
        <f>ROUND(68.25*0.38*5.2,0)</f>
        <v>135</v>
      </c>
      <c r="DF16" s="555"/>
      <c r="DG16" s="545"/>
      <c r="DH16" s="547" t="s">
        <v>200</v>
      </c>
      <c r="DI16" s="672" t="s">
        <v>70</v>
      </c>
      <c r="DJ16" s="548">
        <v>68.25</v>
      </c>
      <c r="DK16" s="673">
        <v>0.38</v>
      </c>
      <c r="DL16" s="674"/>
      <c r="DM16" s="675">
        <v>0</v>
      </c>
      <c r="DN16" s="552">
        <f>ROUND(68.25*0.38*0,0)</f>
        <v>0</v>
      </c>
      <c r="DO16" s="676">
        <v>0</v>
      </c>
      <c r="DP16" s="552">
        <f>ROUND(68.25*0.38*0,0)</f>
        <v>0</v>
      </c>
      <c r="DQ16" s="676">
        <v>0</v>
      </c>
      <c r="DR16" s="552">
        <f>ROUND(68.25*0.38*0,0)</f>
        <v>0</v>
      </c>
      <c r="DS16" s="676">
        <v>0</v>
      </c>
      <c r="DT16" s="552">
        <f>ROUND(68.25*0.38*0,0)</f>
        <v>0</v>
      </c>
      <c r="DU16" s="676">
        <v>0</v>
      </c>
      <c r="DV16" s="552">
        <f>ROUND(68.25*0.38*0,0)</f>
        <v>0</v>
      </c>
      <c r="DW16" s="676">
        <v>0</v>
      </c>
      <c r="DX16" s="552">
        <f>ROUND(68.25*0.38*0,0)</f>
        <v>0</v>
      </c>
      <c r="DY16" s="676">
        <v>0</v>
      </c>
      <c r="DZ16" s="552">
        <f>ROUND(68.25*0.38*0,0)</f>
        <v>0</v>
      </c>
      <c r="EA16" s="676">
        <v>0</v>
      </c>
      <c r="EB16" s="552">
        <f>ROUND(68.25*0.38*0,0)</f>
        <v>0</v>
      </c>
      <c r="EC16" s="676">
        <v>0</v>
      </c>
      <c r="ED16" s="552">
        <f>ROUND(68.25*0.38*0,0)</f>
        <v>0</v>
      </c>
      <c r="EE16" s="676">
        <v>0</v>
      </c>
      <c r="EF16" s="552">
        <f>ROUND(68.25*0.38*0,0)</f>
        <v>0</v>
      </c>
      <c r="EG16" s="676">
        <v>0</v>
      </c>
      <c r="EH16" s="552">
        <f>ROUND(68.25*0.38*0,0)</f>
        <v>0</v>
      </c>
      <c r="EI16" s="676">
        <v>0</v>
      </c>
      <c r="EJ16" s="552">
        <f>ROUND(68.25*0.38*0,0)</f>
        <v>0</v>
      </c>
      <c r="EK16" s="676">
        <v>0.4</v>
      </c>
      <c r="EL16" s="552">
        <f>ROUND(68.25*0.38*0.4,0)</f>
        <v>10</v>
      </c>
      <c r="EM16" s="676">
        <v>1.5</v>
      </c>
      <c r="EN16" s="552">
        <f>ROUND(68.25*0.38*1.5,0)</f>
        <v>39</v>
      </c>
      <c r="EO16" s="676">
        <v>2.4</v>
      </c>
      <c r="EP16" s="552">
        <f>ROUND(68.25*0.38*2.4,0)</f>
        <v>62</v>
      </c>
      <c r="EQ16" s="676">
        <v>3.1</v>
      </c>
      <c r="ER16" s="552">
        <f>ROUND(68.25*0.38*3.1,0)</f>
        <v>80</v>
      </c>
      <c r="ES16" s="676">
        <v>3.6</v>
      </c>
      <c r="ET16" s="552">
        <f>ROUND(68.25*0.38*3.6,0)</f>
        <v>93</v>
      </c>
      <c r="EU16" s="676">
        <v>3.6</v>
      </c>
      <c r="EV16" s="552">
        <f>ROUND(68.25*0.38*3.6,0)</f>
        <v>93</v>
      </c>
      <c r="EW16" s="676">
        <v>3.2</v>
      </c>
      <c r="EX16" s="552">
        <f>ROUND(68.25*0.38*3.2,0)</f>
        <v>83</v>
      </c>
      <c r="EY16" s="676">
        <v>2.4</v>
      </c>
      <c r="EZ16" s="552">
        <f>ROUND(68.25*0.38*2.4,0)</f>
        <v>62</v>
      </c>
      <c r="FA16" s="676">
        <v>1.5</v>
      </c>
      <c r="FB16" s="552">
        <f>ROUND(68.25*0.38*1.5,0)</f>
        <v>39</v>
      </c>
      <c r="FC16" s="676">
        <v>0.6</v>
      </c>
      <c r="FD16" s="552">
        <f>ROUND(68.25*0.38*0.6,0)</f>
        <v>16</v>
      </c>
      <c r="FE16" s="676">
        <v>0</v>
      </c>
      <c r="FF16" s="552">
        <f>ROUND(68.25*0.38*0,0)</f>
        <v>0</v>
      </c>
      <c r="FG16" s="676">
        <v>0</v>
      </c>
      <c r="FH16" s="677">
        <f>ROUND(68.25*0.38*0,0)</f>
        <v>0</v>
      </c>
      <c r="FI16" s="556"/>
      <c r="FJ16" s="557"/>
      <c r="FK16" s="547" t="s">
        <v>200</v>
      </c>
      <c r="FL16" s="672" t="s">
        <v>70</v>
      </c>
      <c r="FM16" s="548">
        <v>68.25</v>
      </c>
      <c r="FN16" s="673">
        <v>0.38</v>
      </c>
      <c r="FO16" s="674"/>
      <c r="FP16" s="678">
        <v>6</v>
      </c>
      <c r="FQ16" s="679">
        <v>30.9</v>
      </c>
      <c r="FR16" s="552">
        <f>ROUND(68.25*0.38*30.9,0)</f>
        <v>801</v>
      </c>
      <c r="FS16" s="680">
        <v>4</v>
      </c>
      <c r="FT16" s="679">
        <v>29.8</v>
      </c>
      <c r="FU16" s="560">
        <f>ROUND(68.25*0.38*29.8,0)</f>
        <v>773</v>
      </c>
      <c r="FV16" s="586"/>
      <c r="FW16" s="587"/>
      <c r="FX16" s="588"/>
      <c r="FY16" s="589"/>
      <c r="FZ16" s="590"/>
      <c r="GA16" s="591"/>
      <c r="GB16" s="592"/>
      <c r="GC16" s="593"/>
      <c r="GD16" s="592"/>
      <c r="GE16" s="594"/>
      <c r="GF16" s="681"/>
      <c r="GG16" s="670"/>
      <c r="GH16" s="670"/>
      <c r="GI16" s="670"/>
      <c r="GJ16" s="410"/>
      <c r="GK16" s="621"/>
      <c r="GL16" s="622"/>
      <c r="GM16" s="623"/>
      <c r="GN16" s="624"/>
      <c r="GO16" s="625"/>
      <c r="GP16" s="649"/>
      <c r="GQ16" s="626">
        <v>0</v>
      </c>
      <c r="GR16" s="627">
        <v>0</v>
      </c>
      <c r="GS16" s="406"/>
      <c r="GT16" s="682"/>
      <c r="GU16" s="621"/>
      <c r="GV16" s="622"/>
      <c r="GW16" s="628"/>
      <c r="GX16" s="629"/>
      <c r="GY16" s="630"/>
      <c r="GZ16" s="631"/>
      <c r="HA16" s="632">
        <v>0</v>
      </c>
      <c r="HB16" s="633"/>
      <c r="HC16" s="683"/>
      <c r="HD16" s="412"/>
      <c r="HE16" s="412"/>
      <c r="HF16" s="412"/>
      <c r="HG16" s="412"/>
    </row>
    <row r="17" spans="1:218" ht="20.100000000000001" customHeight="1">
      <c r="A17" s="545"/>
      <c r="B17" s="575" t="s">
        <v>235</v>
      </c>
      <c r="C17" s="684"/>
      <c r="D17" s="576">
        <v>98.1</v>
      </c>
      <c r="E17" s="685">
        <v>0.51</v>
      </c>
      <c r="F17" s="686"/>
      <c r="G17" s="687">
        <v>0</v>
      </c>
      <c r="H17" s="580">
        <f>ROUND(98.1*0.51*0,0)</f>
        <v>0</v>
      </c>
      <c r="I17" s="688">
        <v>0</v>
      </c>
      <c r="J17" s="580">
        <f>ROUND(98.1*0.51*0,0)</f>
        <v>0</v>
      </c>
      <c r="K17" s="688">
        <v>0</v>
      </c>
      <c r="L17" s="580">
        <f>ROUND(98.1*0.51*0,0)</f>
        <v>0</v>
      </c>
      <c r="M17" s="688">
        <v>0</v>
      </c>
      <c r="N17" s="580">
        <f>ROUND(98.1*0.51*0,0)</f>
        <v>0</v>
      </c>
      <c r="O17" s="688">
        <v>0</v>
      </c>
      <c r="P17" s="580">
        <f>ROUND(98.1*0.51*0,0)</f>
        <v>0</v>
      </c>
      <c r="Q17" s="688">
        <v>0</v>
      </c>
      <c r="R17" s="580">
        <f>ROUND(98.1*0.51*0,0)</f>
        <v>0</v>
      </c>
      <c r="S17" s="688">
        <v>0.2</v>
      </c>
      <c r="T17" s="580">
        <f>ROUND(98.1*0.51*0.2,0)</f>
        <v>10</v>
      </c>
      <c r="U17" s="688">
        <v>0.6</v>
      </c>
      <c r="V17" s="580">
        <f>ROUND(98.1*0.51*0.6,0)</f>
        <v>30</v>
      </c>
      <c r="W17" s="688">
        <v>1.1000000000000001</v>
      </c>
      <c r="X17" s="580">
        <f>ROUND(98.1*0.51*1.1,0)</f>
        <v>55</v>
      </c>
      <c r="Y17" s="688">
        <v>1.5</v>
      </c>
      <c r="Z17" s="580">
        <f>ROUND(98.1*0.51*1.5,0)</f>
        <v>75</v>
      </c>
      <c r="AA17" s="688">
        <v>1.8</v>
      </c>
      <c r="AB17" s="580">
        <f>ROUND(98.1*0.51*1.8,0)</f>
        <v>90</v>
      </c>
      <c r="AC17" s="688">
        <v>2</v>
      </c>
      <c r="AD17" s="580">
        <f>ROUND(98.1*0.51*2,0)</f>
        <v>100</v>
      </c>
      <c r="AE17" s="688">
        <v>2.2999999999999998</v>
      </c>
      <c r="AF17" s="580">
        <f>ROUND(98.1*0.51*2.3,0)</f>
        <v>115</v>
      </c>
      <c r="AG17" s="688">
        <v>2.2999999999999998</v>
      </c>
      <c r="AH17" s="580">
        <f>ROUND(98.1*0.51*2.3,0)</f>
        <v>115</v>
      </c>
      <c r="AI17" s="688">
        <v>2.2999999999999998</v>
      </c>
      <c r="AJ17" s="580">
        <f>ROUND(98.1*0.51*2.3,0)</f>
        <v>115</v>
      </c>
      <c r="AK17" s="688">
        <v>2.1</v>
      </c>
      <c r="AL17" s="580">
        <f>ROUND(98.1*0.51*2.1,0)</f>
        <v>105</v>
      </c>
      <c r="AM17" s="688">
        <v>1.7</v>
      </c>
      <c r="AN17" s="580">
        <f>ROUND(98.1*0.51*1.7,0)</f>
        <v>85</v>
      </c>
      <c r="AO17" s="688">
        <v>1.4</v>
      </c>
      <c r="AP17" s="580">
        <f>ROUND(98.1*0.51*1.4,0)</f>
        <v>70</v>
      </c>
      <c r="AQ17" s="688">
        <v>1</v>
      </c>
      <c r="AR17" s="580">
        <f>ROUND(98.1*0.51*1,0)</f>
        <v>50</v>
      </c>
      <c r="AS17" s="688">
        <v>0.8</v>
      </c>
      <c r="AT17" s="580">
        <f>ROUND(98.1*0.51*0.8,0)</f>
        <v>40</v>
      </c>
      <c r="AU17" s="688">
        <v>0.6</v>
      </c>
      <c r="AV17" s="580">
        <f>ROUND(98.1*0.51*0.6,0)</f>
        <v>30</v>
      </c>
      <c r="AW17" s="688">
        <v>0.4</v>
      </c>
      <c r="AX17" s="580">
        <f>ROUND(98.1*0.51*0.4,0)</f>
        <v>20</v>
      </c>
      <c r="AY17" s="688">
        <v>0.2</v>
      </c>
      <c r="AZ17" s="580">
        <f>ROUND(98.1*0.51*0.2,0)</f>
        <v>10</v>
      </c>
      <c r="BA17" s="688">
        <v>0.1</v>
      </c>
      <c r="BB17" s="582">
        <f>ROUND(98.1*0.51*0.1,0)</f>
        <v>5</v>
      </c>
      <c r="BC17" s="555"/>
      <c r="BD17" s="545"/>
      <c r="BE17" s="575" t="s">
        <v>235</v>
      </c>
      <c r="BF17" s="684"/>
      <c r="BG17" s="576">
        <v>98.1</v>
      </c>
      <c r="BH17" s="685">
        <v>0.51</v>
      </c>
      <c r="BI17" s="686"/>
      <c r="BJ17" s="687">
        <v>0</v>
      </c>
      <c r="BK17" s="580">
        <f>ROUND(98.1*0.51*0,0)</f>
        <v>0</v>
      </c>
      <c r="BL17" s="688">
        <v>0</v>
      </c>
      <c r="BM17" s="580">
        <f>ROUND(98.1*0.51*0,0)</f>
        <v>0</v>
      </c>
      <c r="BN17" s="688">
        <v>0</v>
      </c>
      <c r="BO17" s="580">
        <f>ROUND(98.1*0.51*0,0)</f>
        <v>0</v>
      </c>
      <c r="BP17" s="688">
        <v>0</v>
      </c>
      <c r="BQ17" s="580">
        <f>ROUND(98.1*0.51*0,0)</f>
        <v>0</v>
      </c>
      <c r="BR17" s="688">
        <v>0</v>
      </c>
      <c r="BS17" s="580">
        <f>ROUND(98.1*0.51*0,0)</f>
        <v>0</v>
      </c>
      <c r="BT17" s="688">
        <v>0</v>
      </c>
      <c r="BU17" s="580">
        <f>ROUND(98.1*0.51*0,0)</f>
        <v>0</v>
      </c>
      <c r="BV17" s="688">
        <v>0.3</v>
      </c>
      <c r="BW17" s="580">
        <f>ROUND(98.1*0.51*0.3,0)</f>
        <v>15</v>
      </c>
      <c r="BX17" s="688">
        <v>0.8</v>
      </c>
      <c r="BY17" s="580">
        <f>ROUND(98.1*0.51*0.8,0)</f>
        <v>40</v>
      </c>
      <c r="BZ17" s="688">
        <v>1.4</v>
      </c>
      <c r="CA17" s="580">
        <f>ROUND(98.1*0.51*1.4,0)</f>
        <v>70</v>
      </c>
      <c r="CB17" s="688">
        <v>1.8</v>
      </c>
      <c r="CC17" s="580">
        <f>ROUND(98.1*0.51*1.8,0)</f>
        <v>90</v>
      </c>
      <c r="CD17" s="688">
        <v>2.1</v>
      </c>
      <c r="CE17" s="580">
        <f>ROUND(98.1*0.51*2.1,0)</f>
        <v>105</v>
      </c>
      <c r="CF17" s="688">
        <v>2.2999999999999998</v>
      </c>
      <c r="CG17" s="580">
        <f>ROUND(98.1*0.51*2.3,0)</f>
        <v>115</v>
      </c>
      <c r="CH17" s="688">
        <v>2.5</v>
      </c>
      <c r="CI17" s="580">
        <f>ROUND(98.1*0.51*2.5,0)</f>
        <v>125</v>
      </c>
      <c r="CJ17" s="688">
        <v>2.6</v>
      </c>
      <c r="CK17" s="580">
        <f>ROUND(98.1*0.51*2.6,0)</f>
        <v>130</v>
      </c>
      <c r="CL17" s="688">
        <v>2.5</v>
      </c>
      <c r="CM17" s="580">
        <f>ROUND(98.1*0.51*2.5,0)</f>
        <v>125</v>
      </c>
      <c r="CN17" s="688">
        <v>2.4</v>
      </c>
      <c r="CO17" s="580">
        <f>ROUND(98.1*0.51*2.4,0)</f>
        <v>120</v>
      </c>
      <c r="CP17" s="688">
        <v>2.1</v>
      </c>
      <c r="CQ17" s="580">
        <f>ROUND(98.1*0.51*2.1,0)</f>
        <v>105</v>
      </c>
      <c r="CR17" s="688">
        <v>1.6</v>
      </c>
      <c r="CS17" s="580">
        <f>ROUND(98.1*0.51*1.6,0)</f>
        <v>80</v>
      </c>
      <c r="CT17" s="688">
        <v>1.1000000000000001</v>
      </c>
      <c r="CU17" s="580">
        <f>ROUND(98.1*0.51*1.1,0)</f>
        <v>55</v>
      </c>
      <c r="CV17" s="688">
        <v>0.7</v>
      </c>
      <c r="CW17" s="580">
        <f>ROUND(98.1*0.51*0.7,0)</f>
        <v>35</v>
      </c>
      <c r="CX17" s="688">
        <v>0.5</v>
      </c>
      <c r="CY17" s="580">
        <f>ROUND(98.1*0.51*0.5,0)</f>
        <v>25</v>
      </c>
      <c r="CZ17" s="688">
        <v>0.3</v>
      </c>
      <c r="DA17" s="580">
        <f>ROUND(98.1*0.51*0.3,0)</f>
        <v>15</v>
      </c>
      <c r="DB17" s="688">
        <v>0.1</v>
      </c>
      <c r="DC17" s="580">
        <f>ROUND(98.1*0.51*0.1,0)</f>
        <v>5</v>
      </c>
      <c r="DD17" s="688">
        <v>0</v>
      </c>
      <c r="DE17" s="582">
        <f>ROUND(98.1*0.51*0,0)</f>
        <v>0</v>
      </c>
      <c r="DF17" s="555"/>
      <c r="DG17" s="545"/>
      <c r="DH17" s="575" t="s">
        <v>235</v>
      </c>
      <c r="DI17" s="684"/>
      <c r="DJ17" s="576">
        <v>98.1</v>
      </c>
      <c r="DK17" s="685">
        <v>0.51</v>
      </c>
      <c r="DL17" s="686"/>
      <c r="DM17" s="687">
        <v>0</v>
      </c>
      <c r="DN17" s="580">
        <f>ROUND(98.1*0.51*0,0)</f>
        <v>0</v>
      </c>
      <c r="DO17" s="688">
        <v>0</v>
      </c>
      <c r="DP17" s="580">
        <f>ROUND(98.1*0.51*0,0)</f>
        <v>0</v>
      </c>
      <c r="DQ17" s="688">
        <v>0</v>
      </c>
      <c r="DR17" s="580">
        <f>ROUND(98.1*0.51*0,0)</f>
        <v>0</v>
      </c>
      <c r="DS17" s="688">
        <v>0</v>
      </c>
      <c r="DT17" s="580">
        <f>ROUND(98.1*0.51*0,0)</f>
        <v>0</v>
      </c>
      <c r="DU17" s="688">
        <v>0</v>
      </c>
      <c r="DV17" s="580">
        <f>ROUND(98.1*0.51*0,0)</f>
        <v>0</v>
      </c>
      <c r="DW17" s="688">
        <v>0</v>
      </c>
      <c r="DX17" s="580">
        <f>ROUND(98.1*0.51*0,0)</f>
        <v>0</v>
      </c>
      <c r="DY17" s="688">
        <v>0</v>
      </c>
      <c r="DZ17" s="580">
        <f>ROUND(98.1*0.51*0,0)</f>
        <v>0</v>
      </c>
      <c r="EA17" s="688">
        <v>0</v>
      </c>
      <c r="EB17" s="580">
        <f>ROUND(98.1*0.51*0,0)</f>
        <v>0</v>
      </c>
      <c r="EC17" s="688">
        <v>0</v>
      </c>
      <c r="ED17" s="580">
        <f>ROUND(98.1*0.51*0,0)</f>
        <v>0</v>
      </c>
      <c r="EE17" s="688">
        <v>0.2</v>
      </c>
      <c r="EF17" s="580">
        <f>ROUND(98.1*0.51*0.2,0)</f>
        <v>10</v>
      </c>
      <c r="EG17" s="688">
        <v>0.5</v>
      </c>
      <c r="EH17" s="580">
        <f>ROUND(98.1*0.51*0.5,0)</f>
        <v>25</v>
      </c>
      <c r="EI17" s="688">
        <v>0.8</v>
      </c>
      <c r="EJ17" s="580">
        <f>ROUND(98.1*0.51*0.8,0)</f>
        <v>40</v>
      </c>
      <c r="EK17" s="688">
        <v>0.9</v>
      </c>
      <c r="EL17" s="580">
        <f>ROUND(98.1*0.51*0.9,0)</f>
        <v>45</v>
      </c>
      <c r="EM17" s="688">
        <v>0.9</v>
      </c>
      <c r="EN17" s="580">
        <f>ROUND(98.1*0.51*0.9,0)</f>
        <v>45</v>
      </c>
      <c r="EO17" s="688">
        <v>0.8</v>
      </c>
      <c r="EP17" s="580">
        <f>ROUND(98.1*0.51*0.8,0)</f>
        <v>40</v>
      </c>
      <c r="EQ17" s="688">
        <v>0.5</v>
      </c>
      <c r="ER17" s="580">
        <f>ROUND(98.1*0.51*0.5,0)</f>
        <v>25</v>
      </c>
      <c r="ES17" s="688">
        <v>0.1</v>
      </c>
      <c r="ET17" s="580">
        <f>ROUND(98.1*0.51*0.1,0)</f>
        <v>5</v>
      </c>
      <c r="EU17" s="688">
        <v>0</v>
      </c>
      <c r="EV17" s="580">
        <f>ROUND(98.1*0.51*0,0)</f>
        <v>0</v>
      </c>
      <c r="EW17" s="688">
        <v>0</v>
      </c>
      <c r="EX17" s="580">
        <f>ROUND(98.1*0.51*0,0)</f>
        <v>0</v>
      </c>
      <c r="EY17" s="688">
        <v>0</v>
      </c>
      <c r="EZ17" s="580">
        <f>ROUND(98.1*0.51*0,0)</f>
        <v>0</v>
      </c>
      <c r="FA17" s="688">
        <v>0</v>
      </c>
      <c r="FB17" s="580">
        <f>ROUND(98.1*0.51*0,0)</f>
        <v>0</v>
      </c>
      <c r="FC17" s="688">
        <v>0</v>
      </c>
      <c r="FD17" s="580">
        <f>ROUND(98.1*0.51*0,0)</f>
        <v>0</v>
      </c>
      <c r="FE17" s="688">
        <v>0</v>
      </c>
      <c r="FF17" s="580">
        <f>ROUND(98.1*0.51*0,0)</f>
        <v>0</v>
      </c>
      <c r="FG17" s="688">
        <v>0</v>
      </c>
      <c r="FH17" s="582">
        <f>ROUND(98.1*0.51*0,0)</f>
        <v>0</v>
      </c>
      <c r="FI17" s="556"/>
      <c r="FJ17" s="557"/>
      <c r="FK17" s="575" t="s">
        <v>235</v>
      </c>
      <c r="FL17" s="684"/>
      <c r="FM17" s="576">
        <v>98.1</v>
      </c>
      <c r="FN17" s="685">
        <v>0.51</v>
      </c>
      <c r="FO17" s="686"/>
      <c r="FP17" s="689">
        <v>6</v>
      </c>
      <c r="FQ17" s="690">
        <v>9.3000000000000007</v>
      </c>
      <c r="FR17" s="580">
        <f>ROUND(98.1*0.51*9.3,0)</f>
        <v>465</v>
      </c>
      <c r="FS17" s="691">
        <v>4</v>
      </c>
      <c r="FT17" s="690">
        <v>8.9</v>
      </c>
      <c r="FU17" s="585">
        <f>ROUND(98.1*0.51*8.9,0)</f>
        <v>445</v>
      </c>
      <c r="FV17" s="586"/>
      <c r="FW17" s="587"/>
      <c r="FX17" s="588"/>
      <c r="FY17" s="589"/>
      <c r="FZ17" s="590"/>
      <c r="GA17" s="591"/>
      <c r="GB17" s="592"/>
      <c r="GC17" s="593"/>
      <c r="GD17" s="592"/>
      <c r="GE17" s="594"/>
      <c r="GF17" s="681"/>
      <c r="GG17" s="595"/>
      <c r="GH17" s="595"/>
      <c r="GI17" s="595"/>
      <c r="GJ17" s="573"/>
      <c r="GK17" s="621"/>
      <c r="GL17" s="622"/>
      <c r="GM17" s="623"/>
      <c r="GN17" s="624"/>
      <c r="GO17" s="625"/>
      <c r="GP17" s="649"/>
      <c r="GQ17" s="626">
        <v>0</v>
      </c>
      <c r="GR17" s="627">
        <v>0</v>
      </c>
      <c r="GS17" s="692"/>
      <c r="GT17" s="682"/>
      <c r="GU17" s="621"/>
      <c r="GV17" s="622"/>
      <c r="GW17" s="628"/>
      <c r="GX17" s="629"/>
      <c r="GY17" s="630"/>
      <c r="GZ17" s="631"/>
      <c r="HA17" s="632">
        <v>0</v>
      </c>
      <c r="HB17" s="633"/>
      <c r="HC17" s="523"/>
      <c r="HD17" s="412"/>
      <c r="HE17" s="412"/>
      <c r="HF17" s="412"/>
      <c r="HG17" s="412"/>
    </row>
    <row r="18" spans="1:218" ht="20.100000000000001" customHeight="1">
      <c r="A18" s="545"/>
      <c r="B18" s="693" t="s">
        <v>240</v>
      </c>
      <c r="C18" s="684"/>
      <c r="D18" s="576">
        <v>92.82</v>
      </c>
      <c r="E18" s="685">
        <v>0.46</v>
      </c>
      <c r="F18" s="686"/>
      <c r="G18" s="687">
        <v>0</v>
      </c>
      <c r="H18" s="580">
        <f>ROUND(92.82*0.46*0,0)</f>
        <v>0</v>
      </c>
      <c r="I18" s="688">
        <v>0</v>
      </c>
      <c r="J18" s="580">
        <f>ROUND(92.82*0.46*0,0)</f>
        <v>0</v>
      </c>
      <c r="K18" s="688">
        <v>0</v>
      </c>
      <c r="L18" s="580">
        <f>ROUND(92.82*0.46*0,0)</f>
        <v>0</v>
      </c>
      <c r="M18" s="688">
        <v>0</v>
      </c>
      <c r="N18" s="580">
        <f>ROUND(92.82*0.46*0,0)</f>
        <v>0</v>
      </c>
      <c r="O18" s="688">
        <v>0</v>
      </c>
      <c r="P18" s="580">
        <f>ROUND(92.82*0.46*0,0)</f>
        <v>0</v>
      </c>
      <c r="Q18" s="688">
        <v>0</v>
      </c>
      <c r="R18" s="580">
        <f>ROUND(92.82*0.46*0,0)</f>
        <v>0</v>
      </c>
      <c r="S18" s="688">
        <v>0.2</v>
      </c>
      <c r="T18" s="580">
        <f>ROUND(92.82*0.46*0.2,0)</f>
        <v>9</v>
      </c>
      <c r="U18" s="688">
        <v>0.6</v>
      </c>
      <c r="V18" s="580">
        <f>ROUND(92.82*0.46*0.6,0)</f>
        <v>26</v>
      </c>
      <c r="W18" s="688">
        <v>4</v>
      </c>
      <c r="X18" s="580">
        <f>ROUND(92.82*0.46*4,0)</f>
        <v>171</v>
      </c>
      <c r="Y18" s="688">
        <v>4</v>
      </c>
      <c r="Z18" s="580">
        <f>ROUND(92.82*0.46*4,0)</f>
        <v>171</v>
      </c>
      <c r="AA18" s="688">
        <v>4</v>
      </c>
      <c r="AB18" s="580">
        <f>ROUND(92.82*0.46*4,0)</f>
        <v>171</v>
      </c>
      <c r="AC18" s="688">
        <v>4</v>
      </c>
      <c r="AD18" s="580">
        <f>ROUND(92.82*0.46*4,0)</f>
        <v>171</v>
      </c>
      <c r="AE18" s="688">
        <v>4</v>
      </c>
      <c r="AF18" s="580">
        <f>ROUND(92.82*0.46*4,0)</f>
        <v>171</v>
      </c>
      <c r="AG18" s="688">
        <v>4</v>
      </c>
      <c r="AH18" s="580">
        <f>ROUND(92.82*0.46*4,0)</f>
        <v>171</v>
      </c>
      <c r="AI18" s="688">
        <v>4</v>
      </c>
      <c r="AJ18" s="580">
        <f>ROUND(92.82*0.46*4,0)</f>
        <v>171</v>
      </c>
      <c r="AK18" s="688">
        <v>4</v>
      </c>
      <c r="AL18" s="580">
        <f>ROUND(92.82*0.46*4,0)</f>
        <v>171</v>
      </c>
      <c r="AM18" s="688">
        <v>4</v>
      </c>
      <c r="AN18" s="580">
        <f>ROUND(92.82*0.46*4,0)</f>
        <v>171</v>
      </c>
      <c r="AO18" s="688">
        <v>4</v>
      </c>
      <c r="AP18" s="580">
        <f>ROUND(92.82*0.46*4,0)</f>
        <v>171</v>
      </c>
      <c r="AQ18" s="688">
        <v>1</v>
      </c>
      <c r="AR18" s="580">
        <f>ROUND(92.82*0.46*1,0)</f>
        <v>43</v>
      </c>
      <c r="AS18" s="688">
        <v>0.8</v>
      </c>
      <c r="AT18" s="580">
        <f>ROUND(92.82*0.46*0.8,0)</f>
        <v>34</v>
      </c>
      <c r="AU18" s="688">
        <v>0.6</v>
      </c>
      <c r="AV18" s="580">
        <f>ROUND(92.82*0.46*0.6,0)</f>
        <v>26</v>
      </c>
      <c r="AW18" s="688">
        <v>0.4</v>
      </c>
      <c r="AX18" s="580">
        <f>ROUND(92.82*0.46*0.4,0)</f>
        <v>17</v>
      </c>
      <c r="AY18" s="688">
        <v>0.2</v>
      </c>
      <c r="AZ18" s="580">
        <f>ROUND(92.82*0.46*0.2,0)</f>
        <v>9</v>
      </c>
      <c r="BA18" s="688">
        <v>0.1</v>
      </c>
      <c r="BB18" s="582">
        <f>ROUND(92.82*0.46*0.1,0)</f>
        <v>4</v>
      </c>
      <c r="BC18" s="555"/>
      <c r="BD18" s="545"/>
      <c r="BE18" s="693" t="s">
        <v>240</v>
      </c>
      <c r="BF18" s="684"/>
      <c r="BG18" s="576">
        <v>92.82</v>
      </c>
      <c r="BH18" s="685">
        <v>0.46</v>
      </c>
      <c r="BI18" s="686"/>
      <c r="BJ18" s="687">
        <v>0</v>
      </c>
      <c r="BK18" s="580">
        <f>ROUND(92.82*0.46*0,0)</f>
        <v>0</v>
      </c>
      <c r="BL18" s="688">
        <v>0</v>
      </c>
      <c r="BM18" s="580">
        <f>ROUND(92.82*0.46*0,0)</f>
        <v>0</v>
      </c>
      <c r="BN18" s="688">
        <v>0</v>
      </c>
      <c r="BO18" s="580">
        <f>ROUND(92.82*0.46*0,0)</f>
        <v>0</v>
      </c>
      <c r="BP18" s="688">
        <v>0</v>
      </c>
      <c r="BQ18" s="580">
        <f>ROUND(92.82*0.46*0,0)</f>
        <v>0</v>
      </c>
      <c r="BR18" s="688">
        <v>0</v>
      </c>
      <c r="BS18" s="580">
        <f>ROUND(92.82*0.46*0,0)</f>
        <v>0</v>
      </c>
      <c r="BT18" s="688">
        <v>0</v>
      </c>
      <c r="BU18" s="580">
        <f>ROUND(92.82*0.46*0,0)</f>
        <v>0</v>
      </c>
      <c r="BV18" s="688">
        <v>0.3</v>
      </c>
      <c r="BW18" s="580">
        <f>ROUND(92.82*0.46*0.3,0)</f>
        <v>13</v>
      </c>
      <c r="BX18" s="688">
        <v>0.8</v>
      </c>
      <c r="BY18" s="580">
        <f>ROUND(92.82*0.46*0.8,0)</f>
        <v>34</v>
      </c>
      <c r="BZ18" s="688">
        <v>4</v>
      </c>
      <c r="CA18" s="580">
        <f>ROUND(92.82*0.46*4,0)</f>
        <v>171</v>
      </c>
      <c r="CB18" s="688">
        <v>4</v>
      </c>
      <c r="CC18" s="580">
        <f>ROUND(92.82*0.46*4,0)</f>
        <v>171</v>
      </c>
      <c r="CD18" s="688">
        <v>4</v>
      </c>
      <c r="CE18" s="580">
        <f>ROUND(92.82*0.46*4,0)</f>
        <v>171</v>
      </c>
      <c r="CF18" s="688">
        <v>4</v>
      </c>
      <c r="CG18" s="580">
        <f>ROUND(92.82*0.46*4,0)</f>
        <v>171</v>
      </c>
      <c r="CH18" s="688">
        <v>4</v>
      </c>
      <c r="CI18" s="580">
        <f>ROUND(92.82*0.46*4,0)</f>
        <v>171</v>
      </c>
      <c r="CJ18" s="688">
        <v>4</v>
      </c>
      <c r="CK18" s="580">
        <f>ROUND(92.82*0.46*4,0)</f>
        <v>171</v>
      </c>
      <c r="CL18" s="688">
        <v>4</v>
      </c>
      <c r="CM18" s="580">
        <f>ROUND(92.82*0.46*4,0)</f>
        <v>171</v>
      </c>
      <c r="CN18" s="688">
        <v>4</v>
      </c>
      <c r="CO18" s="580">
        <f>ROUND(92.82*0.46*4,0)</f>
        <v>171</v>
      </c>
      <c r="CP18" s="688">
        <v>4</v>
      </c>
      <c r="CQ18" s="580">
        <f>ROUND(92.82*0.46*4,0)</f>
        <v>171</v>
      </c>
      <c r="CR18" s="688">
        <v>4</v>
      </c>
      <c r="CS18" s="580">
        <f>ROUND(92.82*0.46*4,0)</f>
        <v>171</v>
      </c>
      <c r="CT18" s="688">
        <v>1.1000000000000001</v>
      </c>
      <c r="CU18" s="580">
        <f>ROUND(92.82*0.46*1.1,0)</f>
        <v>47</v>
      </c>
      <c r="CV18" s="688">
        <v>0.7</v>
      </c>
      <c r="CW18" s="580">
        <f>ROUND(92.82*0.46*0.7,0)</f>
        <v>30</v>
      </c>
      <c r="CX18" s="688">
        <v>0.5</v>
      </c>
      <c r="CY18" s="580">
        <f>ROUND(92.82*0.46*0.5,0)</f>
        <v>21</v>
      </c>
      <c r="CZ18" s="688">
        <v>0.3</v>
      </c>
      <c r="DA18" s="580">
        <f>ROUND(92.82*0.46*0.3,0)</f>
        <v>13</v>
      </c>
      <c r="DB18" s="688">
        <v>0.1</v>
      </c>
      <c r="DC18" s="580">
        <f>ROUND(92.82*0.46*0.1,0)</f>
        <v>4</v>
      </c>
      <c r="DD18" s="688">
        <v>0</v>
      </c>
      <c r="DE18" s="582">
        <f>ROUND(92.82*0.46*0,0)</f>
        <v>0</v>
      </c>
      <c r="DF18" s="555"/>
      <c r="DG18" s="545"/>
      <c r="DH18" s="693" t="s">
        <v>240</v>
      </c>
      <c r="DI18" s="684"/>
      <c r="DJ18" s="576">
        <v>92.82</v>
      </c>
      <c r="DK18" s="685">
        <v>0.46</v>
      </c>
      <c r="DL18" s="686"/>
      <c r="DM18" s="687">
        <v>0</v>
      </c>
      <c r="DN18" s="580">
        <f>ROUND(92.82*0.46*0,0)</f>
        <v>0</v>
      </c>
      <c r="DO18" s="688">
        <v>0</v>
      </c>
      <c r="DP18" s="580">
        <f>ROUND(92.82*0.46*0,0)</f>
        <v>0</v>
      </c>
      <c r="DQ18" s="688">
        <v>0</v>
      </c>
      <c r="DR18" s="580">
        <f>ROUND(92.82*0.46*0,0)</f>
        <v>0</v>
      </c>
      <c r="DS18" s="688">
        <v>0</v>
      </c>
      <c r="DT18" s="580">
        <f>ROUND(92.82*0.46*0,0)</f>
        <v>0</v>
      </c>
      <c r="DU18" s="688">
        <v>0</v>
      </c>
      <c r="DV18" s="580">
        <f>ROUND(92.82*0.46*0,0)</f>
        <v>0</v>
      </c>
      <c r="DW18" s="688">
        <v>0</v>
      </c>
      <c r="DX18" s="580">
        <f>ROUND(92.82*0.46*0,0)</f>
        <v>0</v>
      </c>
      <c r="DY18" s="688">
        <v>0</v>
      </c>
      <c r="DZ18" s="580">
        <f>ROUND(92.82*0.46*0,0)</f>
        <v>0</v>
      </c>
      <c r="EA18" s="688">
        <v>0</v>
      </c>
      <c r="EB18" s="580">
        <f>ROUND(92.82*0.46*0,0)</f>
        <v>0</v>
      </c>
      <c r="EC18" s="688">
        <v>4</v>
      </c>
      <c r="ED18" s="580">
        <f>ROUND(92.82*0.46*4,0)</f>
        <v>171</v>
      </c>
      <c r="EE18" s="688">
        <v>4</v>
      </c>
      <c r="EF18" s="580">
        <f>ROUND(92.82*0.46*4,0)</f>
        <v>171</v>
      </c>
      <c r="EG18" s="688">
        <v>4</v>
      </c>
      <c r="EH18" s="580">
        <f>ROUND(92.82*0.46*4,0)</f>
        <v>171</v>
      </c>
      <c r="EI18" s="688">
        <v>4</v>
      </c>
      <c r="EJ18" s="580">
        <f>ROUND(92.82*0.46*4,0)</f>
        <v>171</v>
      </c>
      <c r="EK18" s="688">
        <v>4</v>
      </c>
      <c r="EL18" s="580">
        <f>ROUND(92.82*0.46*4,0)</f>
        <v>171</v>
      </c>
      <c r="EM18" s="688">
        <v>4</v>
      </c>
      <c r="EN18" s="580">
        <f>ROUND(92.82*0.46*4,0)</f>
        <v>171</v>
      </c>
      <c r="EO18" s="688">
        <v>4</v>
      </c>
      <c r="EP18" s="580">
        <f>ROUND(92.82*0.46*4,0)</f>
        <v>171</v>
      </c>
      <c r="EQ18" s="688">
        <v>4</v>
      </c>
      <c r="ER18" s="580">
        <f>ROUND(92.82*0.46*4,0)</f>
        <v>171</v>
      </c>
      <c r="ES18" s="688">
        <v>4</v>
      </c>
      <c r="ET18" s="580">
        <f>ROUND(92.82*0.46*4,0)</f>
        <v>171</v>
      </c>
      <c r="EU18" s="688">
        <v>4</v>
      </c>
      <c r="EV18" s="580">
        <f>ROUND(92.82*0.46*4,0)</f>
        <v>171</v>
      </c>
      <c r="EW18" s="688">
        <v>0</v>
      </c>
      <c r="EX18" s="580">
        <f>ROUND(92.82*0.46*0,0)</f>
        <v>0</v>
      </c>
      <c r="EY18" s="688">
        <v>0</v>
      </c>
      <c r="EZ18" s="580">
        <f>ROUND(92.82*0.46*0,0)</f>
        <v>0</v>
      </c>
      <c r="FA18" s="688">
        <v>0</v>
      </c>
      <c r="FB18" s="580">
        <f>ROUND(92.82*0.46*0,0)</f>
        <v>0</v>
      </c>
      <c r="FC18" s="688">
        <v>0</v>
      </c>
      <c r="FD18" s="580">
        <f>ROUND(92.82*0.46*0,0)</f>
        <v>0</v>
      </c>
      <c r="FE18" s="688">
        <v>0</v>
      </c>
      <c r="FF18" s="580">
        <f>ROUND(92.82*0.46*0,0)</f>
        <v>0</v>
      </c>
      <c r="FG18" s="688">
        <v>0</v>
      </c>
      <c r="FH18" s="582">
        <f>ROUND(92.82*0.46*0,0)</f>
        <v>0</v>
      </c>
      <c r="FI18" s="556"/>
      <c r="FJ18" s="557"/>
      <c r="FK18" s="693" t="s">
        <v>240</v>
      </c>
      <c r="FL18" s="684"/>
      <c r="FM18" s="576">
        <v>92.82</v>
      </c>
      <c r="FN18" s="685">
        <v>0.46</v>
      </c>
      <c r="FO18" s="686"/>
      <c r="FP18" s="689">
        <v>6</v>
      </c>
      <c r="FQ18" s="690">
        <v>9.3000000000000007</v>
      </c>
      <c r="FR18" s="580">
        <f>ROUND(92.82*0.46*9.3,0)</f>
        <v>397</v>
      </c>
      <c r="FS18" s="691">
        <v>4</v>
      </c>
      <c r="FT18" s="690">
        <v>8.9</v>
      </c>
      <c r="FU18" s="585">
        <f>ROUND(92.82*0.46*8.9,0)</f>
        <v>380</v>
      </c>
      <c r="FV18" s="586"/>
      <c r="FW18" s="587"/>
      <c r="FX18" s="588"/>
      <c r="FY18" s="589"/>
      <c r="FZ18" s="590"/>
      <c r="GA18" s="591"/>
      <c r="GB18" s="592"/>
      <c r="GC18" s="593"/>
      <c r="GD18" s="592"/>
      <c r="GE18" s="594"/>
      <c r="GF18" s="681"/>
      <c r="GG18" s="595"/>
      <c r="GH18" s="595"/>
      <c r="GI18" s="595"/>
      <c r="GJ18" s="406"/>
      <c r="GK18" s="621"/>
      <c r="GL18" s="622"/>
      <c r="GM18" s="623"/>
      <c r="GN18" s="624"/>
      <c r="GO18" s="625"/>
      <c r="GP18" s="649"/>
      <c r="GQ18" s="626">
        <v>0</v>
      </c>
      <c r="GR18" s="627">
        <v>0</v>
      </c>
      <c r="GS18" s="406"/>
      <c r="GT18" s="410"/>
      <c r="GU18" s="621"/>
      <c r="GV18" s="622"/>
      <c r="GW18" s="628"/>
      <c r="GX18" s="629"/>
      <c r="GY18" s="630"/>
      <c r="GZ18" s="631"/>
      <c r="HA18" s="632">
        <v>0</v>
      </c>
      <c r="HB18" s="633"/>
      <c r="HC18" s="572"/>
      <c r="HD18" s="555"/>
      <c r="HE18" s="412"/>
      <c r="HF18" s="412"/>
      <c r="HG18" s="412"/>
    </row>
    <row r="19" spans="1:218" ht="20.100000000000001" customHeight="1">
      <c r="A19" s="545"/>
      <c r="B19" s="693" t="s">
        <v>240</v>
      </c>
      <c r="C19" s="684"/>
      <c r="D19" s="576">
        <v>22.75</v>
      </c>
      <c r="E19" s="685">
        <v>0.46</v>
      </c>
      <c r="F19" s="686"/>
      <c r="G19" s="687">
        <v>0</v>
      </c>
      <c r="H19" s="580">
        <f>ROUND(22.75*0.46*0,0)</f>
        <v>0</v>
      </c>
      <c r="I19" s="688">
        <v>0</v>
      </c>
      <c r="J19" s="580">
        <f>ROUND(22.75*0.46*0,0)</f>
        <v>0</v>
      </c>
      <c r="K19" s="688">
        <v>0</v>
      </c>
      <c r="L19" s="580">
        <f>ROUND(22.75*0.46*0,0)</f>
        <v>0</v>
      </c>
      <c r="M19" s="688">
        <v>0</v>
      </c>
      <c r="N19" s="580">
        <f>ROUND(22.75*0.46*0,0)</f>
        <v>0</v>
      </c>
      <c r="O19" s="688">
        <v>0</v>
      </c>
      <c r="P19" s="580">
        <f>ROUND(22.75*0.46*0,0)</f>
        <v>0</v>
      </c>
      <c r="Q19" s="688">
        <v>0</v>
      </c>
      <c r="R19" s="580">
        <f>ROUND(22.75*0.46*0,0)</f>
        <v>0</v>
      </c>
      <c r="S19" s="688">
        <v>0.2</v>
      </c>
      <c r="T19" s="580">
        <f>ROUND(22.75*0.46*0.2,0)</f>
        <v>2</v>
      </c>
      <c r="U19" s="688">
        <v>0.6</v>
      </c>
      <c r="V19" s="580">
        <f>ROUND(22.75*0.46*0.6,0)</f>
        <v>6</v>
      </c>
      <c r="W19" s="688">
        <v>1.1000000000000001</v>
      </c>
      <c r="X19" s="580">
        <f>ROUND(22.75*0.46*1.1,0)</f>
        <v>12</v>
      </c>
      <c r="Y19" s="688">
        <v>1.5</v>
      </c>
      <c r="Z19" s="580">
        <f>ROUND(22.75*0.46*1.5,0)</f>
        <v>16</v>
      </c>
      <c r="AA19" s="688">
        <v>1.8</v>
      </c>
      <c r="AB19" s="580">
        <f>ROUND(22.75*0.46*1.8,0)</f>
        <v>19</v>
      </c>
      <c r="AC19" s="688">
        <v>2</v>
      </c>
      <c r="AD19" s="580">
        <f>ROUND(22.75*0.46*2,0)</f>
        <v>21</v>
      </c>
      <c r="AE19" s="688">
        <v>2.2999999999999998</v>
      </c>
      <c r="AF19" s="580">
        <f>ROUND(22.75*0.46*2.3,0)</f>
        <v>24</v>
      </c>
      <c r="AG19" s="688">
        <v>2.2999999999999998</v>
      </c>
      <c r="AH19" s="580">
        <f>ROUND(22.75*0.46*2.3,0)</f>
        <v>24</v>
      </c>
      <c r="AI19" s="688">
        <v>2.2999999999999998</v>
      </c>
      <c r="AJ19" s="580">
        <f>ROUND(22.75*0.46*2.3,0)</f>
        <v>24</v>
      </c>
      <c r="AK19" s="688">
        <v>2.1</v>
      </c>
      <c r="AL19" s="580">
        <f>ROUND(22.75*0.46*2.1,0)</f>
        <v>22</v>
      </c>
      <c r="AM19" s="688">
        <v>1.7</v>
      </c>
      <c r="AN19" s="580">
        <f>ROUND(22.75*0.46*1.7,0)</f>
        <v>18</v>
      </c>
      <c r="AO19" s="688">
        <v>1.4</v>
      </c>
      <c r="AP19" s="580">
        <f>ROUND(22.75*0.46*1.4,0)</f>
        <v>15</v>
      </c>
      <c r="AQ19" s="688">
        <v>1</v>
      </c>
      <c r="AR19" s="580">
        <f>ROUND(22.75*0.46*1,0)</f>
        <v>10</v>
      </c>
      <c r="AS19" s="688">
        <v>0.8</v>
      </c>
      <c r="AT19" s="580">
        <f>ROUND(22.75*0.46*0.8,0)</f>
        <v>8</v>
      </c>
      <c r="AU19" s="688">
        <v>0.6</v>
      </c>
      <c r="AV19" s="580">
        <f>ROUND(22.75*0.46*0.6,0)</f>
        <v>6</v>
      </c>
      <c r="AW19" s="688">
        <v>0.4</v>
      </c>
      <c r="AX19" s="580">
        <f>ROUND(22.75*0.46*0.4,0)</f>
        <v>4</v>
      </c>
      <c r="AY19" s="688">
        <v>0.2</v>
      </c>
      <c r="AZ19" s="580">
        <f>ROUND(22.75*0.46*0.2,0)</f>
        <v>2</v>
      </c>
      <c r="BA19" s="688">
        <v>0.1</v>
      </c>
      <c r="BB19" s="582">
        <f>ROUND(22.75*0.46*0.1,0)</f>
        <v>1</v>
      </c>
      <c r="BC19" s="555"/>
      <c r="BD19" s="545"/>
      <c r="BE19" s="693" t="s">
        <v>240</v>
      </c>
      <c r="BF19" s="684"/>
      <c r="BG19" s="576">
        <v>22.75</v>
      </c>
      <c r="BH19" s="685">
        <v>0.46</v>
      </c>
      <c r="BI19" s="686"/>
      <c r="BJ19" s="687">
        <v>0</v>
      </c>
      <c r="BK19" s="580">
        <f>ROUND(22.75*0.46*0,0)</f>
        <v>0</v>
      </c>
      <c r="BL19" s="688">
        <v>0</v>
      </c>
      <c r="BM19" s="580">
        <f>ROUND(22.75*0.46*0,0)</f>
        <v>0</v>
      </c>
      <c r="BN19" s="688">
        <v>0</v>
      </c>
      <c r="BO19" s="580">
        <f>ROUND(22.75*0.46*0,0)</f>
        <v>0</v>
      </c>
      <c r="BP19" s="688">
        <v>0</v>
      </c>
      <c r="BQ19" s="580">
        <f>ROUND(22.75*0.46*0,0)</f>
        <v>0</v>
      </c>
      <c r="BR19" s="688">
        <v>0</v>
      </c>
      <c r="BS19" s="580">
        <f>ROUND(22.75*0.46*0,0)</f>
        <v>0</v>
      </c>
      <c r="BT19" s="688">
        <v>0</v>
      </c>
      <c r="BU19" s="580">
        <f>ROUND(22.75*0.46*0,0)</f>
        <v>0</v>
      </c>
      <c r="BV19" s="688">
        <v>0.3</v>
      </c>
      <c r="BW19" s="580">
        <f>ROUND(22.75*0.46*0.3,0)</f>
        <v>3</v>
      </c>
      <c r="BX19" s="688">
        <v>0.8</v>
      </c>
      <c r="BY19" s="580">
        <f>ROUND(22.75*0.46*0.8,0)</f>
        <v>8</v>
      </c>
      <c r="BZ19" s="688">
        <v>1.4</v>
      </c>
      <c r="CA19" s="580">
        <f>ROUND(22.75*0.46*1.4,0)</f>
        <v>15</v>
      </c>
      <c r="CB19" s="688">
        <v>1.8</v>
      </c>
      <c r="CC19" s="580">
        <f>ROUND(22.75*0.46*1.8,0)</f>
        <v>19</v>
      </c>
      <c r="CD19" s="688">
        <v>2.1</v>
      </c>
      <c r="CE19" s="580">
        <f>ROUND(22.75*0.46*2.1,0)</f>
        <v>22</v>
      </c>
      <c r="CF19" s="688">
        <v>2.2999999999999998</v>
      </c>
      <c r="CG19" s="580">
        <f>ROUND(22.75*0.46*2.3,0)</f>
        <v>24</v>
      </c>
      <c r="CH19" s="688">
        <v>2.5</v>
      </c>
      <c r="CI19" s="580">
        <f>ROUND(22.75*0.46*2.5,0)</f>
        <v>26</v>
      </c>
      <c r="CJ19" s="688">
        <v>2.6</v>
      </c>
      <c r="CK19" s="580">
        <f>ROUND(22.75*0.46*2.6,0)</f>
        <v>27</v>
      </c>
      <c r="CL19" s="688">
        <v>2.5</v>
      </c>
      <c r="CM19" s="580">
        <f>ROUND(22.75*0.46*2.5,0)</f>
        <v>26</v>
      </c>
      <c r="CN19" s="688">
        <v>2.4</v>
      </c>
      <c r="CO19" s="580">
        <f>ROUND(22.75*0.46*2.4,0)</f>
        <v>25</v>
      </c>
      <c r="CP19" s="688">
        <v>2.1</v>
      </c>
      <c r="CQ19" s="580">
        <f>ROUND(22.75*0.46*2.1,0)</f>
        <v>22</v>
      </c>
      <c r="CR19" s="688">
        <v>1.6</v>
      </c>
      <c r="CS19" s="580">
        <f>ROUND(22.75*0.46*1.6,0)</f>
        <v>17</v>
      </c>
      <c r="CT19" s="688">
        <v>1.1000000000000001</v>
      </c>
      <c r="CU19" s="580">
        <f>ROUND(22.75*0.46*1.1,0)</f>
        <v>12</v>
      </c>
      <c r="CV19" s="688">
        <v>0.7</v>
      </c>
      <c r="CW19" s="580">
        <f>ROUND(22.75*0.46*0.7,0)</f>
        <v>7</v>
      </c>
      <c r="CX19" s="688">
        <v>0.5</v>
      </c>
      <c r="CY19" s="580">
        <f>ROUND(22.75*0.46*0.5,0)</f>
        <v>5</v>
      </c>
      <c r="CZ19" s="688">
        <v>0.3</v>
      </c>
      <c r="DA19" s="580">
        <f>ROUND(22.75*0.46*0.3,0)</f>
        <v>3</v>
      </c>
      <c r="DB19" s="688">
        <v>0.1</v>
      </c>
      <c r="DC19" s="580">
        <f>ROUND(22.75*0.46*0.1,0)</f>
        <v>1</v>
      </c>
      <c r="DD19" s="688">
        <v>0</v>
      </c>
      <c r="DE19" s="582">
        <f>ROUND(22.75*0.46*0,0)</f>
        <v>0</v>
      </c>
      <c r="DF19" s="555"/>
      <c r="DG19" s="545"/>
      <c r="DH19" s="693" t="s">
        <v>240</v>
      </c>
      <c r="DI19" s="684"/>
      <c r="DJ19" s="576">
        <v>22.75</v>
      </c>
      <c r="DK19" s="685">
        <v>0.46</v>
      </c>
      <c r="DL19" s="686"/>
      <c r="DM19" s="687">
        <v>0</v>
      </c>
      <c r="DN19" s="580">
        <f>ROUND(22.75*0.46*0,0)</f>
        <v>0</v>
      </c>
      <c r="DO19" s="688">
        <v>0</v>
      </c>
      <c r="DP19" s="580">
        <f>ROUND(22.75*0.46*0,0)</f>
        <v>0</v>
      </c>
      <c r="DQ19" s="688">
        <v>0</v>
      </c>
      <c r="DR19" s="580">
        <f>ROUND(22.75*0.46*0,0)</f>
        <v>0</v>
      </c>
      <c r="DS19" s="688">
        <v>0</v>
      </c>
      <c r="DT19" s="580">
        <f>ROUND(22.75*0.46*0,0)</f>
        <v>0</v>
      </c>
      <c r="DU19" s="688">
        <v>0</v>
      </c>
      <c r="DV19" s="580">
        <f>ROUND(22.75*0.46*0,0)</f>
        <v>0</v>
      </c>
      <c r="DW19" s="688">
        <v>0</v>
      </c>
      <c r="DX19" s="580">
        <f>ROUND(22.75*0.46*0,0)</f>
        <v>0</v>
      </c>
      <c r="DY19" s="688">
        <v>0</v>
      </c>
      <c r="DZ19" s="580">
        <f>ROUND(22.75*0.46*0,0)</f>
        <v>0</v>
      </c>
      <c r="EA19" s="688">
        <v>0</v>
      </c>
      <c r="EB19" s="580">
        <f>ROUND(22.75*0.46*0,0)</f>
        <v>0</v>
      </c>
      <c r="EC19" s="688">
        <v>0</v>
      </c>
      <c r="ED19" s="580">
        <f>ROUND(22.75*0.46*0,0)</f>
        <v>0</v>
      </c>
      <c r="EE19" s="688">
        <v>0.2</v>
      </c>
      <c r="EF19" s="580">
        <f>ROUND(22.75*0.46*0.2,0)</f>
        <v>2</v>
      </c>
      <c r="EG19" s="688">
        <v>0.5</v>
      </c>
      <c r="EH19" s="580">
        <f>ROUND(22.75*0.46*0.5,0)</f>
        <v>5</v>
      </c>
      <c r="EI19" s="688">
        <v>0.8</v>
      </c>
      <c r="EJ19" s="580">
        <f>ROUND(22.75*0.46*0.8,0)</f>
        <v>8</v>
      </c>
      <c r="EK19" s="688">
        <v>0.9</v>
      </c>
      <c r="EL19" s="580">
        <f>ROUND(22.75*0.46*0.9,0)</f>
        <v>9</v>
      </c>
      <c r="EM19" s="688">
        <v>0.9</v>
      </c>
      <c r="EN19" s="580">
        <f>ROUND(22.75*0.46*0.9,0)</f>
        <v>9</v>
      </c>
      <c r="EO19" s="688">
        <v>0.8</v>
      </c>
      <c r="EP19" s="580">
        <f>ROUND(22.75*0.46*0.8,0)</f>
        <v>8</v>
      </c>
      <c r="EQ19" s="688">
        <v>0.5</v>
      </c>
      <c r="ER19" s="580">
        <f>ROUND(22.75*0.46*0.5,0)</f>
        <v>5</v>
      </c>
      <c r="ES19" s="688">
        <v>0.1</v>
      </c>
      <c r="ET19" s="580">
        <f>ROUND(22.75*0.46*0.1,0)</f>
        <v>1</v>
      </c>
      <c r="EU19" s="688">
        <v>0</v>
      </c>
      <c r="EV19" s="580">
        <f>ROUND(22.75*0.46*0,0)</f>
        <v>0</v>
      </c>
      <c r="EW19" s="688">
        <v>0</v>
      </c>
      <c r="EX19" s="580">
        <f>ROUND(22.75*0.46*0,0)</f>
        <v>0</v>
      </c>
      <c r="EY19" s="688">
        <v>0</v>
      </c>
      <c r="EZ19" s="580">
        <f>ROUND(22.75*0.46*0,0)</f>
        <v>0</v>
      </c>
      <c r="FA19" s="688">
        <v>0</v>
      </c>
      <c r="FB19" s="580">
        <f>ROUND(22.75*0.46*0,0)</f>
        <v>0</v>
      </c>
      <c r="FC19" s="688">
        <v>0</v>
      </c>
      <c r="FD19" s="580">
        <f>ROUND(22.75*0.46*0,0)</f>
        <v>0</v>
      </c>
      <c r="FE19" s="688">
        <v>0</v>
      </c>
      <c r="FF19" s="580">
        <f>ROUND(22.75*0.46*0,0)</f>
        <v>0</v>
      </c>
      <c r="FG19" s="688">
        <v>0</v>
      </c>
      <c r="FH19" s="582">
        <f>ROUND(22.75*0.46*0,0)</f>
        <v>0</v>
      </c>
      <c r="FI19" s="556"/>
      <c r="FJ19" s="557"/>
      <c r="FK19" s="693" t="s">
        <v>240</v>
      </c>
      <c r="FL19" s="684"/>
      <c r="FM19" s="576">
        <v>22.75</v>
      </c>
      <c r="FN19" s="685">
        <v>0.46</v>
      </c>
      <c r="FO19" s="686"/>
      <c r="FP19" s="689">
        <v>6</v>
      </c>
      <c r="FQ19" s="690">
        <v>9.3000000000000007</v>
      </c>
      <c r="FR19" s="580">
        <f>ROUND(22.75*0.46*9.3,0)</f>
        <v>97</v>
      </c>
      <c r="FS19" s="691">
        <v>4</v>
      </c>
      <c r="FT19" s="690">
        <v>8.9</v>
      </c>
      <c r="FU19" s="585">
        <f>ROUND(22.75*0.46*8.9,0)</f>
        <v>93</v>
      </c>
      <c r="FV19" s="586"/>
      <c r="FW19" s="587"/>
      <c r="FX19" s="588"/>
      <c r="FY19" s="589"/>
      <c r="FZ19" s="590"/>
      <c r="GA19" s="591"/>
      <c r="GB19" s="592"/>
      <c r="GC19" s="593"/>
      <c r="GD19" s="592"/>
      <c r="GE19" s="594"/>
      <c r="GF19" s="681"/>
      <c r="GG19" s="595"/>
      <c r="GH19" s="595"/>
      <c r="GI19" s="595"/>
      <c r="GJ19" s="406"/>
      <c r="GK19" s="621"/>
      <c r="GL19" s="622"/>
      <c r="GM19" s="623"/>
      <c r="GN19" s="624"/>
      <c r="GO19" s="625"/>
      <c r="GP19" s="649"/>
      <c r="GQ19" s="626">
        <v>0</v>
      </c>
      <c r="GR19" s="627">
        <v>0</v>
      </c>
      <c r="GS19" s="406"/>
      <c r="GT19" s="650"/>
      <c r="GU19" s="621"/>
      <c r="GV19" s="622"/>
      <c r="GW19" s="628"/>
      <c r="GX19" s="629"/>
      <c r="GY19" s="630"/>
      <c r="GZ19" s="631"/>
      <c r="HA19" s="632">
        <v>0</v>
      </c>
      <c r="HB19" s="633"/>
      <c r="HC19" s="522"/>
      <c r="HD19" s="555"/>
      <c r="HE19" s="412"/>
      <c r="HF19" s="412"/>
      <c r="HG19" s="412"/>
    </row>
    <row r="20" spans="1:218" ht="20.100000000000001" customHeight="1">
      <c r="A20" s="545"/>
      <c r="B20" s="693" t="s">
        <v>244</v>
      </c>
      <c r="C20" s="684"/>
      <c r="D20" s="576">
        <v>115.57</v>
      </c>
      <c r="E20" s="685">
        <v>2</v>
      </c>
      <c r="F20" s="686"/>
      <c r="G20" s="687">
        <v>0</v>
      </c>
      <c r="H20" s="580">
        <f>ROUND(115.57*2*0,0)</f>
        <v>0</v>
      </c>
      <c r="I20" s="688">
        <v>0</v>
      </c>
      <c r="J20" s="580">
        <f>ROUND(115.57*2*0,0)</f>
        <v>0</v>
      </c>
      <c r="K20" s="688">
        <v>0</v>
      </c>
      <c r="L20" s="580">
        <f>ROUND(115.57*2*0,0)</f>
        <v>0</v>
      </c>
      <c r="M20" s="688">
        <v>0</v>
      </c>
      <c r="N20" s="580">
        <f>ROUND(115.57*2*0,0)</f>
        <v>0</v>
      </c>
      <c r="O20" s="688">
        <v>0</v>
      </c>
      <c r="P20" s="580">
        <f>ROUND(115.57*2*0,0)</f>
        <v>0</v>
      </c>
      <c r="Q20" s="688">
        <v>0</v>
      </c>
      <c r="R20" s="580">
        <f>ROUND(115.57*2*0,0)</f>
        <v>0</v>
      </c>
      <c r="S20" s="688">
        <v>0.2</v>
      </c>
      <c r="T20" s="580">
        <f>ROUND(115.57*2*0.2,0)</f>
        <v>46</v>
      </c>
      <c r="U20" s="688">
        <v>0.6</v>
      </c>
      <c r="V20" s="580">
        <f>ROUND(115.57*2*0.6,0)</f>
        <v>139</v>
      </c>
      <c r="W20" s="688">
        <v>1.1000000000000001</v>
      </c>
      <c r="X20" s="580">
        <f>ROUND(115.57*2*1.1,0)</f>
        <v>254</v>
      </c>
      <c r="Y20" s="688">
        <v>1.5</v>
      </c>
      <c r="Z20" s="580">
        <f>ROUND(115.57*2*1.5,0)</f>
        <v>347</v>
      </c>
      <c r="AA20" s="688">
        <v>1.8</v>
      </c>
      <c r="AB20" s="580">
        <f>ROUND(115.57*2*1.8,0)</f>
        <v>416</v>
      </c>
      <c r="AC20" s="688">
        <v>2</v>
      </c>
      <c r="AD20" s="580">
        <f>ROUND(115.57*2*2,0)</f>
        <v>462</v>
      </c>
      <c r="AE20" s="688">
        <v>2.2999999999999998</v>
      </c>
      <c r="AF20" s="580">
        <f>ROUND(115.57*2*2.3,0)</f>
        <v>532</v>
      </c>
      <c r="AG20" s="688">
        <v>2.2999999999999998</v>
      </c>
      <c r="AH20" s="580">
        <f>ROUND(115.57*2*2.3,0)</f>
        <v>532</v>
      </c>
      <c r="AI20" s="688">
        <v>2.2999999999999998</v>
      </c>
      <c r="AJ20" s="580">
        <f>ROUND(115.57*2*2.3,0)</f>
        <v>532</v>
      </c>
      <c r="AK20" s="688">
        <v>2.1</v>
      </c>
      <c r="AL20" s="580">
        <f>ROUND(115.57*2*2.1,0)</f>
        <v>485</v>
      </c>
      <c r="AM20" s="688">
        <v>1.7</v>
      </c>
      <c r="AN20" s="580">
        <f>ROUND(115.57*2*1.7,0)</f>
        <v>393</v>
      </c>
      <c r="AO20" s="688">
        <v>1.4</v>
      </c>
      <c r="AP20" s="580">
        <f>ROUND(115.57*2*1.4,0)</f>
        <v>324</v>
      </c>
      <c r="AQ20" s="688">
        <v>1</v>
      </c>
      <c r="AR20" s="580">
        <f>ROUND(115.57*2*1,0)</f>
        <v>231</v>
      </c>
      <c r="AS20" s="688">
        <v>0.8</v>
      </c>
      <c r="AT20" s="580">
        <f>ROUND(115.57*2*0.8,0)</f>
        <v>185</v>
      </c>
      <c r="AU20" s="688">
        <v>0.6</v>
      </c>
      <c r="AV20" s="580">
        <f>ROUND(115.57*2*0.6,0)</f>
        <v>139</v>
      </c>
      <c r="AW20" s="688">
        <v>0.4</v>
      </c>
      <c r="AX20" s="580">
        <f>ROUND(115.57*2*0.4,0)</f>
        <v>92</v>
      </c>
      <c r="AY20" s="688">
        <v>0.2</v>
      </c>
      <c r="AZ20" s="580">
        <f>ROUND(115.57*2*0.2,0)</f>
        <v>46</v>
      </c>
      <c r="BA20" s="688">
        <v>0.1</v>
      </c>
      <c r="BB20" s="582">
        <f>ROUND(115.57*2*0.1,0)</f>
        <v>23</v>
      </c>
      <c r="BC20" s="555"/>
      <c r="BD20" s="545"/>
      <c r="BE20" s="693" t="s">
        <v>244</v>
      </c>
      <c r="BF20" s="684"/>
      <c r="BG20" s="576">
        <v>115.57</v>
      </c>
      <c r="BH20" s="685">
        <v>2</v>
      </c>
      <c r="BI20" s="686"/>
      <c r="BJ20" s="687">
        <v>0</v>
      </c>
      <c r="BK20" s="580">
        <f>ROUND(115.57*2*0,0)</f>
        <v>0</v>
      </c>
      <c r="BL20" s="688">
        <v>0</v>
      </c>
      <c r="BM20" s="580">
        <f>ROUND(115.57*2*0,0)</f>
        <v>0</v>
      </c>
      <c r="BN20" s="688">
        <v>0</v>
      </c>
      <c r="BO20" s="580">
        <f>ROUND(115.57*2*0,0)</f>
        <v>0</v>
      </c>
      <c r="BP20" s="688">
        <v>0</v>
      </c>
      <c r="BQ20" s="580">
        <f>ROUND(115.57*2*0,0)</f>
        <v>0</v>
      </c>
      <c r="BR20" s="688">
        <v>0</v>
      </c>
      <c r="BS20" s="580">
        <f>ROUND(115.57*2*0,0)</f>
        <v>0</v>
      </c>
      <c r="BT20" s="688">
        <v>0</v>
      </c>
      <c r="BU20" s="580">
        <f>ROUND(115.57*2*0,0)</f>
        <v>0</v>
      </c>
      <c r="BV20" s="688">
        <v>0.3</v>
      </c>
      <c r="BW20" s="580">
        <f>ROUND(115.57*2*0.3,0)</f>
        <v>69</v>
      </c>
      <c r="BX20" s="688">
        <v>0.8</v>
      </c>
      <c r="BY20" s="580">
        <f>ROUND(115.57*2*0.8,0)</f>
        <v>185</v>
      </c>
      <c r="BZ20" s="688">
        <v>1.4</v>
      </c>
      <c r="CA20" s="580">
        <f>ROUND(115.57*2*1.4,0)</f>
        <v>324</v>
      </c>
      <c r="CB20" s="688">
        <v>1.8</v>
      </c>
      <c r="CC20" s="580">
        <f>ROUND(115.57*2*1.8,0)</f>
        <v>416</v>
      </c>
      <c r="CD20" s="688">
        <v>2.1</v>
      </c>
      <c r="CE20" s="580">
        <f>ROUND(115.57*2*2.1,0)</f>
        <v>485</v>
      </c>
      <c r="CF20" s="688">
        <v>2.2999999999999998</v>
      </c>
      <c r="CG20" s="580">
        <f>ROUND(115.57*2*2.3,0)</f>
        <v>532</v>
      </c>
      <c r="CH20" s="688">
        <v>2.5</v>
      </c>
      <c r="CI20" s="580">
        <f>ROUND(115.57*2*2.5,0)</f>
        <v>578</v>
      </c>
      <c r="CJ20" s="688">
        <v>2.6</v>
      </c>
      <c r="CK20" s="580">
        <f>ROUND(115.57*2*2.6,0)</f>
        <v>601</v>
      </c>
      <c r="CL20" s="688">
        <v>2.5</v>
      </c>
      <c r="CM20" s="580">
        <f>ROUND(115.57*2*2.5,0)</f>
        <v>578</v>
      </c>
      <c r="CN20" s="688">
        <v>2.4</v>
      </c>
      <c r="CO20" s="580">
        <f>ROUND(115.57*2*2.4,0)</f>
        <v>555</v>
      </c>
      <c r="CP20" s="688">
        <v>2.1</v>
      </c>
      <c r="CQ20" s="580">
        <f>ROUND(115.57*2*2.1,0)</f>
        <v>485</v>
      </c>
      <c r="CR20" s="688">
        <v>1.6</v>
      </c>
      <c r="CS20" s="580">
        <f>ROUND(115.57*2*1.6,0)</f>
        <v>370</v>
      </c>
      <c r="CT20" s="688">
        <v>1.1000000000000001</v>
      </c>
      <c r="CU20" s="580">
        <f>ROUND(115.57*2*1.1,0)</f>
        <v>254</v>
      </c>
      <c r="CV20" s="688">
        <v>0.7</v>
      </c>
      <c r="CW20" s="580">
        <f>ROUND(115.57*2*0.7,0)</f>
        <v>162</v>
      </c>
      <c r="CX20" s="688">
        <v>0.5</v>
      </c>
      <c r="CY20" s="580">
        <f>ROUND(115.57*2*0.5,0)</f>
        <v>116</v>
      </c>
      <c r="CZ20" s="688">
        <v>0.3</v>
      </c>
      <c r="DA20" s="580">
        <f>ROUND(115.57*2*0.3,0)</f>
        <v>69</v>
      </c>
      <c r="DB20" s="688">
        <v>0.1</v>
      </c>
      <c r="DC20" s="580">
        <f>ROUND(115.57*2*0.1,0)</f>
        <v>23</v>
      </c>
      <c r="DD20" s="688">
        <v>0</v>
      </c>
      <c r="DE20" s="582">
        <f>ROUND(115.57*2*0,0)</f>
        <v>0</v>
      </c>
      <c r="DF20" s="555"/>
      <c r="DG20" s="545"/>
      <c r="DH20" s="693" t="s">
        <v>244</v>
      </c>
      <c r="DI20" s="684"/>
      <c r="DJ20" s="576">
        <v>115.57</v>
      </c>
      <c r="DK20" s="685">
        <v>2</v>
      </c>
      <c r="DL20" s="686"/>
      <c r="DM20" s="687">
        <v>0</v>
      </c>
      <c r="DN20" s="580">
        <f>ROUND(115.57*2*0,0)</f>
        <v>0</v>
      </c>
      <c r="DO20" s="688">
        <v>0</v>
      </c>
      <c r="DP20" s="580">
        <f>ROUND(115.57*2*0,0)</f>
        <v>0</v>
      </c>
      <c r="DQ20" s="688">
        <v>0</v>
      </c>
      <c r="DR20" s="580">
        <f>ROUND(115.57*2*0,0)</f>
        <v>0</v>
      </c>
      <c r="DS20" s="688">
        <v>0</v>
      </c>
      <c r="DT20" s="580">
        <f>ROUND(115.57*2*0,0)</f>
        <v>0</v>
      </c>
      <c r="DU20" s="688">
        <v>0</v>
      </c>
      <c r="DV20" s="580">
        <f>ROUND(115.57*2*0,0)</f>
        <v>0</v>
      </c>
      <c r="DW20" s="688">
        <v>0</v>
      </c>
      <c r="DX20" s="580">
        <f>ROUND(115.57*2*0,0)</f>
        <v>0</v>
      </c>
      <c r="DY20" s="688">
        <v>0</v>
      </c>
      <c r="DZ20" s="580">
        <f>ROUND(115.57*2*0,0)</f>
        <v>0</v>
      </c>
      <c r="EA20" s="688">
        <v>0</v>
      </c>
      <c r="EB20" s="580">
        <f>ROUND(115.57*2*0,0)</f>
        <v>0</v>
      </c>
      <c r="EC20" s="688">
        <v>0</v>
      </c>
      <c r="ED20" s="580">
        <f>ROUND(115.57*2*0,0)</f>
        <v>0</v>
      </c>
      <c r="EE20" s="688">
        <v>0.2</v>
      </c>
      <c r="EF20" s="580">
        <f>ROUND(115.57*2*0.2,0)</f>
        <v>46</v>
      </c>
      <c r="EG20" s="688">
        <v>0.5</v>
      </c>
      <c r="EH20" s="580">
        <f>ROUND(115.57*2*0.5,0)</f>
        <v>116</v>
      </c>
      <c r="EI20" s="688">
        <v>0.8</v>
      </c>
      <c r="EJ20" s="580">
        <f>ROUND(115.57*2*0.8,0)</f>
        <v>185</v>
      </c>
      <c r="EK20" s="688">
        <v>0.9</v>
      </c>
      <c r="EL20" s="580">
        <f>ROUND(115.57*2*0.9,0)</f>
        <v>208</v>
      </c>
      <c r="EM20" s="688">
        <v>0.9</v>
      </c>
      <c r="EN20" s="580">
        <f>ROUND(115.57*2*0.9,0)</f>
        <v>208</v>
      </c>
      <c r="EO20" s="688">
        <v>0.8</v>
      </c>
      <c r="EP20" s="580">
        <f>ROUND(115.57*2*0.8,0)</f>
        <v>185</v>
      </c>
      <c r="EQ20" s="688">
        <v>0.5</v>
      </c>
      <c r="ER20" s="580">
        <f>ROUND(115.57*2*0.5,0)</f>
        <v>116</v>
      </c>
      <c r="ES20" s="688">
        <v>0.1</v>
      </c>
      <c r="ET20" s="580">
        <f>ROUND(115.57*2*0.1,0)</f>
        <v>23</v>
      </c>
      <c r="EU20" s="688">
        <v>0</v>
      </c>
      <c r="EV20" s="580">
        <f>ROUND(115.57*2*0,0)</f>
        <v>0</v>
      </c>
      <c r="EW20" s="688">
        <v>0</v>
      </c>
      <c r="EX20" s="580">
        <f>ROUND(115.57*2*0,0)</f>
        <v>0</v>
      </c>
      <c r="EY20" s="688">
        <v>0</v>
      </c>
      <c r="EZ20" s="580">
        <f>ROUND(115.57*2*0,0)</f>
        <v>0</v>
      </c>
      <c r="FA20" s="688">
        <v>0</v>
      </c>
      <c r="FB20" s="580">
        <f>ROUND(115.57*2*0,0)</f>
        <v>0</v>
      </c>
      <c r="FC20" s="688">
        <v>0</v>
      </c>
      <c r="FD20" s="580">
        <f>ROUND(115.57*2*0,0)</f>
        <v>0</v>
      </c>
      <c r="FE20" s="688">
        <v>0</v>
      </c>
      <c r="FF20" s="580">
        <f>ROUND(115.57*2*0,0)</f>
        <v>0</v>
      </c>
      <c r="FG20" s="688">
        <v>0</v>
      </c>
      <c r="FH20" s="582">
        <f>ROUND(115.57*2*0,0)</f>
        <v>0</v>
      </c>
      <c r="FI20" s="556"/>
      <c r="FJ20" s="557"/>
      <c r="FK20" s="693" t="s">
        <v>244</v>
      </c>
      <c r="FL20" s="684"/>
      <c r="FM20" s="576">
        <v>115.57</v>
      </c>
      <c r="FN20" s="685">
        <v>2</v>
      </c>
      <c r="FO20" s="686"/>
      <c r="FP20" s="689">
        <v>6</v>
      </c>
      <c r="FQ20" s="690">
        <v>9.3000000000000007</v>
      </c>
      <c r="FR20" s="580">
        <f>ROUND(115.57*2*9.3,0)</f>
        <v>2150</v>
      </c>
      <c r="FS20" s="691">
        <v>4</v>
      </c>
      <c r="FT20" s="690">
        <v>8.9</v>
      </c>
      <c r="FU20" s="585">
        <f>ROUND(115.57*2*8.9,0)</f>
        <v>2057</v>
      </c>
      <c r="FV20" s="586"/>
      <c r="FW20" s="587"/>
      <c r="FX20" s="588"/>
      <c r="FY20" s="589"/>
      <c r="FZ20" s="590"/>
      <c r="GA20" s="591"/>
      <c r="GB20" s="592"/>
      <c r="GC20" s="593"/>
      <c r="GD20" s="592"/>
      <c r="GE20" s="594"/>
      <c r="GF20" s="681"/>
      <c r="GG20" s="595"/>
      <c r="GH20" s="595"/>
      <c r="GI20" s="595"/>
      <c r="GJ20" s="406"/>
      <c r="GK20" s="621"/>
      <c r="GL20" s="622"/>
      <c r="GM20" s="623"/>
      <c r="GN20" s="624"/>
      <c r="GO20" s="625"/>
      <c r="GP20" s="649"/>
      <c r="GQ20" s="626">
        <v>0</v>
      </c>
      <c r="GR20" s="627">
        <v>0</v>
      </c>
      <c r="GS20" s="410"/>
      <c r="GT20" s="650"/>
      <c r="GU20" s="621"/>
      <c r="GV20" s="622"/>
      <c r="GW20" s="628"/>
      <c r="GX20" s="629"/>
      <c r="GY20" s="630"/>
      <c r="GZ20" s="631"/>
      <c r="HA20" s="632">
        <v>0</v>
      </c>
      <c r="HB20" s="633"/>
      <c r="HC20" s="406"/>
      <c r="HD20" s="555"/>
      <c r="HE20" s="412"/>
      <c r="HF20" s="412"/>
      <c r="HG20" s="412"/>
    </row>
    <row r="21" spans="1:218" ht="20.100000000000001" customHeight="1">
      <c r="A21" s="545"/>
      <c r="B21" s="693"/>
      <c r="C21" s="684"/>
      <c r="D21" s="576"/>
      <c r="E21" s="685"/>
      <c r="F21" s="686"/>
      <c r="G21" s="687"/>
      <c r="H21" s="580"/>
      <c r="I21" s="688"/>
      <c r="J21" s="580"/>
      <c r="K21" s="688"/>
      <c r="L21" s="580"/>
      <c r="M21" s="688"/>
      <c r="N21" s="580"/>
      <c r="O21" s="688"/>
      <c r="P21" s="580"/>
      <c r="Q21" s="688"/>
      <c r="R21" s="580"/>
      <c r="S21" s="688"/>
      <c r="T21" s="580"/>
      <c r="U21" s="688"/>
      <c r="V21" s="580"/>
      <c r="W21" s="688"/>
      <c r="X21" s="580"/>
      <c r="Y21" s="688"/>
      <c r="Z21" s="580"/>
      <c r="AA21" s="688"/>
      <c r="AB21" s="580"/>
      <c r="AC21" s="688"/>
      <c r="AD21" s="580"/>
      <c r="AE21" s="688"/>
      <c r="AF21" s="580"/>
      <c r="AG21" s="688"/>
      <c r="AH21" s="580"/>
      <c r="AI21" s="688"/>
      <c r="AJ21" s="580"/>
      <c r="AK21" s="688"/>
      <c r="AL21" s="580"/>
      <c r="AM21" s="688"/>
      <c r="AN21" s="580"/>
      <c r="AO21" s="688"/>
      <c r="AP21" s="580"/>
      <c r="AQ21" s="688"/>
      <c r="AR21" s="580"/>
      <c r="AS21" s="688"/>
      <c r="AT21" s="580"/>
      <c r="AU21" s="688"/>
      <c r="AV21" s="580"/>
      <c r="AW21" s="688"/>
      <c r="AX21" s="580"/>
      <c r="AY21" s="688"/>
      <c r="AZ21" s="580"/>
      <c r="BA21" s="688"/>
      <c r="BB21" s="582"/>
      <c r="BC21" s="555"/>
      <c r="BD21" s="545"/>
      <c r="BE21" s="693"/>
      <c r="BF21" s="684"/>
      <c r="BG21" s="576"/>
      <c r="BH21" s="685"/>
      <c r="BI21" s="686"/>
      <c r="BJ21" s="687"/>
      <c r="BK21" s="580"/>
      <c r="BL21" s="688"/>
      <c r="BM21" s="580"/>
      <c r="BN21" s="688"/>
      <c r="BO21" s="580"/>
      <c r="BP21" s="688"/>
      <c r="BQ21" s="580"/>
      <c r="BR21" s="688"/>
      <c r="BS21" s="580"/>
      <c r="BT21" s="688"/>
      <c r="BU21" s="580"/>
      <c r="BV21" s="688"/>
      <c r="BW21" s="580"/>
      <c r="BX21" s="688"/>
      <c r="BY21" s="580"/>
      <c r="BZ21" s="688"/>
      <c r="CA21" s="580"/>
      <c r="CB21" s="688"/>
      <c r="CC21" s="580"/>
      <c r="CD21" s="688"/>
      <c r="CE21" s="580"/>
      <c r="CF21" s="688"/>
      <c r="CG21" s="580"/>
      <c r="CH21" s="688"/>
      <c r="CI21" s="580"/>
      <c r="CJ21" s="688"/>
      <c r="CK21" s="580"/>
      <c r="CL21" s="688"/>
      <c r="CM21" s="580"/>
      <c r="CN21" s="688"/>
      <c r="CO21" s="580"/>
      <c r="CP21" s="688"/>
      <c r="CQ21" s="580"/>
      <c r="CR21" s="688"/>
      <c r="CS21" s="580"/>
      <c r="CT21" s="688"/>
      <c r="CU21" s="580"/>
      <c r="CV21" s="688"/>
      <c r="CW21" s="580"/>
      <c r="CX21" s="688"/>
      <c r="CY21" s="580"/>
      <c r="CZ21" s="688"/>
      <c r="DA21" s="580"/>
      <c r="DB21" s="688"/>
      <c r="DC21" s="580"/>
      <c r="DD21" s="688"/>
      <c r="DE21" s="582"/>
      <c r="DF21" s="555"/>
      <c r="DG21" s="545"/>
      <c r="DH21" s="693"/>
      <c r="DI21" s="684"/>
      <c r="DJ21" s="576"/>
      <c r="DK21" s="685"/>
      <c r="DL21" s="686"/>
      <c r="DM21" s="687"/>
      <c r="DN21" s="580"/>
      <c r="DO21" s="688"/>
      <c r="DP21" s="580"/>
      <c r="DQ21" s="688"/>
      <c r="DR21" s="580"/>
      <c r="DS21" s="688"/>
      <c r="DT21" s="580"/>
      <c r="DU21" s="688"/>
      <c r="DV21" s="580"/>
      <c r="DW21" s="688"/>
      <c r="DX21" s="580"/>
      <c r="DY21" s="688"/>
      <c r="DZ21" s="580"/>
      <c r="EA21" s="688"/>
      <c r="EB21" s="580"/>
      <c r="EC21" s="688"/>
      <c r="ED21" s="580"/>
      <c r="EE21" s="688"/>
      <c r="EF21" s="580"/>
      <c r="EG21" s="688"/>
      <c r="EH21" s="580"/>
      <c r="EI21" s="688"/>
      <c r="EJ21" s="580"/>
      <c r="EK21" s="688"/>
      <c r="EL21" s="580"/>
      <c r="EM21" s="688"/>
      <c r="EN21" s="580"/>
      <c r="EO21" s="688"/>
      <c r="EP21" s="580"/>
      <c r="EQ21" s="688"/>
      <c r="ER21" s="580"/>
      <c r="ES21" s="688"/>
      <c r="ET21" s="580"/>
      <c r="EU21" s="688"/>
      <c r="EV21" s="580"/>
      <c r="EW21" s="688"/>
      <c r="EX21" s="580"/>
      <c r="EY21" s="688"/>
      <c r="EZ21" s="580"/>
      <c r="FA21" s="688"/>
      <c r="FB21" s="580"/>
      <c r="FC21" s="688"/>
      <c r="FD21" s="580"/>
      <c r="FE21" s="688"/>
      <c r="FF21" s="580"/>
      <c r="FG21" s="688"/>
      <c r="FH21" s="582"/>
      <c r="FI21" s="556"/>
      <c r="FJ21" s="557"/>
      <c r="FK21" s="693"/>
      <c r="FL21" s="684"/>
      <c r="FM21" s="576"/>
      <c r="FN21" s="685"/>
      <c r="FO21" s="686"/>
      <c r="FP21" s="689"/>
      <c r="FQ21" s="690"/>
      <c r="FR21" s="580"/>
      <c r="FS21" s="691"/>
      <c r="FT21" s="690"/>
      <c r="FU21" s="585"/>
      <c r="FV21" s="586"/>
      <c r="FW21" s="587"/>
      <c r="FX21" s="588"/>
      <c r="FY21" s="589"/>
      <c r="FZ21" s="590"/>
      <c r="GA21" s="591"/>
      <c r="GB21" s="592"/>
      <c r="GC21" s="593"/>
      <c r="GD21" s="592"/>
      <c r="GE21" s="594"/>
      <c r="GF21" s="681"/>
      <c r="GG21" s="595"/>
      <c r="GH21" s="595"/>
      <c r="GI21" s="595"/>
      <c r="GJ21" s="406"/>
      <c r="GK21" s="694" t="s">
        <v>471</v>
      </c>
      <c r="GL21" s="695"/>
      <c r="GM21" s="696"/>
      <c r="GN21" s="631">
        <v>0</v>
      </c>
      <c r="GO21" s="697"/>
      <c r="GP21" s="698"/>
      <c r="GQ21" s="626">
        <v>0</v>
      </c>
      <c r="GR21" s="627">
        <v>0</v>
      </c>
      <c r="GS21" s="571"/>
      <c r="GT21" s="670"/>
      <c r="GU21" s="694" t="s">
        <v>472</v>
      </c>
      <c r="GV21" s="695"/>
      <c r="GW21" s="696"/>
      <c r="GX21" s="699">
        <v>0</v>
      </c>
      <c r="GY21" s="700"/>
      <c r="GZ21" s="697"/>
      <c r="HA21" s="701">
        <v>0</v>
      </c>
      <c r="HB21" s="702"/>
      <c r="HC21" s="703"/>
      <c r="HD21" s="555"/>
      <c r="HE21" s="608"/>
      <c r="HF21" s="608"/>
      <c r="HG21" s="412"/>
    </row>
    <row r="22" spans="1:218" ht="20.100000000000001" customHeight="1">
      <c r="A22" s="545"/>
      <c r="B22" s="693"/>
      <c r="C22" s="684"/>
      <c r="D22" s="576"/>
      <c r="E22" s="685"/>
      <c r="F22" s="686"/>
      <c r="G22" s="687"/>
      <c r="H22" s="580"/>
      <c r="I22" s="688"/>
      <c r="J22" s="580"/>
      <c r="K22" s="688"/>
      <c r="L22" s="580"/>
      <c r="M22" s="688"/>
      <c r="N22" s="580"/>
      <c r="O22" s="688"/>
      <c r="P22" s="580"/>
      <c r="Q22" s="688"/>
      <c r="R22" s="580"/>
      <c r="S22" s="688"/>
      <c r="T22" s="580"/>
      <c r="U22" s="688"/>
      <c r="V22" s="580"/>
      <c r="W22" s="688"/>
      <c r="X22" s="580"/>
      <c r="Y22" s="688"/>
      <c r="Z22" s="580"/>
      <c r="AA22" s="688"/>
      <c r="AB22" s="580"/>
      <c r="AC22" s="688"/>
      <c r="AD22" s="580"/>
      <c r="AE22" s="688"/>
      <c r="AF22" s="580"/>
      <c r="AG22" s="688"/>
      <c r="AH22" s="580"/>
      <c r="AI22" s="688"/>
      <c r="AJ22" s="580"/>
      <c r="AK22" s="688"/>
      <c r="AL22" s="580"/>
      <c r="AM22" s="688"/>
      <c r="AN22" s="580"/>
      <c r="AO22" s="688"/>
      <c r="AP22" s="580"/>
      <c r="AQ22" s="688"/>
      <c r="AR22" s="580"/>
      <c r="AS22" s="688"/>
      <c r="AT22" s="580"/>
      <c r="AU22" s="688"/>
      <c r="AV22" s="580"/>
      <c r="AW22" s="688"/>
      <c r="AX22" s="580"/>
      <c r="AY22" s="688"/>
      <c r="AZ22" s="580"/>
      <c r="BA22" s="688"/>
      <c r="BB22" s="582"/>
      <c r="BC22" s="555"/>
      <c r="BD22" s="545"/>
      <c r="BE22" s="693"/>
      <c r="BF22" s="684"/>
      <c r="BG22" s="576"/>
      <c r="BH22" s="685"/>
      <c r="BI22" s="686"/>
      <c r="BJ22" s="687"/>
      <c r="BK22" s="580"/>
      <c r="BL22" s="688"/>
      <c r="BM22" s="580"/>
      <c r="BN22" s="688"/>
      <c r="BO22" s="580"/>
      <c r="BP22" s="688"/>
      <c r="BQ22" s="580"/>
      <c r="BR22" s="688"/>
      <c r="BS22" s="580"/>
      <c r="BT22" s="688"/>
      <c r="BU22" s="580"/>
      <c r="BV22" s="688"/>
      <c r="BW22" s="580"/>
      <c r="BX22" s="688"/>
      <c r="BY22" s="580"/>
      <c r="BZ22" s="688"/>
      <c r="CA22" s="580"/>
      <c r="CB22" s="688"/>
      <c r="CC22" s="580"/>
      <c r="CD22" s="688"/>
      <c r="CE22" s="580"/>
      <c r="CF22" s="688"/>
      <c r="CG22" s="580"/>
      <c r="CH22" s="688"/>
      <c r="CI22" s="580"/>
      <c r="CJ22" s="688"/>
      <c r="CK22" s="580"/>
      <c r="CL22" s="688"/>
      <c r="CM22" s="580"/>
      <c r="CN22" s="688"/>
      <c r="CO22" s="580"/>
      <c r="CP22" s="688"/>
      <c r="CQ22" s="580"/>
      <c r="CR22" s="688"/>
      <c r="CS22" s="580"/>
      <c r="CT22" s="688"/>
      <c r="CU22" s="580"/>
      <c r="CV22" s="688"/>
      <c r="CW22" s="580"/>
      <c r="CX22" s="688"/>
      <c r="CY22" s="580"/>
      <c r="CZ22" s="688"/>
      <c r="DA22" s="580"/>
      <c r="DB22" s="688"/>
      <c r="DC22" s="580"/>
      <c r="DD22" s="688"/>
      <c r="DE22" s="582"/>
      <c r="DF22" s="555"/>
      <c r="DG22" s="545"/>
      <c r="DH22" s="693"/>
      <c r="DI22" s="684"/>
      <c r="DJ22" s="576"/>
      <c r="DK22" s="685"/>
      <c r="DL22" s="686"/>
      <c r="DM22" s="687"/>
      <c r="DN22" s="580"/>
      <c r="DO22" s="688"/>
      <c r="DP22" s="580"/>
      <c r="DQ22" s="688"/>
      <c r="DR22" s="580"/>
      <c r="DS22" s="688"/>
      <c r="DT22" s="580"/>
      <c r="DU22" s="688"/>
      <c r="DV22" s="580"/>
      <c r="DW22" s="688"/>
      <c r="DX22" s="580"/>
      <c r="DY22" s="688"/>
      <c r="DZ22" s="580"/>
      <c r="EA22" s="688"/>
      <c r="EB22" s="580"/>
      <c r="EC22" s="688"/>
      <c r="ED22" s="580"/>
      <c r="EE22" s="688"/>
      <c r="EF22" s="580"/>
      <c r="EG22" s="688"/>
      <c r="EH22" s="580"/>
      <c r="EI22" s="688"/>
      <c r="EJ22" s="580"/>
      <c r="EK22" s="688"/>
      <c r="EL22" s="580"/>
      <c r="EM22" s="688"/>
      <c r="EN22" s="580"/>
      <c r="EO22" s="688"/>
      <c r="EP22" s="580"/>
      <c r="EQ22" s="688"/>
      <c r="ER22" s="580"/>
      <c r="ES22" s="688"/>
      <c r="ET22" s="580"/>
      <c r="EU22" s="688"/>
      <c r="EV22" s="580"/>
      <c r="EW22" s="688"/>
      <c r="EX22" s="580"/>
      <c r="EY22" s="688"/>
      <c r="EZ22" s="580"/>
      <c r="FA22" s="688"/>
      <c r="FB22" s="580"/>
      <c r="FC22" s="688"/>
      <c r="FD22" s="580"/>
      <c r="FE22" s="688"/>
      <c r="FF22" s="580"/>
      <c r="FG22" s="688"/>
      <c r="FH22" s="582"/>
      <c r="FI22" s="556"/>
      <c r="FJ22" s="557"/>
      <c r="FK22" s="693"/>
      <c r="FL22" s="684"/>
      <c r="FM22" s="576"/>
      <c r="FN22" s="685"/>
      <c r="FO22" s="686"/>
      <c r="FP22" s="689"/>
      <c r="FQ22" s="690"/>
      <c r="FR22" s="580"/>
      <c r="FS22" s="691"/>
      <c r="FT22" s="690"/>
      <c r="FU22" s="585"/>
      <c r="FV22" s="586"/>
      <c r="FW22" s="587"/>
      <c r="FX22" s="588"/>
      <c r="FY22" s="589"/>
      <c r="FZ22" s="590"/>
      <c r="GA22" s="591"/>
      <c r="GB22" s="592"/>
      <c r="GC22" s="593"/>
      <c r="GD22" s="592"/>
      <c r="GE22" s="594"/>
      <c r="GF22" s="681"/>
      <c r="GG22" s="595"/>
      <c r="GH22" s="595"/>
      <c r="GI22" s="595"/>
      <c r="GJ22" s="523"/>
      <c r="GK22" s="704" t="s">
        <v>473</v>
      </c>
      <c r="GL22" s="705"/>
      <c r="GM22" s="705"/>
      <c r="GN22" s="706"/>
      <c r="GO22" s="626">
        <v>0</v>
      </c>
      <c r="GP22" s="626">
        <v>1</v>
      </c>
      <c r="GQ22" s="707"/>
      <c r="GR22" s="708"/>
      <c r="GS22" s="571"/>
      <c r="GT22" s="670"/>
      <c r="GU22" s="704" t="s">
        <v>473</v>
      </c>
      <c r="GV22" s="705"/>
      <c r="GW22" s="705"/>
      <c r="GX22" s="705"/>
      <c r="GY22" s="706"/>
      <c r="GZ22" s="626">
        <v>0</v>
      </c>
      <c r="HA22" s="709"/>
      <c r="HB22" s="710"/>
      <c r="HC22" s="410"/>
      <c r="HD22" s="555"/>
      <c r="HE22" s="412"/>
      <c r="HF22" s="412"/>
      <c r="HG22" s="412"/>
    </row>
    <row r="23" spans="1:218" ht="20.100000000000001" customHeight="1">
      <c r="A23" s="545"/>
      <c r="B23" s="693"/>
      <c r="C23" s="684"/>
      <c r="D23" s="576"/>
      <c r="E23" s="685"/>
      <c r="F23" s="686"/>
      <c r="G23" s="687"/>
      <c r="H23" s="580"/>
      <c r="I23" s="688"/>
      <c r="J23" s="580"/>
      <c r="K23" s="688"/>
      <c r="L23" s="580"/>
      <c r="M23" s="688"/>
      <c r="N23" s="580"/>
      <c r="O23" s="688"/>
      <c r="P23" s="580"/>
      <c r="Q23" s="688"/>
      <c r="R23" s="580"/>
      <c r="S23" s="688"/>
      <c r="T23" s="580"/>
      <c r="U23" s="688"/>
      <c r="V23" s="580"/>
      <c r="W23" s="688"/>
      <c r="X23" s="580"/>
      <c r="Y23" s="688"/>
      <c r="Z23" s="580"/>
      <c r="AA23" s="688"/>
      <c r="AB23" s="580"/>
      <c r="AC23" s="688"/>
      <c r="AD23" s="580"/>
      <c r="AE23" s="688"/>
      <c r="AF23" s="580"/>
      <c r="AG23" s="688"/>
      <c r="AH23" s="580"/>
      <c r="AI23" s="688"/>
      <c r="AJ23" s="580"/>
      <c r="AK23" s="688"/>
      <c r="AL23" s="580"/>
      <c r="AM23" s="688"/>
      <c r="AN23" s="580"/>
      <c r="AO23" s="688"/>
      <c r="AP23" s="580"/>
      <c r="AQ23" s="688"/>
      <c r="AR23" s="580"/>
      <c r="AS23" s="688"/>
      <c r="AT23" s="580"/>
      <c r="AU23" s="688"/>
      <c r="AV23" s="580"/>
      <c r="AW23" s="688"/>
      <c r="AX23" s="580"/>
      <c r="AY23" s="688"/>
      <c r="AZ23" s="580"/>
      <c r="BA23" s="688"/>
      <c r="BB23" s="582"/>
      <c r="BC23" s="555"/>
      <c r="BD23" s="545"/>
      <c r="BE23" s="693"/>
      <c r="BF23" s="684"/>
      <c r="BG23" s="576"/>
      <c r="BH23" s="685"/>
      <c r="BI23" s="686"/>
      <c r="BJ23" s="687"/>
      <c r="BK23" s="580"/>
      <c r="BL23" s="688"/>
      <c r="BM23" s="580"/>
      <c r="BN23" s="688"/>
      <c r="BO23" s="580"/>
      <c r="BP23" s="688"/>
      <c r="BQ23" s="580"/>
      <c r="BR23" s="688"/>
      <c r="BS23" s="580"/>
      <c r="BT23" s="688"/>
      <c r="BU23" s="580"/>
      <c r="BV23" s="688"/>
      <c r="BW23" s="580"/>
      <c r="BX23" s="688"/>
      <c r="BY23" s="580"/>
      <c r="BZ23" s="688"/>
      <c r="CA23" s="580"/>
      <c r="CB23" s="688"/>
      <c r="CC23" s="580"/>
      <c r="CD23" s="688"/>
      <c r="CE23" s="580"/>
      <c r="CF23" s="688"/>
      <c r="CG23" s="580"/>
      <c r="CH23" s="688"/>
      <c r="CI23" s="580"/>
      <c r="CJ23" s="688"/>
      <c r="CK23" s="580"/>
      <c r="CL23" s="688"/>
      <c r="CM23" s="580"/>
      <c r="CN23" s="688"/>
      <c r="CO23" s="580"/>
      <c r="CP23" s="688"/>
      <c r="CQ23" s="580"/>
      <c r="CR23" s="688"/>
      <c r="CS23" s="580"/>
      <c r="CT23" s="688"/>
      <c r="CU23" s="580"/>
      <c r="CV23" s="688"/>
      <c r="CW23" s="580"/>
      <c r="CX23" s="688"/>
      <c r="CY23" s="580"/>
      <c r="CZ23" s="688"/>
      <c r="DA23" s="580"/>
      <c r="DB23" s="688"/>
      <c r="DC23" s="580"/>
      <c r="DD23" s="688"/>
      <c r="DE23" s="582"/>
      <c r="DF23" s="555"/>
      <c r="DG23" s="545"/>
      <c r="DH23" s="693"/>
      <c r="DI23" s="684"/>
      <c r="DJ23" s="576"/>
      <c r="DK23" s="685"/>
      <c r="DL23" s="686"/>
      <c r="DM23" s="687"/>
      <c r="DN23" s="580"/>
      <c r="DO23" s="688"/>
      <c r="DP23" s="580"/>
      <c r="DQ23" s="688"/>
      <c r="DR23" s="580"/>
      <c r="DS23" s="688"/>
      <c r="DT23" s="580"/>
      <c r="DU23" s="688"/>
      <c r="DV23" s="580"/>
      <c r="DW23" s="688"/>
      <c r="DX23" s="580"/>
      <c r="DY23" s="688"/>
      <c r="DZ23" s="580"/>
      <c r="EA23" s="688"/>
      <c r="EB23" s="580"/>
      <c r="EC23" s="688"/>
      <c r="ED23" s="580"/>
      <c r="EE23" s="688"/>
      <c r="EF23" s="580"/>
      <c r="EG23" s="688"/>
      <c r="EH23" s="580"/>
      <c r="EI23" s="688"/>
      <c r="EJ23" s="580"/>
      <c r="EK23" s="688"/>
      <c r="EL23" s="580"/>
      <c r="EM23" s="688"/>
      <c r="EN23" s="580"/>
      <c r="EO23" s="688"/>
      <c r="EP23" s="580"/>
      <c r="EQ23" s="688"/>
      <c r="ER23" s="580"/>
      <c r="ES23" s="688"/>
      <c r="ET23" s="580"/>
      <c r="EU23" s="688"/>
      <c r="EV23" s="580"/>
      <c r="EW23" s="688"/>
      <c r="EX23" s="580"/>
      <c r="EY23" s="688"/>
      <c r="EZ23" s="580"/>
      <c r="FA23" s="688"/>
      <c r="FB23" s="580"/>
      <c r="FC23" s="688"/>
      <c r="FD23" s="580"/>
      <c r="FE23" s="688"/>
      <c r="FF23" s="580"/>
      <c r="FG23" s="688"/>
      <c r="FH23" s="582"/>
      <c r="FI23" s="556"/>
      <c r="FJ23" s="557"/>
      <c r="FK23" s="693"/>
      <c r="FL23" s="684"/>
      <c r="FM23" s="576"/>
      <c r="FN23" s="685"/>
      <c r="FO23" s="686"/>
      <c r="FP23" s="689"/>
      <c r="FQ23" s="690"/>
      <c r="FR23" s="580"/>
      <c r="FS23" s="691"/>
      <c r="FT23" s="690"/>
      <c r="FU23" s="585"/>
      <c r="FV23" s="586"/>
      <c r="FW23" s="587"/>
      <c r="FX23" s="588"/>
      <c r="FY23" s="589"/>
      <c r="FZ23" s="590"/>
      <c r="GA23" s="591"/>
      <c r="GB23" s="592"/>
      <c r="GC23" s="593"/>
      <c r="GD23" s="592"/>
      <c r="GE23" s="594"/>
      <c r="GF23" s="681"/>
      <c r="GG23" s="595"/>
      <c r="GH23" s="595"/>
      <c r="GI23" s="595"/>
      <c r="GJ23" s="608"/>
      <c r="GK23" s="573" t="s">
        <v>583</v>
      </c>
      <c r="GL23" s="602"/>
      <c r="GM23" s="711"/>
      <c r="GN23" s="712">
        <v>91</v>
      </c>
      <c r="GO23" s="493" t="s">
        <v>584</v>
      </c>
      <c r="GP23" s="712"/>
      <c r="GQ23" s="602"/>
      <c r="GR23" s="608"/>
      <c r="GS23" s="571"/>
      <c r="GT23" s="670"/>
      <c r="GU23" s="602"/>
      <c r="GV23" s="523"/>
      <c r="GW23" s="602"/>
      <c r="GX23" s="602"/>
      <c r="GY23" s="713"/>
      <c r="GZ23" s="714"/>
      <c r="HA23" s="410"/>
      <c r="HB23" s="714" t="s">
        <v>585</v>
      </c>
      <c r="HC23" s="608"/>
      <c r="HD23" s="555"/>
      <c r="HE23" s="410"/>
      <c r="HF23" s="410"/>
      <c r="HG23" s="412"/>
    </row>
    <row r="24" spans="1:218" ht="20.100000000000001" customHeight="1">
      <c r="A24" s="545"/>
      <c r="B24" s="693"/>
      <c r="C24" s="684"/>
      <c r="D24" s="576"/>
      <c r="E24" s="685"/>
      <c r="F24" s="686"/>
      <c r="G24" s="687"/>
      <c r="H24" s="580"/>
      <c r="I24" s="688"/>
      <c r="J24" s="580"/>
      <c r="K24" s="688"/>
      <c r="L24" s="580"/>
      <c r="M24" s="688"/>
      <c r="N24" s="580"/>
      <c r="O24" s="688"/>
      <c r="P24" s="580"/>
      <c r="Q24" s="688"/>
      <c r="R24" s="580"/>
      <c r="S24" s="688"/>
      <c r="T24" s="580"/>
      <c r="U24" s="688"/>
      <c r="V24" s="580"/>
      <c r="W24" s="688"/>
      <c r="X24" s="580"/>
      <c r="Y24" s="688"/>
      <c r="Z24" s="580"/>
      <c r="AA24" s="688"/>
      <c r="AB24" s="580"/>
      <c r="AC24" s="688"/>
      <c r="AD24" s="580"/>
      <c r="AE24" s="688"/>
      <c r="AF24" s="580"/>
      <c r="AG24" s="688"/>
      <c r="AH24" s="580"/>
      <c r="AI24" s="688"/>
      <c r="AJ24" s="580"/>
      <c r="AK24" s="688"/>
      <c r="AL24" s="580"/>
      <c r="AM24" s="688"/>
      <c r="AN24" s="580"/>
      <c r="AO24" s="688"/>
      <c r="AP24" s="580"/>
      <c r="AQ24" s="688"/>
      <c r="AR24" s="580"/>
      <c r="AS24" s="688"/>
      <c r="AT24" s="580"/>
      <c r="AU24" s="688"/>
      <c r="AV24" s="580"/>
      <c r="AW24" s="688"/>
      <c r="AX24" s="580"/>
      <c r="AY24" s="688"/>
      <c r="AZ24" s="580"/>
      <c r="BA24" s="688"/>
      <c r="BB24" s="582"/>
      <c r="BC24" s="555"/>
      <c r="BD24" s="545"/>
      <c r="BE24" s="693"/>
      <c r="BF24" s="684"/>
      <c r="BG24" s="576"/>
      <c r="BH24" s="685"/>
      <c r="BI24" s="686"/>
      <c r="BJ24" s="687"/>
      <c r="BK24" s="580"/>
      <c r="BL24" s="688"/>
      <c r="BM24" s="580"/>
      <c r="BN24" s="688"/>
      <c r="BO24" s="580"/>
      <c r="BP24" s="688"/>
      <c r="BQ24" s="580"/>
      <c r="BR24" s="688"/>
      <c r="BS24" s="580"/>
      <c r="BT24" s="688"/>
      <c r="BU24" s="580"/>
      <c r="BV24" s="688"/>
      <c r="BW24" s="580"/>
      <c r="BX24" s="688"/>
      <c r="BY24" s="580"/>
      <c r="BZ24" s="688"/>
      <c r="CA24" s="580"/>
      <c r="CB24" s="688"/>
      <c r="CC24" s="580"/>
      <c r="CD24" s="688"/>
      <c r="CE24" s="580"/>
      <c r="CF24" s="688"/>
      <c r="CG24" s="580"/>
      <c r="CH24" s="688"/>
      <c r="CI24" s="580"/>
      <c r="CJ24" s="688"/>
      <c r="CK24" s="580"/>
      <c r="CL24" s="688"/>
      <c r="CM24" s="580"/>
      <c r="CN24" s="688"/>
      <c r="CO24" s="580"/>
      <c r="CP24" s="688"/>
      <c r="CQ24" s="580"/>
      <c r="CR24" s="688"/>
      <c r="CS24" s="580"/>
      <c r="CT24" s="688"/>
      <c r="CU24" s="580"/>
      <c r="CV24" s="688"/>
      <c r="CW24" s="580"/>
      <c r="CX24" s="688"/>
      <c r="CY24" s="580"/>
      <c r="CZ24" s="688"/>
      <c r="DA24" s="580"/>
      <c r="DB24" s="688"/>
      <c r="DC24" s="580"/>
      <c r="DD24" s="688"/>
      <c r="DE24" s="582"/>
      <c r="DF24" s="555"/>
      <c r="DG24" s="545"/>
      <c r="DH24" s="693"/>
      <c r="DI24" s="684"/>
      <c r="DJ24" s="576"/>
      <c r="DK24" s="685"/>
      <c r="DL24" s="686"/>
      <c r="DM24" s="687"/>
      <c r="DN24" s="580"/>
      <c r="DO24" s="688"/>
      <c r="DP24" s="580"/>
      <c r="DQ24" s="688"/>
      <c r="DR24" s="580"/>
      <c r="DS24" s="688"/>
      <c r="DT24" s="580"/>
      <c r="DU24" s="688"/>
      <c r="DV24" s="580"/>
      <c r="DW24" s="688"/>
      <c r="DX24" s="580"/>
      <c r="DY24" s="688"/>
      <c r="DZ24" s="580"/>
      <c r="EA24" s="688"/>
      <c r="EB24" s="580"/>
      <c r="EC24" s="688"/>
      <c r="ED24" s="580"/>
      <c r="EE24" s="688"/>
      <c r="EF24" s="580"/>
      <c r="EG24" s="688"/>
      <c r="EH24" s="580"/>
      <c r="EI24" s="688"/>
      <c r="EJ24" s="580"/>
      <c r="EK24" s="688"/>
      <c r="EL24" s="580"/>
      <c r="EM24" s="688"/>
      <c r="EN24" s="580"/>
      <c r="EO24" s="688"/>
      <c r="EP24" s="580"/>
      <c r="EQ24" s="688"/>
      <c r="ER24" s="580"/>
      <c r="ES24" s="688"/>
      <c r="ET24" s="580"/>
      <c r="EU24" s="688"/>
      <c r="EV24" s="580"/>
      <c r="EW24" s="688"/>
      <c r="EX24" s="580"/>
      <c r="EY24" s="688"/>
      <c r="EZ24" s="580"/>
      <c r="FA24" s="688"/>
      <c r="FB24" s="580"/>
      <c r="FC24" s="688"/>
      <c r="FD24" s="580"/>
      <c r="FE24" s="688"/>
      <c r="FF24" s="580"/>
      <c r="FG24" s="688"/>
      <c r="FH24" s="582"/>
      <c r="FI24" s="556"/>
      <c r="FJ24" s="557"/>
      <c r="FK24" s="693"/>
      <c r="FL24" s="684"/>
      <c r="FM24" s="576"/>
      <c r="FN24" s="685"/>
      <c r="FO24" s="686"/>
      <c r="FP24" s="689"/>
      <c r="FQ24" s="690"/>
      <c r="FR24" s="580"/>
      <c r="FS24" s="691"/>
      <c r="FT24" s="690"/>
      <c r="FU24" s="585"/>
      <c r="FV24" s="586"/>
      <c r="FW24" s="587"/>
      <c r="FX24" s="588"/>
      <c r="FY24" s="589"/>
      <c r="FZ24" s="590"/>
      <c r="GA24" s="591"/>
      <c r="GB24" s="592"/>
      <c r="GC24" s="593"/>
      <c r="GD24" s="592"/>
      <c r="GE24" s="594"/>
      <c r="GF24" s="681"/>
      <c r="GG24" s="595"/>
      <c r="GH24" s="595"/>
      <c r="GI24" s="595"/>
      <c r="GJ24" s="608"/>
      <c r="GK24" s="573" t="s">
        <v>586</v>
      </c>
      <c r="GL24" s="602"/>
      <c r="GM24" s="711"/>
      <c r="GN24" s="712">
        <v>0</v>
      </c>
      <c r="GO24" s="712"/>
      <c r="GP24" s="712"/>
      <c r="GQ24" s="602"/>
      <c r="GR24" s="608"/>
      <c r="GS24" s="602"/>
      <c r="GT24" s="670"/>
      <c r="GU24" s="573" t="s">
        <v>478</v>
      </c>
      <c r="GV24" s="602"/>
      <c r="GW24" s="602"/>
      <c r="GX24" s="410"/>
      <c r="GY24" s="715">
        <v>550</v>
      </c>
      <c r="GZ24" s="573" t="s">
        <v>293</v>
      </c>
      <c r="HA24" s="523"/>
      <c r="HB24" s="523"/>
      <c r="HC24" s="608"/>
      <c r="HD24" s="555"/>
      <c r="HE24" s="716"/>
      <c r="HF24" s="412"/>
      <c r="HG24" s="523"/>
      <c r="HH24" s="555"/>
      <c r="HI24" s="412"/>
      <c r="HJ24" s="412"/>
    </row>
    <row r="25" spans="1:218" ht="20.100000000000001" customHeight="1">
      <c r="A25" s="545"/>
      <c r="B25" s="717"/>
      <c r="C25" s="718"/>
      <c r="D25" s="611"/>
      <c r="E25" s="719"/>
      <c r="F25" s="720"/>
      <c r="G25" s="721"/>
      <c r="H25" s="615"/>
      <c r="I25" s="722"/>
      <c r="J25" s="615"/>
      <c r="K25" s="722"/>
      <c r="L25" s="615"/>
      <c r="M25" s="722"/>
      <c r="N25" s="615"/>
      <c r="O25" s="722"/>
      <c r="P25" s="615"/>
      <c r="Q25" s="722"/>
      <c r="R25" s="615"/>
      <c r="S25" s="722"/>
      <c r="T25" s="615"/>
      <c r="U25" s="722"/>
      <c r="V25" s="615"/>
      <c r="W25" s="722"/>
      <c r="X25" s="615"/>
      <c r="Y25" s="722"/>
      <c r="Z25" s="615"/>
      <c r="AA25" s="722"/>
      <c r="AB25" s="615"/>
      <c r="AC25" s="722"/>
      <c r="AD25" s="615"/>
      <c r="AE25" s="722"/>
      <c r="AF25" s="615"/>
      <c r="AG25" s="722"/>
      <c r="AH25" s="615"/>
      <c r="AI25" s="722"/>
      <c r="AJ25" s="615"/>
      <c r="AK25" s="722"/>
      <c r="AL25" s="615"/>
      <c r="AM25" s="722"/>
      <c r="AN25" s="615"/>
      <c r="AO25" s="722"/>
      <c r="AP25" s="615"/>
      <c r="AQ25" s="722"/>
      <c r="AR25" s="615"/>
      <c r="AS25" s="722"/>
      <c r="AT25" s="615"/>
      <c r="AU25" s="722"/>
      <c r="AV25" s="615"/>
      <c r="AW25" s="722"/>
      <c r="AX25" s="615"/>
      <c r="AY25" s="722"/>
      <c r="AZ25" s="615"/>
      <c r="BA25" s="722"/>
      <c r="BB25" s="617"/>
      <c r="BC25" s="555"/>
      <c r="BD25" s="545"/>
      <c r="BE25" s="717"/>
      <c r="BF25" s="718"/>
      <c r="BG25" s="611"/>
      <c r="BH25" s="719"/>
      <c r="BI25" s="720"/>
      <c r="BJ25" s="721"/>
      <c r="BK25" s="615"/>
      <c r="BL25" s="722"/>
      <c r="BM25" s="615"/>
      <c r="BN25" s="722"/>
      <c r="BO25" s="615"/>
      <c r="BP25" s="722"/>
      <c r="BQ25" s="615"/>
      <c r="BR25" s="722"/>
      <c r="BS25" s="615"/>
      <c r="BT25" s="722"/>
      <c r="BU25" s="615"/>
      <c r="BV25" s="722"/>
      <c r="BW25" s="615"/>
      <c r="BX25" s="722"/>
      <c r="BY25" s="615"/>
      <c r="BZ25" s="722"/>
      <c r="CA25" s="615"/>
      <c r="CB25" s="722"/>
      <c r="CC25" s="615"/>
      <c r="CD25" s="722"/>
      <c r="CE25" s="615"/>
      <c r="CF25" s="722"/>
      <c r="CG25" s="615"/>
      <c r="CH25" s="722"/>
      <c r="CI25" s="615"/>
      <c r="CJ25" s="722"/>
      <c r="CK25" s="615"/>
      <c r="CL25" s="722"/>
      <c r="CM25" s="615"/>
      <c r="CN25" s="722"/>
      <c r="CO25" s="615"/>
      <c r="CP25" s="722"/>
      <c r="CQ25" s="615"/>
      <c r="CR25" s="722"/>
      <c r="CS25" s="615"/>
      <c r="CT25" s="722"/>
      <c r="CU25" s="615"/>
      <c r="CV25" s="722"/>
      <c r="CW25" s="615"/>
      <c r="CX25" s="722"/>
      <c r="CY25" s="615"/>
      <c r="CZ25" s="722"/>
      <c r="DA25" s="615"/>
      <c r="DB25" s="722"/>
      <c r="DC25" s="615"/>
      <c r="DD25" s="722"/>
      <c r="DE25" s="617"/>
      <c r="DF25" s="555"/>
      <c r="DG25" s="545"/>
      <c r="DH25" s="717"/>
      <c r="DI25" s="718"/>
      <c r="DJ25" s="611"/>
      <c r="DK25" s="719"/>
      <c r="DL25" s="720"/>
      <c r="DM25" s="721"/>
      <c r="DN25" s="615"/>
      <c r="DO25" s="722"/>
      <c r="DP25" s="615"/>
      <c r="DQ25" s="722"/>
      <c r="DR25" s="615"/>
      <c r="DS25" s="722"/>
      <c r="DT25" s="615"/>
      <c r="DU25" s="722"/>
      <c r="DV25" s="615"/>
      <c r="DW25" s="722"/>
      <c r="DX25" s="615"/>
      <c r="DY25" s="722"/>
      <c r="DZ25" s="615"/>
      <c r="EA25" s="722"/>
      <c r="EB25" s="615"/>
      <c r="EC25" s="722"/>
      <c r="ED25" s="615"/>
      <c r="EE25" s="722"/>
      <c r="EF25" s="615"/>
      <c r="EG25" s="722"/>
      <c r="EH25" s="615"/>
      <c r="EI25" s="722"/>
      <c r="EJ25" s="615"/>
      <c r="EK25" s="722"/>
      <c r="EL25" s="615"/>
      <c r="EM25" s="722"/>
      <c r="EN25" s="615"/>
      <c r="EO25" s="722"/>
      <c r="EP25" s="615"/>
      <c r="EQ25" s="722"/>
      <c r="ER25" s="615"/>
      <c r="ES25" s="722"/>
      <c r="ET25" s="615"/>
      <c r="EU25" s="722"/>
      <c r="EV25" s="615"/>
      <c r="EW25" s="722"/>
      <c r="EX25" s="615"/>
      <c r="EY25" s="722"/>
      <c r="EZ25" s="615"/>
      <c r="FA25" s="722"/>
      <c r="FB25" s="615"/>
      <c r="FC25" s="722"/>
      <c r="FD25" s="615"/>
      <c r="FE25" s="722"/>
      <c r="FF25" s="615"/>
      <c r="FG25" s="722"/>
      <c r="FH25" s="617"/>
      <c r="FI25" s="556"/>
      <c r="FJ25" s="557"/>
      <c r="FK25" s="717"/>
      <c r="FL25" s="718"/>
      <c r="FM25" s="611"/>
      <c r="FN25" s="719"/>
      <c r="FO25" s="720"/>
      <c r="FP25" s="723"/>
      <c r="FQ25" s="724"/>
      <c r="FR25" s="615"/>
      <c r="FS25" s="725"/>
      <c r="FT25" s="724"/>
      <c r="FU25" s="620"/>
      <c r="FV25" s="586"/>
      <c r="FW25" s="587"/>
      <c r="FX25" s="588"/>
      <c r="FY25" s="589"/>
      <c r="FZ25" s="590"/>
      <c r="GA25" s="591"/>
      <c r="GB25" s="592"/>
      <c r="GC25" s="593"/>
      <c r="GD25" s="592"/>
      <c r="GE25" s="594"/>
      <c r="GF25" s="681"/>
      <c r="GG25" s="595"/>
      <c r="GH25" s="595"/>
      <c r="GI25" s="595"/>
      <c r="GJ25" s="493"/>
      <c r="GK25" s="494"/>
      <c r="GL25" s="494"/>
      <c r="GM25" s="494"/>
      <c r="GN25" s="494"/>
      <c r="GO25" s="494"/>
      <c r="GP25" s="494"/>
      <c r="GQ25" s="494"/>
      <c r="GR25" s="494"/>
      <c r="GS25" s="410"/>
      <c r="GT25" s="670"/>
      <c r="GU25" s="573" t="s">
        <v>480</v>
      </c>
      <c r="GV25" s="602"/>
      <c r="GW25" s="602"/>
      <c r="GX25" s="410"/>
      <c r="GY25" s="726">
        <v>1</v>
      </c>
      <c r="GZ25" s="573"/>
      <c r="HA25" s="523"/>
      <c r="HB25" s="523"/>
      <c r="HC25" s="523"/>
      <c r="HD25" s="555"/>
      <c r="HE25" s="555"/>
      <c r="HF25" s="412"/>
      <c r="HG25" s="412"/>
    </row>
    <row r="26" spans="1:218" ht="20.100000000000001" customHeight="1">
      <c r="A26" s="634"/>
      <c r="B26" s="635"/>
      <c r="C26" s="635"/>
      <c r="D26" s="635" t="s">
        <v>545</v>
      </c>
      <c r="E26" s="635"/>
      <c r="F26" s="635"/>
      <c r="G26" s="637"/>
      <c r="H26" s="638">
        <f>SUM(H16:H25)</f>
        <v>109</v>
      </c>
      <c r="I26" s="727"/>
      <c r="J26" s="638">
        <f>SUM(J16:J25)</f>
        <v>91</v>
      </c>
      <c r="K26" s="728"/>
      <c r="L26" s="638">
        <f>SUM(L16:L25)</f>
        <v>73</v>
      </c>
      <c r="M26" s="728"/>
      <c r="N26" s="638">
        <f>SUM(N16:N25)</f>
        <v>60</v>
      </c>
      <c r="O26" s="728"/>
      <c r="P26" s="638">
        <f>SUM(P16:P25)</f>
        <v>44</v>
      </c>
      <c r="Q26" s="728"/>
      <c r="R26" s="638">
        <f>SUM(R16:R25)</f>
        <v>34</v>
      </c>
      <c r="S26" s="728"/>
      <c r="T26" s="638">
        <f>SUM(T16:T25)</f>
        <v>101</v>
      </c>
      <c r="U26" s="728"/>
      <c r="V26" s="638">
        <f>SUM(V16:V25)</f>
        <v>245</v>
      </c>
      <c r="W26" s="728"/>
      <c r="X26" s="638">
        <f>SUM(X16:X25)</f>
        <v>554</v>
      </c>
      <c r="Y26" s="728"/>
      <c r="Z26" s="638">
        <f>SUM(Z16:Z25)</f>
        <v>695</v>
      </c>
      <c r="AA26" s="728"/>
      <c r="AB26" s="638">
        <f>SUM(AB16:AB25)</f>
        <v>805</v>
      </c>
      <c r="AC26" s="728"/>
      <c r="AD26" s="638">
        <f>SUM(AD16:AD25)</f>
        <v>889</v>
      </c>
      <c r="AE26" s="728"/>
      <c r="AF26" s="638">
        <f>SUM(AF16:AF25)</f>
        <v>1003</v>
      </c>
      <c r="AG26" s="728"/>
      <c r="AH26" s="638">
        <f>SUM(AH16:AH25)</f>
        <v>1029</v>
      </c>
      <c r="AI26" s="728"/>
      <c r="AJ26" s="638">
        <f>SUM(AJ16:AJ25)</f>
        <v>1052</v>
      </c>
      <c r="AK26" s="728"/>
      <c r="AL26" s="638">
        <f>SUM(AL16:AL25)</f>
        <v>1014</v>
      </c>
      <c r="AM26" s="728"/>
      <c r="AN26" s="638">
        <f>SUM(AN16:AN25)</f>
        <v>908</v>
      </c>
      <c r="AO26" s="728"/>
      <c r="AP26" s="638">
        <f>SUM(AP16:AP25)</f>
        <v>824</v>
      </c>
      <c r="AQ26" s="728"/>
      <c r="AR26" s="638">
        <f>SUM(AR16:AR25)</f>
        <v>570</v>
      </c>
      <c r="AS26" s="728"/>
      <c r="AT26" s="638">
        <f>SUM(AT16:AT25)</f>
        <v>487</v>
      </c>
      <c r="AU26" s="728"/>
      <c r="AV26" s="638">
        <f>SUM(AV16:AV25)</f>
        <v>398</v>
      </c>
      <c r="AW26" s="728"/>
      <c r="AX26" s="638">
        <f>SUM(AX16:AX25)</f>
        <v>307</v>
      </c>
      <c r="AY26" s="728"/>
      <c r="AZ26" s="638">
        <f>SUM(AZ16:AZ25)</f>
        <v>217</v>
      </c>
      <c r="BA26" s="728"/>
      <c r="BB26" s="640">
        <f>SUM(BB16:BB25)</f>
        <v>163</v>
      </c>
      <c r="BC26" s="641"/>
      <c r="BD26" s="634"/>
      <c r="BE26" s="635"/>
      <c r="BF26" s="635"/>
      <c r="BG26" s="635" t="s">
        <v>288</v>
      </c>
      <c r="BH26" s="635"/>
      <c r="BI26" s="635"/>
      <c r="BJ26" s="637"/>
      <c r="BK26" s="638">
        <f>SUM(BK16:BK25)</f>
        <v>112</v>
      </c>
      <c r="BL26" s="727"/>
      <c r="BM26" s="638">
        <f>SUM(BM16:BM25)</f>
        <v>88</v>
      </c>
      <c r="BN26" s="728"/>
      <c r="BO26" s="638">
        <f>SUM(BO16:BO25)</f>
        <v>70</v>
      </c>
      <c r="BP26" s="728"/>
      <c r="BQ26" s="638">
        <f>SUM(BQ16:BQ25)</f>
        <v>52</v>
      </c>
      <c r="BR26" s="728"/>
      <c r="BS26" s="638">
        <f>SUM(BS16:BS25)</f>
        <v>39</v>
      </c>
      <c r="BT26" s="728"/>
      <c r="BU26" s="638">
        <f>SUM(BU16:BU25)</f>
        <v>26</v>
      </c>
      <c r="BV26" s="728"/>
      <c r="BW26" s="638">
        <f>SUM(BW16:BW25)</f>
        <v>129</v>
      </c>
      <c r="BX26" s="728"/>
      <c r="BY26" s="638">
        <f>SUM(BY16:BY25)</f>
        <v>314</v>
      </c>
      <c r="BZ26" s="728"/>
      <c r="CA26" s="638">
        <f>SUM(CA16:CA25)</f>
        <v>655</v>
      </c>
      <c r="CB26" s="728"/>
      <c r="CC26" s="638">
        <f>SUM(CC16:CC25)</f>
        <v>797</v>
      </c>
      <c r="CD26" s="728"/>
      <c r="CE26" s="638">
        <f>SUM(CE16:CE25)</f>
        <v>910</v>
      </c>
      <c r="CF26" s="728"/>
      <c r="CG26" s="638">
        <f>SUM(CG16:CG25)</f>
        <v>995</v>
      </c>
      <c r="CH26" s="728"/>
      <c r="CI26" s="638">
        <f>SUM(CI16:CI25)</f>
        <v>1079</v>
      </c>
      <c r="CJ26" s="728"/>
      <c r="CK26" s="638">
        <f>SUM(CK16:CK25)</f>
        <v>1134</v>
      </c>
      <c r="CL26" s="728"/>
      <c r="CM26" s="638">
        <f>SUM(CM16:CM25)</f>
        <v>1126</v>
      </c>
      <c r="CN26" s="728"/>
      <c r="CO26" s="638">
        <f>SUM(CO16:CO25)</f>
        <v>1115</v>
      </c>
      <c r="CP26" s="728"/>
      <c r="CQ26" s="638">
        <f>SUM(CQ16:CQ25)</f>
        <v>1040</v>
      </c>
      <c r="CR26" s="728"/>
      <c r="CS26" s="638">
        <f>SUM(CS16:CS25)</f>
        <v>897</v>
      </c>
      <c r="CT26" s="728"/>
      <c r="CU26" s="638">
        <f>SUM(CU16:CU25)</f>
        <v>622</v>
      </c>
      <c r="CV26" s="728"/>
      <c r="CW26" s="638">
        <f>SUM(CW16:CW25)</f>
        <v>470</v>
      </c>
      <c r="CX26" s="728"/>
      <c r="CY26" s="638">
        <f>SUM(CY16:CY25)</f>
        <v>380</v>
      </c>
      <c r="CZ26" s="728"/>
      <c r="DA26" s="638">
        <f>SUM(DA16:DA25)</f>
        <v>287</v>
      </c>
      <c r="DB26" s="728"/>
      <c r="DC26" s="638">
        <f>SUM(DC16:DC25)</f>
        <v>191</v>
      </c>
      <c r="DD26" s="728"/>
      <c r="DE26" s="640">
        <f>SUM(DE16:DE25)</f>
        <v>135</v>
      </c>
      <c r="DF26" s="641"/>
      <c r="DG26" s="634"/>
      <c r="DH26" s="635"/>
      <c r="DI26" s="635"/>
      <c r="DJ26" s="635" t="s">
        <v>288</v>
      </c>
      <c r="DK26" s="635"/>
      <c r="DL26" s="635"/>
      <c r="DM26" s="637"/>
      <c r="DN26" s="638">
        <f>SUM(DN16:DN25)</f>
        <v>0</v>
      </c>
      <c r="DO26" s="727"/>
      <c r="DP26" s="638">
        <f>SUM(DP16:DP25)</f>
        <v>0</v>
      </c>
      <c r="DQ26" s="728"/>
      <c r="DR26" s="638">
        <f>SUM(DR16:DR25)</f>
        <v>0</v>
      </c>
      <c r="DS26" s="728"/>
      <c r="DT26" s="638">
        <f>SUM(DT16:DT25)</f>
        <v>0</v>
      </c>
      <c r="DU26" s="728"/>
      <c r="DV26" s="638">
        <f>SUM(DV16:DV25)</f>
        <v>0</v>
      </c>
      <c r="DW26" s="728"/>
      <c r="DX26" s="638">
        <f>SUM(DX16:DX25)</f>
        <v>0</v>
      </c>
      <c r="DY26" s="728"/>
      <c r="DZ26" s="638">
        <f>SUM(DZ16:DZ25)</f>
        <v>0</v>
      </c>
      <c r="EA26" s="728"/>
      <c r="EB26" s="638">
        <f>SUM(EB16:EB25)</f>
        <v>0</v>
      </c>
      <c r="EC26" s="728"/>
      <c r="ED26" s="638">
        <f>SUM(ED16:ED25)</f>
        <v>171</v>
      </c>
      <c r="EE26" s="728"/>
      <c r="EF26" s="638">
        <f>SUM(EF16:EF25)</f>
        <v>229</v>
      </c>
      <c r="EG26" s="728"/>
      <c r="EH26" s="638">
        <f>SUM(EH16:EH25)</f>
        <v>317</v>
      </c>
      <c r="EI26" s="728"/>
      <c r="EJ26" s="638">
        <f>SUM(EJ16:EJ25)</f>
        <v>404</v>
      </c>
      <c r="EK26" s="728"/>
      <c r="EL26" s="638">
        <f>SUM(EL16:EL25)</f>
        <v>443</v>
      </c>
      <c r="EM26" s="728"/>
      <c r="EN26" s="638">
        <f>SUM(EN16:EN25)</f>
        <v>472</v>
      </c>
      <c r="EO26" s="728"/>
      <c r="EP26" s="638">
        <f>SUM(EP16:EP25)</f>
        <v>466</v>
      </c>
      <c r="EQ26" s="728"/>
      <c r="ER26" s="638">
        <f>SUM(ER16:ER25)</f>
        <v>397</v>
      </c>
      <c r="ES26" s="728"/>
      <c r="ET26" s="638">
        <f>SUM(ET16:ET25)</f>
        <v>293</v>
      </c>
      <c r="EU26" s="728"/>
      <c r="EV26" s="638">
        <f>SUM(EV16:EV25)</f>
        <v>264</v>
      </c>
      <c r="EW26" s="728"/>
      <c r="EX26" s="638">
        <f>SUM(EX16:EX25)</f>
        <v>83</v>
      </c>
      <c r="EY26" s="728"/>
      <c r="EZ26" s="638">
        <f>SUM(EZ16:EZ25)</f>
        <v>62</v>
      </c>
      <c r="FA26" s="728"/>
      <c r="FB26" s="638">
        <f>SUM(FB16:FB25)</f>
        <v>39</v>
      </c>
      <c r="FC26" s="728"/>
      <c r="FD26" s="638">
        <f>SUM(FD16:FD25)</f>
        <v>16</v>
      </c>
      <c r="FE26" s="728"/>
      <c r="FF26" s="638">
        <f>SUM(FF16:FF25)</f>
        <v>0</v>
      </c>
      <c r="FG26" s="728"/>
      <c r="FH26" s="640">
        <f>SUM(FH16:FH25)</f>
        <v>0</v>
      </c>
      <c r="FI26" s="642"/>
      <c r="FJ26" s="557"/>
      <c r="FK26" s="635"/>
      <c r="FL26" s="635"/>
      <c r="FM26" s="635" t="s">
        <v>288</v>
      </c>
      <c r="FN26" s="635"/>
      <c r="FO26" s="635"/>
      <c r="FP26" s="643"/>
      <c r="FQ26" s="644"/>
      <c r="FR26" s="638">
        <f>SUM(FR16:FR25)</f>
        <v>3910</v>
      </c>
      <c r="FS26" s="729"/>
      <c r="FT26" s="644"/>
      <c r="FU26" s="646">
        <f>SUM(FU16:FU25)</f>
        <v>3748</v>
      </c>
      <c r="FV26" s="586"/>
      <c r="FW26" s="587"/>
      <c r="FX26" s="588"/>
      <c r="FY26" s="589"/>
      <c r="FZ26" s="590"/>
      <c r="GA26" s="591"/>
      <c r="GB26" s="592"/>
      <c r="GC26" s="593"/>
      <c r="GD26" s="592"/>
      <c r="GE26" s="594"/>
      <c r="GF26" s="647"/>
      <c r="GG26" s="648"/>
      <c r="GH26" s="648"/>
      <c r="GI26" s="648"/>
      <c r="GJ26" s="608"/>
      <c r="GK26" s="523" t="s">
        <v>587</v>
      </c>
      <c r="GL26" s="608"/>
      <c r="GM26" s="523"/>
      <c r="GN26" s="608"/>
      <c r="GO26" s="523"/>
      <c r="GP26" s="608"/>
      <c r="GQ26" s="608"/>
      <c r="GR26" s="608"/>
      <c r="GS26" s="572"/>
      <c r="GT26" s="670"/>
      <c r="GU26" s="573" t="s">
        <v>588</v>
      </c>
      <c r="GV26" s="602"/>
      <c r="GW26" s="602"/>
      <c r="GX26" s="410"/>
      <c r="GY26" s="726">
        <v>0</v>
      </c>
      <c r="GZ26" s="573"/>
      <c r="HA26" s="523"/>
      <c r="HB26" s="523"/>
      <c r="HC26" s="523"/>
      <c r="HD26" s="641"/>
      <c r="HE26" s="412"/>
      <c r="HF26" s="412"/>
      <c r="HG26" s="573"/>
      <c r="HH26" s="641"/>
      <c r="HI26" s="412"/>
      <c r="HJ26" s="412"/>
    </row>
    <row r="27" spans="1:218" ht="20.100000000000001" customHeight="1">
      <c r="A27" s="1277" t="s">
        <v>383</v>
      </c>
      <c r="B27" s="731"/>
      <c r="C27" s="732"/>
      <c r="D27" s="656"/>
      <c r="E27" s="732"/>
      <c r="F27" s="732"/>
      <c r="G27" s="733" t="s">
        <v>386</v>
      </c>
      <c r="H27" s="656" t="s">
        <v>388</v>
      </c>
      <c r="I27" s="734" t="s">
        <v>563</v>
      </c>
      <c r="J27" s="656" t="s">
        <v>388</v>
      </c>
      <c r="K27" s="735" t="s">
        <v>386</v>
      </c>
      <c r="L27" s="656" t="s">
        <v>388</v>
      </c>
      <c r="M27" s="735" t="s">
        <v>387</v>
      </c>
      <c r="N27" s="656" t="s">
        <v>385</v>
      </c>
      <c r="O27" s="735" t="s">
        <v>386</v>
      </c>
      <c r="P27" s="656" t="s">
        <v>385</v>
      </c>
      <c r="Q27" s="735" t="s">
        <v>386</v>
      </c>
      <c r="R27" s="656" t="s">
        <v>385</v>
      </c>
      <c r="S27" s="735" t="s">
        <v>386</v>
      </c>
      <c r="T27" s="656" t="s">
        <v>388</v>
      </c>
      <c r="U27" s="735" t="s">
        <v>386</v>
      </c>
      <c r="V27" s="656" t="s">
        <v>385</v>
      </c>
      <c r="W27" s="735" t="s">
        <v>386</v>
      </c>
      <c r="X27" s="656" t="s">
        <v>388</v>
      </c>
      <c r="Y27" s="735" t="s">
        <v>387</v>
      </c>
      <c r="Z27" s="656" t="s">
        <v>388</v>
      </c>
      <c r="AA27" s="735" t="s">
        <v>387</v>
      </c>
      <c r="AB27" s="656" t="s">
        <v>385</v>
      </c>
      <c r="AC27" s="735" t="s">
        <v>386</v>
      </c>
      <c r="AD27" s="656" t="s">
        <v>388</v>
      </c>
      <c r="AE27" s="735" t="s">
        <v>386</v>
      </c>
      <c r="AF27" s="656" t="s">
        <v>388</v>
      </c>
      <c r="AG27" s="735" t="s">
        <v>387</v>
      </c>
      <c r="AH27" s="656" t="s">
        <v>388</v>
      </c>
      <c r="AI27" s="735" t="s">
        <v>387</v>
      </c>
      <c r="AJ27" s="656" t="s">
        <v>388</v>
      </c>
      <c r="AK27" s="735" t="s">
        <v>387</v>
      </c>
      <c r="AL27" s="656" t="s">
        <v>385</v>
      </c>
      <c r="AM27" s="735" t="s">
        <v>387</v>
      </c>
      <c r="AN27" s="656" t="s">
        <v>385</v>
      </c>
      <c r="AO27" s="735" t="s">
        <v>387</v>
      </c>
      <c r="AP27" s="656" t="s">
        <v>385</v>
      </c>
      <c r="AQ27" s="735" t="s">
        <v>387</v>
      </c>
      <c r="AR27" s="656" t="s">
        <v>385</v>
      </c>
      <c r="AS27" s="735" t="s">
        <v>387</v>
      </c>
      <c r="AT27" s="656" t="s">
        <v>388</v>
      </c>
      <c r="AU27" s="735" t="s">
        <v>387</v>
      </c>
      <c r="AV27" s="656" t="s">
        <v>385</v>
      </c>
      <c r="AW27" s="735" t="s">
        <v>386</v>
      </c>
      <c r="AX27" s="656" t="s">
        <v>385</v>
      </c>
      <c r="AY27" s="735" t="s">
        <v>387</v>
      </c>
      <c r="AZ27" s="656" t="s">
        <v>385</v>
      </c>
      <c r="BA27" s="735" t="s">
        <v>386</v>
      </c>
      <c r="BB27" s="658" t="s">
        <v>385</v>
      </c>
      <c r="BC27" s="716"/>
      <c r="BD27" s="1277" t="s">
        <v>389</v>
      </c>
      <c r="BE27" s="731"/>
      <c r="BF27" s="732"/>
      <c r="BG27" s="656"/>
      <c r="BH27" s="732"/>
      <c r="BI27" s="732"/>
      <c r="BJ27" s="733" t="s">
        <v>386</v>
      </c>
      <c r="BK27" s="656" t="s">
        <v>385</v>
      </c>
      <c r="BL27" s="734" t="s">
        <v>386</v>
      </c>
      <c r="BM27" s="656" t="s">
        <v>388</v>
      </c>
      <c r="BN27" s="735" t="s">
        <v>386</v>
      </c>
      <c r="BO27" s="656" t="s">
        <v>385</v>
      </c>
      <c r="BP27" s="735" t="s">
        <v>386</v>
      </c>
      <c r="BQ27" s="656" t="s">
        <v>385</v>
      </c>
      <c r="BR27" s="735" t="s">
        <v>387</v>
      </c>
      <c r="BS27" s="656" t="s">
        <v>388</v>
      </c>
      <c r="BT27" s="735" t="s">
        <v>387</v>
      </c>
      <c r="BU27" s="656" t="s">
        <v>388</v>
      </c>
      <c r="BV27" s="735" t="s">
        <v>387</v>
      </c>
      <c r="BW27" s="656" t="s">
        <v>385</v>
      </c>
      <c r="BX27" s="735" t="s">
        <v>386</v>
      </c>
      <c r="BY27" s="656" t="s">
        <v>385</v>
      </c>
      <c r="BZ27" s="735" t="s">
        <v>387</v>
      </c>
      <c r="CA27" s="656" t="s">
        <v>388</v>
      </c>
      <c r="CB27" s="735" t="s">
        <v>386</v>
      </c>
      <c r="CC27" s="656" t="s">
        <v>388</v>
      </c>
      <c r="CD27" s="735" t="s">
        <v>387</v>
      </c>
      <c r="CE27" s="656" t="s">
        <v>388</v>
      </c>
      <c r="CF27" s="735" t="s">
        <v>387</v>
      </c>
      <c r="CG27" s="656" t="s">
        <v>385</v>
      </c>
      <c r="CH27" s="735" t="s">
        <v>386</v>
      </c>
      <c r="CI27" s="656" t="s">
        <v>385</v>
      </c>
      <c r="CJ27" s="735" t="s">
        <v>387</v>
      </c>
      <c r="CK27" s="656" t="s">
        <v>385</v>
      </c>
      <c r="CL27" s="735" t="s">
        <v>387</v>
      </c>
      <c r="CM27" s="656" t="s">
        <v>388</v>
      </c>
      <c r="CN27" s="735" t="s">
        <v>386</v>
      </c>
      <c r="CO27" s="656" t="s">
        <v>388</v>
      </c>
      <c r="CP27" s="735" t="s">
        <v>386</v>
      </c>
      <c r="CQ27" s="656" t="s">
        <v>385</v>
      </c>
      <c r="CR27" s="735" t="s">
        <v>386</v>
      </c>
      <c r="CS27" s="656" t="s">
        <v>385</v>
      </c>
      <c r="CT27" s="735" t="s">
        <v>387</v>
      </c>
      <c r="CU27" s="656" t="s">
        <v>385</v>
      </c>
      <c r="CV27" s="735" t="s">
        <v>386</v>
      </c>
      <c r="CW27" s="656" t="s">
        <v>385</v>
      </c>
      <c r="CX27" s="735" t="s">
        <v>387</v>
      </c>
      <c r="CY27" s="656" t="s">
        <v>388</v>
      </c>
      <c r="CZ27" s="735" t="s">
        <v>387</v>
      </c>
      <c r="DA27" s="656" t="s">
        <v>388</v>
      </c>
      <c r="DB27" s="735" t="s">
        <v>386</v>
      </c>
      <c r="DC27" s="656" t="s">
        <v>385</v>
      </c>
      <c r="DD27" s="735" t="s">
        <v>387</v>
      </c>
      <c r="DE27" s="658" t="s">
        <v>385</v>
      </c>
      <c r="DF27" s="716"/>
      <c r="DG27" s="1277" t="s">
        <v>383</v>
      </c>
      <c r="DH27" s="736"/>
      <c r="DI27" s="737"/>
      <c r="DJ27" s="738"/>
      <c r="DK27" s="737"/>
      <c r="DL27" s="737"/>
      <c r="DM27" s="733" t="s">
        <v>387</v>
      </c>
      <c r="DN27" s="656" t="s">
        <v>385</v>
      </c>
      <c r="DO27" s="734" t="s">
        <v>387</v>
      </c>
      <c r="DP27" s="656" t="s">
        <v>385</v>
      </c>
      <c r="DQ27" s="735" t="s">
        <v>386</v>
      </c>
      <c r="DR27" s="656" t="s">
        <v>388</v>
      </c>
      <c r="DS27" s="735" t="s">
        <v>386</v>
      </c>
      <c r="DT27" s="656" t="s">
        <v>388</v>
      </c>
      <c r="DU27" s="735" t="s">
        <v>387</v>
      </c>
      <c r="DV27" s="656" t="s">
        <v>388</v>
      </c>
      <c r="DW27" s="735" t="s">
        <v>387</v>
      </c>
      <c r="DX27" s="656" t="s">
        <v>388</v>
      </c>
      <c r="DY27" s="735" t="s">
        <v>387</v>
      </c>
      <c r="DZ27" s="656" t="s">
        <v>385</v>
      </c>
      <c r="EA27" s="735" t="s">
        <v>387</v>
      </c>
      <c r="EB27" s="656" t="s">
        <v>385</v>
      </c>
      <c r="EC27" s="735" t="s">
        <v>387</v>
      </c>
      <c r="ED27" s="656" t="s">
        <v>385</v>
      </c>
      <c r="EE27" s="735" t="s">
        <v>387</v>
      </c>
      <c r="EF27" s="656" t="s">
        <v>385</v>
      </c>
      <c r="EG27" s="735" t="s">
        <v>387</v>
      </c>
      <c r="EH27" s="656" t="s">
        <v>388</v>
      </c>
      <c r="EI27" s="735" t="s">
        <v>387</v>
      </c>
      <c r="EJ27" s="656" t="s">
        <v>385</v>
      </c>
      <c r="EK27" s="735" t="s">
        <v>386</v>
      </c>
      <c r="EL27" s="656" t="s">
        <v>385</v>
      </c>
      <c r="EM27" s="735" t="s">
        <v>387</v>
      </c>
      <c r="EN27" s="656" t="s">
        <v>385</v>
      </c>
      <c r="EO27" s="735" t="s">
        <v>386</v>
      </c>
      <c r="EP27" s="656" t="s">
        <v>385</v>
      </c>
      <c r="EQ27" s="735" t="s">
        <v>386</v>
      </c>
      <c r="ER27" s="656" t="s">
        <v>388</v>
      </c>
      <c r="ES27" s="735" t="s">
        <v>387</v>
      </c>
      <c r="ET27" s="656" t="s">
        <v>388</v>
      </c>
      <c r="EU27" s="735" t="s">
        <v>387</v>
      </c>
      <c r="EV27" s="656" t="s">
        <v>388</v>
      </c>
      <c r="EW27" s="735" t="s">
        <v>386</v>
      </c>
      <c r="EX27" s="656" t="s">
        <v>385</v>
      </c>
      <c r="EY27" s="735" t="s">
        <v>386</v>
      </c>
      <c r="EZ27" s="656" t="s">
        <v>388</v>
      </c>
      <c r="FA27" s="735" t="s">
        <v>387</v>
      </c>
      <c r="FB27" s="656" t="s">
        <v>385</v>
      </c>
      <c r="FC27" s="735" t="s">
        <v>387</v>
      </c>
      <c r="FD27" s="656" t="s">
        <v>388</v>
      </c>
      <c r="FE27" s="735" t="s">
        <v>387</v>
      </c>
      <c r="FF27" s="656" t="s">
        <v>388</v>
      </c>
      <c r="FG27" s="735" t="s">
        <v>386</v>
      </c>
      <c r="FH27" s="658" t="s">
        <v>385</v>
      </c>
      <c r="FI27" s="739"/>
      <c r="FJ27" s="535" t="s">
        <v>389</v>
      </c>
      <c r="FK27" s="736"/>
      <c r="FL27" s="737"/>
      <c r="FM27" s="738"/>
      <c r="FN27" s="737"/>
      <c r="FO27" s="737"/>
      <c r="FP27" s="740" t="s">
        <v>407</v>
      </c>
      <c r="FQ27" s="666" t="s">
        <v>386</v>
      </c>
      <c r="FR27" s="656" t="s">
        <v>408</v>
      </c>
      <c r="FS27" s="741" t="s">
        <v>407</v>
      </c>
      <c r="FT27" s="666" t="s">
        <v>387</v>
      </c>
      <c r="FU27" s="668" t="s">
        <v>391</v>
      </c>
      <c r="FV27" s="586"/>
      <c r="FW27" s="587"/>
      <c r="FX27" s="588"/>
      <c r="FY27" s="589"/>
      <c r="FZ27" s="590"/>
      <c r="GA27" s="591"/>
      <c r="GB27" s="592"/>
      <c r="GC27" s="593"/>
      <c r="GD27" s="592"/>
      <c r="GE27" s="594"/>
      <c r="GF27" s="742"/>
      <c r="GG27" s="743"/>
      <c r="GH27" s="743"/>
      <c r="GI27" s="743"/>
      <c r="GJ27" s="608"/>
      <c r="GK27" s="523" t="s">
        <v>483</v>
      </c>
      <c r="GL27" s="608"/>
      <c r="GM27" s="608"/>
      <c r="GN27" s="608"/>
      <c r="GO27" s="410"/>
      <c r="GP27" s="744">
        <v>23.1</v>
      </c>
      <c r="GQ27" s="410" t="s">
        <v>484</v>
      </c>
      <c r="GR27" s="410"/>
      <c r="GS27" s="572"/>
      <c r="GT27" s="493"/>
      <c r="GU27" s="493"/>
      <c r="GV27" s="493"/>
      <c r="GW27" s="572"/>
      <c r="GX27" s="572"/>
      <c r="GY27" s="572"/>
      <c r="GZ27" s="571"/>
      <c r="HA27" s="493"/>
      <c r="HB27" s="493"/>
      <c r="HC27" s="523"/>
      <c r="HD27" s="406"/>
      <c r="HE27" s="412"/>
      <c r="HF27" s="412"/>
      <c r="HG27" s="412"/>
      <c r="HH27" s="412"/>
    </row>
    <row r="28" spans="1:218" ht="20.100000000000001" customHeight="1">
      <c r="A28" s="545"/>
      <c r="B28" s="745" t="s">
        <v>392</v>
      </c>
      <c r="C28" s="746"/>
      <c r="D28" s="747">
        <v>81</v>
      </c>
      <c r="E28" s="748">
        <v>2</v>
      </c>
      <c r="F28" s="749" t="s">
        <v>393</v>
      </c>
      <c r="G28" s="750">
        <v>1</v>
      </c>
      <c r="H28" s="552">
        <v>162</v>
      </c>
      <c r="I28" s="751">
        <v>1</v>
      </c>
      <c r="J28" s="552">
        <v>162</v>
      </c>
      <c r="K28" s="751">
        <v>1</v>
      </c>
      <c r="L28" s="552">
        <v>162</v>
      </c>
      <c r="M28" s="751">
        <v>1</v>
      </c>
      <c r="N28" s="552">
        <v>162</v>
      </c>
      <c r="O28" s="751">
        <v>1</v>
      </c>
      <c r="P28" s="552">
        <v>162</v>
      </c>
      <c r="Q28" s="751">
        <v>1</v>
      </c>
      <c r="R28" s="552">
        <v>162</v>
      </c>
      <c r="S28" s="751">
        <v>1</v>
      </c>
      <c r="T28" s="552">
        <v>162</v>
      </c>
      <c r="U28" s="751">
        <v>1</v>
      </c>
      <c r="V28" s="552">
        <v>162</v>
      </c>
      <c r="W28" s="751">
        <v>1</v>
      </c>
      <c r="X28" s="552">
        <v>162</v>
      </c>
      <c r="Y28" s="751">
        <v>1</v>
      </c>
      <c r="Z28" s="552">
        <v>162</v>
      </c>
      <c r="AA28" s="751">
        <v>1</v>
      </c>
      <c r="AB28" s="552">
        <v>162</v>
      </c>
      <c r="AC28" s="751">
        <v>1</v>
      </c>
      <c r="AD28" s="552">
        <v>162</v>
      </c>
      <c r="AE28" s="751">
        <v>1</v>
      </c>
      <c r="AF28" s="552">
        <v>162</v>
      </c>
      <c r="AG28" s="751">
        <v>1</v>
      </c>
      <c r="AH28" s="552">
        <v>162</v>
      </c>
      <c r="AI28" s="751">
        <v>1</v>
      </c>
      <c r="AJ28" s="552">
        <v>162</v>
      </c>
      <c r="AK28" s="751">
        <v>1</v>
      </c>
      <c r="AL28" s="552">
        <v>162</v>
      </c>
      <c r="AM28" s="751">
        <v>1</v>
      </c>
      <c r="AN28" s="552">
        <v>162</v>
      </c>
      <c r="AO28" s="751">
        <v>1</v>
      </c>
      <c r="AP28" s="552">
        <v>162</v>
      </c>
      <c r="AQ28" s="751">
        <v>1</v>
      </c>
      <c r="AR28" s="552">
        <v>162</v>
      </c>
      <c r="AS28" s="751">
        <v>1</v>
      </c>
      <c r="AT28" s="552">
        <v>162</v>
      </c>
      <c r="AU28" s="751">
        <v>1</v>
      </c>
      <c r="AV28" s="552">
        <v>162</v>
      </c>
      <c r="AW28" s="751">
        <v>1</v>
      </c>
      <c r="AX28" s="552">
        <v>162</v>
      </c>
      <c r="AY28" s="751">
        <v>1</v>
      </c>
      <c r="AZ28" s="552">
        <v>162</v>
      </c>
      <c r="BA28" s="751">
        <v>1</v>
      </c>
      <c r="BB28" s="677">
        <v>162</v>
      </c>
      <c r="BC28" s="555"/>
      <c r="BD28" s="545"/>
      <c r="BE28" s="745" t="s">
        <v>394</v>
      </c>
      <c r="BF28" s="746"/>
      <c r="BG28" s="747">
        <v>81</v>
      </c>
      <c r="BH28" s="748">
        <v>2</v>
      </c>
      <c r="BI28" s="749" t="s">
        <v>393</v>
      </c>
      <c r="BJ28" s="750">
        <v>1</v>
      </c>
      <c r="BK28" s="552">
        <v>162</v>
      </c>
      <c r="BL28" s="751">
        <v>1</v>
      </c>
      <c r="BM28" s="552">
        <v>162</v>
      </c>
      <c r="BN28" s="751">
        <v>1</v>
      </c>
      <c r="BO28" s="552">
        <v>162</v>
      </c>
      <c r="BP28" s="751">
        <v>1</v>
      </c>
      <c r="BQ28" s="552">
        <v>162</v>
      </c>
      <c r="BR28" s="751">
        <v>1</v>
      </c>
      <c r="BS28" s="552">
        <v>162</v>
      </c>
      <c r="BT28" s="751">
        <v>1</v>
      </c>
      <c r="BU28" s="552">
        <v>162</v>
      </c>
      <c r="BV28" s="751">
        <v>1</v>
      </c>
      <c r="BW28" s="552">
        <v>162</v>
      </c>
      <c r="BX28" s="751">
        <v>1</v>
      </c>
      <c r="BY28" s="552">
        <v>162</v>
      </c>
      <c r="BZ28" s="751">
        <v>1</v>
      </c>
      <c r="CA28" s="552">
        <v>162</v>
      </c>
      <c r="CB28" s="751">
        <v>1</v>
      </c>
      <c r="CC28" s="552">
        <v>162</v>
      </c>
      <c r="CD28" s="751">
        <v>1</v>
      </c>
      <c r="CE28" s="552">
        <v>162</v>
      </c>
      <c r="CF28" s="751">
        <v>1</v>
      </c>
      <c r="CG28" s="552">
        <v>162</v>
      </c>
      <c r="CH28" s="751">
        <v>1</v>
      </c>
      <c r="CI28" s="552">
        <v>162</v>
      </c>
      <c r="CJ28" s="751">
        <v>1</v>
      </c>
      <c r="CK28" s="552">
        <v>162</v>
      </c>
      <c r="CL28" s="751">
        <v>1</v>
      </c>
      <c r="CM28" s="552">
        <v>162</v>
      </c>
      <c r="CN28" s="751">
        <v>1</v>
      </c>
      <c r="CO28" s="552">
        <v>162</v>
      </c>
      <c r="CP28" s="751">
        <v>1</v>
      </c>
      <c r="CQ28" s="552">
        <v>162</v>
      </c>
      <c r="CR28" s="751">
        <v>1</v>
      </c>
      <c r="CS28" s="552">
        <v>162</v>
      </c>
      <c r="CT28" s="751">
        <v>1</v>
      </c>
      <c r="CU28" s="552">
        <v>162</v>
      </c>
      <c r="CV28" s="751">
        <v>1</v>
      </c>
      <c r="CW28" s="552">
        <v>162</v>
      </c>
      <c r="CX28" s="751">
        <v>1</v>
      </c>
      <c r="CY28" s="552">
        <v>162</v>
      </c>
      <c r="CZ28" s="751">
        <v>1</v>
      </c>
      <c r="DA28" s="552">
        <v>162</v>
      </c>
      <c r="DB28" s="751">
        <v>1</v>
      </c>
      <c r="DC28" s="552">
        <v>162</v>
      </c>
      <c r="DD28" s="751">
        <v>1</v>
      </c>
      <c r="DE28" s="677">
        <v>162</v>
      </c>
      <c r="DF28" s="555"/>
      <c r="DG28" s="545"/>
      <c r="DH28" s="745" t="s">
        <v>392</v>
      </c>
      <c r="DI28" s="746"/>
      <c r="DJ28" s="747">
        <v>81</v>
      </c>
      <c r="DK28" s="748">
        <v>2</v>
      </c>
      <c r="DL28" s="749" t="s">
        <v>393</v>
      </c>
      <c r="DM28" s="750">
        <v>1</v>
      </c>
      <c r="DN28" s="552">
        <v>162</v>
      </c>
      <c r="DO28" s="751">
        <v>1</v>
      </c>
      <c r="DP28" s="552">
        <v>162</v>
      </c>
      <c r="DQ28" s="751">
        <v>1</v>
      </c>
      <c r="DR28" s="552">
        <v>162</v>
      </c>
      <c r="DS28" s="751">
        <v>1</v>
      </c>
      <c r="DT28" s="552">
        <v>162</v>
      </c>
      <c r="DU28" s="751">
        <v>1</v>
      </c>
      <c r="DV28" s="552">
        <v>162</v>
      </c>
      <c r="DW28" s="751">
        <v>1</v>
      </c>
      <c r="DX28" s="552">
        <v>162</v>
      </c>
      <c r="DY28" s="751">
        <v>1</v>
      </c>
      <c r="DZ28" s="552">
        <v>162</v>
      </c>
      <c r="EA28" s="751">
        <v>1</v>
      </c>
      <c r="EB28" s="552">
        <v>162</v>
      </c>
      <c r="EC28" s="751">
        <v>1</v>
      </c>
      <c r="ED28" s="552">
        <v>162</v>
      </c>
      <c r="EE28" s="751">
        <v>1</v>
      </c>
      <c r="EF28" s="552">
        <v>162</v>
      </c>
      <c r="EG28" s="751">
        <v>1</v>
      </c>
      <c r="EH28" s="552">
        <v>162</v>
      </c>
      <c r="EI28" s="751">
        <v>1</v>
      </c>
      <c r="EJ28" s="552">
        <v>162</v>
      </c>
      <c r="EK28" s="751">
        <v>1</v>
      </c>
      <c r="EL28" s="552">
        <v>162</v>
      </c>
      <c r="EM28" s="751">
        <v>1</v>
      </c>
      <c r="EN28" s="552">
        <v>162</v>
      </c>
      <c r="EO28" s="751">
        <v>1</v>
      </c>
      <c r="EP28" s="552">
        <v>162</v>
      </c>
      <c r="EQ28" s="751">
        <v>1</v>
      </c>
      <c r="ER28" s="552">
        <v>162</v>
      </c>
      <c r="ES28" s="751">
        <v>1</v>
      </c>
      <c r="ET28" s="552">
        <v>162</v>
      </c>
      <c r="EU28" s="751">
        <v>1</v>
      </c>
      <c r="EV28" s="552">
        <v>162</v>
      </c>
      <c r="EW28" s="751">
        <v>1</v>
      </c>
      <c r="EX28" s="552">
        <v>162</v>
      </c>
      <c r="EY28" s="751">
        <v>1</v>
      </c>
      <c r="EZ28" s="552">
        <v>162</v>
      </c>
      <c r="FA28" s="751">
        <v>1</v>
      </c>
      <c r="FB28" s="552">
        <v>162</v>
      </c>
      <c r="FC28" s="751">
        <v>1</v>
      </c>
      <c r="FD28" s="552">
        <v>162</v>
      </c>
      <c r="FE28" s="751">
        <v>1</v>
      </c>
      <c r="FF28" s="552">
        <v>162</v>
      </c>
      <c r="FG28" s="751">
        <v>1</v>
      </c>
      <c r="FH28" s="677">
        <v>162</v>
      </c>
      <c r="FI28" s="556"/>
      <c r="FJ28" s="557"/>
      <c r="FK28" s="745" t="s">
        <v>392</v>
      </c>
      <c r="FL28" s="746"/>
      <c r="FM28" s="752"/>
      <c r="FN28" s="748">
        <v>0</v>
      </c>
      <c r="FO28" s="749"/>
      <c r="FP28" s="678"/>
      <c r="FQ28" s="753"/>
      <c r="FR28" s="552">
        <v>0</v>
      </c>
      <c r="FS28" s="754"/>
      <c r="FT28" s="753"/>
      <c r="FU28" s="560">
        <v>0</v>
      </c>
      <c r="FV28" s="586"/>
      <c r="FW28" s="587"/>
      <c r="FX28" s="588"/>
      <c r="FY28" s="589"/>
      <c r="FZ28" s="590"/>
      <c r="GA28" s="591"/>
      <c r="GB28" s="592"/>
      <c r="GC28" s="593"/>
      <c r="GD28" s="592"/>
      <c r="GE28" s="594"/>
      <c r="GF28" s="755"/>
      <c r="GG28" s="595"/>
      <c r="GH28" s="595"/>
      <c r="GI28" s="595"/>
      <c r="GJ28" s="608"/>
      <c r="GK28" s="523" t="s">
        <v>485</v>
      </c>
      <c r="GL28" s="410"/>
      <c r="GM28" s="410"/>
      <c r="GN28" s="410"/>
      <c r="GO28" s="523"/>
      <c r="GP28" s="744">
        <v>24</v>
      </c>
      <c r="GQ28" s="410" t="s">
        <v>484</v>
      </c>
      <c r="GR28" s="726"/>
      <c r="GS28" s="523"/>
      <c r="GT28" s="756"/>
      <c r="GU28" s="573" t="s">
        <v>589</v>
      </c>
      <c r="GV28" s="602"/>
      <c r="GW28" s="523"/>
      <c r="GX28" s="522"/>
      <c r="GY28" s="406"/>
      <c r="GZ28" s="608"/>
      <c r="HA28" s="523"/>
      <c r="HB28" s="523"/>
      <c r="HC28" s="523"/>
      <c r="HD28" s="523"/>
      <c r="HE28" s="412"/>
      <c r="HF28" s="412"/>
      <c r="HG28" s="412"/>
      <c r="HH28" s="412"/>
    </row>
    <row r="29" spans="1:218" ht="20.100000000000001" customHeight="1" thickBot="1">
      <c r="A29" s="545"/>
      <c r="B29" s="757" t="s">
        <v>396</v>
      </c>
      <c r="C29" s="758"/>
      <c r="D29" s="759">
        <v>12</v>
      </c>
      <c r="E29" s="760">
        <v>91</v>
      </c>
      <c r="F29" s="761" t="s">
        <v>393</v>
      </c>
      <c r="G29" s="762">
        <v>1</v>
      </c>
      <c r="H29" s="580">
        <v>1092</v>
      </c>
      <c r="I29" s="763">
        <v>1</v>
      </c>
      <c r="J29" s="580">
        <v>1092</v>
      </c>
      <c r="K29" s="763">
        <v>1</v>
      </c>
      <c r="L29" s="580">
        <v>1092</v>
      </c>
      <c r="M29" s="763">
        <v>1</v>
      </c>
      <c r="N29" s="580">
        <v>1092</v>
      </c>
      <c r="O29" s="763">
        <v>1</v>
      </c>
      <c r="P29" s="580">
        <v>1092</v>
      </c>
      <c r="Q29" s="763">
        <v>1</v>
      </c>
      <c r="R29" s="580">
        <v>1092</v>
      </c>
      <c r="S29" s="763">
        <v>1</v>
      </c>
      <c r="T29" s="580">
        <v>1092</v>
      </c>
      <c r="U29" s="763">
        <v>1</v>
      </c>
      <c r="V29" s="580">
        <v>1092</v>
      </c>
      <c r="W29" s="763">
        <v>1</v>
      </c>
      <c r="X29" s="580">
        <v>1092</v>
      </c>
      <c r="Y29" s="763">
        <v>1</v>
      </c>
      <c r="Z29" s="580">
        <v>1092</v>
      </c>
      <c r="AA29" s="763">
        <v>1</v>
      </c>
      <c r="AB29" s="580">
        <v>1092</v>
      </c>
      <c r="AC29" s="763">
        <v>1</v>
      </c>
      <c r="AD29" s="580">
        <v>1092</v>
      </c>
      <c r="AE29" s="763">
        <v>1</v>
      </c>
      <c r="AF29" s="580">
        <v>1092</v>
      </c>
      <c r="AG29" s="763">
        <v>1</v>
      </c>
      <c r="AH29" s="580">
        <v>1092</v>
      </c>
      <c r="AI29" s="763">
        <v>1</v>
      </c>
      <c r="AJ29" s="580">
        <v>1092</v>
      </c>
      <c r="AK29" s="763">
        <v>1</v>
      </c>
      <c r="AL29" s="580">
        <v>1092</v>
      </c>
      <c r="AM29" s="763">
        <v>1</v>
      </c>
      <c r="AN29" s="580">
        <v>1092</v>
      </c>
      <c r="AO29" s="763">
        <v>1</v>
      </c>
      <c r="AP29" s="580">
        <v>1092</v>
      </c>
      <c r="AQ29" s="763">
        <v>1</v>
      </c>
      <c r="AR29" s="580">
        <v>1092</v>
      </c>
      <c r="AS29" s="763">
        <v>1</v>
      </c>
      <c r="AT29" s="580">
        <v>1092</v>
      </c>
      <c r="AU29" s="763">
        <v>1</v>
      </c>
      <c r="AV29" s="580">
        <v>1092</v>
      </c>
      <c r="AW29" s="763">
        <v>1</v>
      </c>
      <c r="AX29" s="580">
        <v>1092</v>
      </c>
      <c r="AY29" s="763">
        <v>1</v>
      </c>
      <c r="AZ29" s="580">
        <v>1092</v>
      </c>
      <c r="BA29" s="763">
        <v>1</v>
      </c>
      <c r="BB29" s="582">
        <v>1092</v>
      </c>
      <c r="BC29" s="555"/>
      <c r="BD29" s="545"/>
      <c r="BE29" s="757" t="s">
        <v>395</v>
      </c>
      <c r="BF29" s="758"/>
      <c r="BG29" s="759">
        <v>12</v>
      </c>
      <c r="BH29" s="760">
        <v>91</v>
      </c>
      <c r="BI29" s="761" t="s">
        <v>393</v>
      </c>
      <c r="BJ29" s="762">
        <v>1</v>
      </c>
      <c r="BK29" s="580">
        <v>1092</v>
      </c>
      <c r="BL29" s="763">
        <v>1</v>
      </c>
      <c r="BM29" s="580">
        <v>1092</v>
      </c>
      <c r="BN29" s="763">
        <v>1</v>
      </c>
      <c r="BO29" s="580">
        <v>1092</v>
      </c>
      <c r="BP29" s="763">
        <v>1</v>
      </c>
      <c r="BQ29" s="580">
        <v>1092</v>
      </c>
      <c r="BR29" s="763">
        <v>1</v>
      </c>
      <c r="BS29" s="580">
        <v>1092</v>
      </c>
      <c r="BT29" s="763">
        <v>1</v>
      </c>
      <c r="BU29" s="580">
        <v>1092</v>
      </c>
      <c r="BV29" s="763">
        <v>1</v>
      </c>
      <c r="BW29" s="580">
        <v>1092</v>
      </c>
      <c r="BX29" s="763">
        <v>1</v>
      </c>
      <c r="BY29" s="580">
        <v>1092</v>
      </c>
      <c r="BZ29" s="763">
        <v>1</v>
      </c>
      <c r="CA29" s="580">
        <v>1092</v>
      </c>
      <c r="CB29" s="763">
        <v>1</v>
      </c>
      <c r="CC29" s="580">
        <v>1092</v>
      </c>
      <c r="CD29" s="763">
        <v>1</v>
      </c>
      <c r="CE29" s="580">
        <v>1092</v>
      </c>
      <c r="CF29" s="763">
        <v>1</v>
      </c>
      <c r="CG29" s="580">
        <v>1092</v>
      </c>
      <c r="CH29" s="763">
        <v>1</v>
      </c>
      <c r="CI29" s="580">
        <v>1092</v>
      </c>
      <c r="CJ29" s="763">
        <v>1</v>
      </c>
      <c r="CK29" s="580">
        <v>1092</v>
      </c>
      <c r="CL29" s="763">
        <v>1</v>
      </c>
      <c r="CM29" s="580">
        <v>1092</v>
      </c>
      <c r="CN29" s="763">
        <v>1</v>
      </c>
      <c r="CO29" s="580">
        <v>1092</v>
      </c>
      <c r="CP29" s="763">
        <v>1</v>
      </c>
      <c r="CQ29" s="580">
        <v>1092</v>
      </c>
      <c r="CR29" s="763">
        <v>1</v>
      </c>
      <c r="CS29" s="580">
        <v>1092</v>
      </c>
      <c r="CT29" s="763">
        <v>1</v>
      </c>
      <c r="CU29" s="580">
        <v>1092</v>
      </c>
      <c r="CV29" s="763">
        <v>1</v>
      </c>
      <c r="CW29" s="580">
        <v>1092</v>
      </c>
      <c r="CX29" s="763">
        <v>1</v>
      </c>
      <c r="CY29" s="580">
        <v>1092</v>
      </c>
      <c r="CZ29" s="763">
        <v>1</v>
      </c>
      <c r="DA29" s="580">
        <v>1092</v>
      </c>
      <c r="DB29" s="763">
        <v>1</v>
      </c>
      <c r="DC29" s="580">
        <v>1092</v>
      </c>
      <c r="DD29" s="763">
        <v>1</v>
      </c>
      <c r="DE29" s="582">
        <v>1092</v>
      </c>
      <c r="DF29" s="555"/>
      <c r="DG29" s="545"/>
      <c r="DH29" s="757" t="s">
        <v>395</v>
      </c>
      <c r="DI29" s="758"/>
      <c r="DJ29" s="759">
        <v>12</v>
      </c>
      <c r="DK29" s="760">
        <v>91</v>
      </c>
      <c r="DL29" s="761" t="s">
        <v>393</v>
      </c>
      <c r="DM29" s="762">
        <v>1</v>
      </c>
      <c r="DN29" s="580">
        <v>1092</v>
      </c>
      <c r="DO29" s="763">
        <v>1</v>
      </c>
      <c r="DP29" s="580">
        <v>1092</v>
      </c>
      <c r="DQ29" s="763">
        <v>1</v>
      </c>
      <c r="DR29" s="580">
        <v>1092</v>
      </c>
      <c r="DS29" s="763">
        <v>1</v>
      </c>
      <c r="DT29" s="580">
        <v>1092</v>
      </c>
      <c r="DU29" s="763">
        <v>1</v>
      </c>
      <c r="DV29" s="580">
        <v>1092</v>
      </c>
      <c r="DW29" s="763">
        <v>1</v>
      </c>
      <c r="DX29" s="580">
        <v>1092</v>
      </c>
      <c r="DY29" s="763">
        <v>1</v>
      </c>
      <c r="DZ29" s="580">
        <v>1092</v>
      </c>
      <c r="EA29" s="763">
        <v>1</v>
      </c>
      <c r="EB29" s="580">
        <v>1092</v>
      </c>
      <c r="EC29" s="763">
        <v>1</v>
      </c>
      <c r="ED29" s="580">
        <v>1092</v>
      </c>
      <c r="EE29" s="763">
        <v>1</v>
      </c>
      <c r="EF29" s="580">
        <v>1092</v>
      </c>
      <c r="EG29" s="763">
        <v>1</v>
      </c>
      <c r="EH29" s="580">
        <v>1092</v>
      </c>
      <c r="EI29" s="763">
        <v>1</v>
      </c>
      <c r="EJ29" s="580">
        <v>1092</v>
      </c>
      <c r="EK29" s="763">
        <v>1</v>
      </c>
      <c r="EL29" s="580">
        <v>1092</v>
      </c>
      <c r="EM29" s="763">
        <v>1</v>
      </c>
      <c r="EN29" s="580">
        <v>1092</v>
      </c>
      <c r="EO29" s="763">
        <v>1</v>
      </c>
      <c r="EP29" s="580">
        <v>1092</v>
      </c>
      <c r="EQ29" s="763">
        <v>1</v>
      </c>
      <c r="ER29" s="580">
        <v>1092</v>
      </c>
      <c r="ES29" s="763">
        <v>1</v>
      </c>
      <c r="ET29" s="580">
        <v>1092</v>
      </c>
      <c r="EU29" s="763">
        <v>1</v>
      </c>
      <c r="EV29" s="580">
        <v>1092</v>
      </c>
      <c r="EW29" s="763">
        <v>1</v>
      </c>
      <c r="EX29" s="580">
        <v>1092</v>
      </c>
      <c r="EY29" s="763">
        <v>1</v>
      </c>
      <c r="EZ29" s="580">
        <v>1092</v>
      </c>
      <c r="FA29" s="763">
        <v>1</v>
      </c>
      <c r="FB29" s="580">
        <v>1092</v>
      </c>
      <c r="FC29" s="763">
        <v>1</v>
      </c>
      <c r="FD29" s="580">
        <v>1092</v>
      </c>
      <c r="FE29" s="763">
        <v>1</v>
      </c>
      <c r="FF29" s="580">
        <v>1092</v>
      </c>
      <c r="FG29" s="763">
        <v>1</v>
      </c>
      <c r="FH29" s="582">
        <v>1092</v>
      </c>
      <c r="FI29" s="556"/>
      <c r="FJ29" s="557"/>
      <c r="FK29" s="757" t="s">
        <v>395</v>
      </c>
      <c r="FL29" s="758"/>
      <c r="FM29" s="764"/>
      <c r="FN29" s="760">
        <v>0</v>
      </c>
      <c r="FO29" s="761"/>
      <c r="FP29" s="689"/>
      <c r="FQ29" s="765"/>
      <c r="FR29" s="580">
        <v>0</v>
      </c>
      <c r="FS29" s="766"/>
      <c r="FT29" s="765"/>
      <c r="FU29" s="585">
        <v>0</v>
      </c>
      <c r="FV29" s="586"/>
      <c r="FW29" s="587"/>
      <c r="FX29" s="588"/>
      <c r="FY29" s="589"/>
      <c r="FZ29" s="590"/>
      <c r="GA29" s="591"/>
      <c r="GB29" s="592"/>
      <c r="GC29" s="593"/>
      <c r="GD29" s="592"/>
      <c r="GE29" s="594"/>
      <c r="GF29" s="755"/>
      <c r="GG29" s="595"/>
      <c r="GH29" s="595"/>
      <c r="GI29" s="595"/>
      <c r="GJ29" s="608"/>
      <c r="GK29" s="767" t="s">
        <v>487</v>
      </c>
      <c r="GL29" s="767"/>
      <c r="GM29" s="767"/>
      <c r="GN29" s="767"/>
      <c r="GO29" s="608"/>
      <c r="GP29" s="744">
        <v>-0.89999999999999858</v>
      </c>
      <c r="GQ29" s="410" t="s">
        <v>484</v>
      </c>
      <c r="GR29" s="768"/>
      <c r="GS29" s="523"/>
      <c r="GT29" s="756"/>
      <c r="GU29" s="573" t="s">
        <v>488</v>
      </c>
      <c r="GV29" s="602"/>
      <c r="GW29" s="523"/>
      <c r="GX29" s="522"/>
      <c r="GY29" s="406"/>
      <c r="GZ29" s="523"/>
      <c r="HA29" s="573"/>
      <c r="HB29" s="573"/>
      <c r="HC29" s="572"/>
      <c r="HD29" s="523"/>
      <c r="HE29" s="412"/>
      <c r="HF29" s="412"/>
    </row>
    <row r="30" spans="1:218" ht="20.100000000000001" customHeight="1">
      <c r="A30" s="545"/>
      <c r="B30" s="757" t="s">
        <v>397</v>
      </c>
      <c r="C30" s="759"/>
      <c r="D30" s="760">
        <v>0</v>
      </c>
      <c r="E30" s="769"/>
      <c r="F30" s="770"/>
      <c r="G30" s="762"/>
      <c r="H30" s="580">
        <v>0</v>
      </c>
      <c r="I30" s="763"/>
      <c r="J30" s="580">
        <v>0</v>
      </c>
      <c r="K30" s="763"/>
      <c r="L30" s="580">
        <v>0</v>
      </c>
      <c r="M30" s="763"/>
      <c r="N30" s="580">
        <v>0</v>
      </c>
      <c r="O30" s="763"/>
      <c r="P30" s="580">
        <v>0</v>
      </c>
      <c r="Q30" s="763"/>
      <c r="R30" s="580">
        <v>0</v>
      </c>
      <c r="S30" s="763"/>
      <c r="T30" s="580">
        <v>0</v>
      </c>
      <c r="U30" s="763"/>
      <c r="V30" s="580">
        <v>0</v>
      </c>
      <c r="W30" s="763"/>
      <c r="X30" s="580">
        <v>0</v>
      </c>
      <c r="Y30" s="763"/>
      <c r="Z30" s="580">
        <v>0</v>
      </c>
      <c r="AA30" s="763"/>
      <c r="AB30" s="580">
        <v>0</v>
      </c>
      <c r="AC30" s="763"/>
      <c r="AD30" s="580">
        <v>0</v>
      </c>
      <c r="AE30" s="763"/>
      <c r="AF30" s="580">
        <v>0</v>
      </c>
      <c r="AG30" s="763"/>
      <c r="AH30" s="580">
        <v>0</v>
      </c>
      <c r="AI30" s="763"/>
      <c r="AJ30" s="580">
        <v>0</v>
      </c>
      <c r="AK30" s="763"/>
      <c r="AL30" s="580">
        <v>0</v>
      </c>
      <c r="AM30" s="763"/>
      <c r="AN30" s="580">
        <v>0</v>
      </c>
      <c r="AO30" s="763"/>
      <c r="AP30" s="580">
        <v>0</v>
      </c>
      <c r="AQ30" s="763"/>
      <c r="AR30" s="580">
        <v>0</v>
      </c>
      <c r="AS30" s="763"/>
      <c r="AT30" s="580">
        <v>0</v>
      </c>
      <c r="AU30" s="763"/>
      <c r="AV30" s="580">
        <v>0</v>
      </c>
      <c r="AW30" s="763"/>
      <c r="AX30" s="580">
        <v>0</v>
      </c>
      <c r="AY30" s="763"/>
      <c r="AZ30" s="580">
        <v>0</v>
      </c>
      <c r="BA30" s="763"/>
      <c r="BB30" s="582">
        <v>0</v>
      </c>
      <c r="BC30" s="555"/>
      <c r="BD30" s="545"/>
      <c r="BE30" s="757" t="s">
        <v>564</v>
      </c>
      <c r="BF30" s="759">
        <v>0</v>
      </c>
      <c r="BG30" s="760">
        <v>0</v>
      </c>
      <c r="BH30" s="769">
        <v>0</v>
      </c>
      <c r="BI30" s="770"/>
      <c r="BJ30" s="762"/>
      <c r="BK30" s="580">
        <v>0</v>
      </c>
      <c r="BL30" s="763"/>
      <c r="BM30" s="580">
        <v>0</v>
      </c>
      <c r="BN30" s="763"/>
      <c r="BO30" s="580">
        <v>0</v>
      </c>
      <c r="BP30" s="763"/>
      <c r="BQ30" s="580">
        <v>0</v>
      </c>
      <c r="BR30" s="763"/>
      <c r="BS30" s="580">
        <v>0</v>
      </c>
      <c r="BT30" s="763"/>
      <c r="BU30" s="580">
        <v>0</v>
      </c>
      <c r="BV30" s="763"/>
      <c r="BW30" s="580">
        <v>0</v>
      </c>
      <c r="BX30" s="763"/>
      <c r="BY30" s="580">
        <v>0</v>
      </c>
      <c r="BZ30" s="763"/>
      <c r="CA30" s="580">
        <v>0</v>
      </c>
      <c r="CB30" s="763"/>
      <c r="CC30" s="580">
        <v>0</v>
      </c>
      <c r="CD30" s="763"/>
      <c r="CE30" s="580">
        <v>0</v>
      </c>
      <c r="CF30" s="763"/>
      <c r="CG30" s="580">
        <v>0</v>
      </c>
      <c r="CH30" s="763"/>
      <c r="CI30" s="580">
        <v>0</v>
      </c>
      <c r="CJ30" s="763"/>
      <c r="CK30" s="580">
        <v>0</v>
      </c>
      <c r="CL30" s="763"/>
      <c r="CM30" s="580">
        <v>0</v>
      </c>
      <c r="CN30" s="763"/>
      <c r="CO30" s="580">
        <v>0</v>
      </c>
      <c r="CP30" s="763"/>
      <c r="CQ30" s="580">
        <v>0</v>
      </c>
      <c r="CR30" s="763"/>
      <c r="CS30" s="580">
        <v>0</v>
      </c>
      <c r="CT30" s="763"/>
      <c r="CU30" s="580">
        <v>0</v>
      </c>
      <c r="CV30" s="763"/>
      <c r="CW30" s="580">
        <v>0</v>
      </c>
      <c r="CX30" s="763"/>
      <c r="CY30" s="580">
        <v>0</v>
      </c>
      <c r="CZ30" s="763"/>
      <c r="DA30" s="580">
        <v>0</v>
      </c>
      <c r="DB30" s="763"/>
      <c r="DC30" s="580">
        <v>0</v>
      </c>
      <c r="DD30" s="763"/>
      <c r="DE30" s="582">
        <v>0</v>
      </c>
      <c r="DF30" s="555"/>
      <c r="DG30" s="545"/>
      <c r="DH30" s="757" t="s">
        <v>397</v>
      </c>
      <c r="DI30" s="759">
        <v>0</v>
      </c>
      <c r="DJ30" s="760">
        <v>0</v>
      </c>
      <c r="DK30" s="769">
        <v>0</v>
      </c>
      <c r="DL30" s="770"/>
      <c r="DM30" s="762"/>
      <c r="DN30" s="580">
        <v>0</v>
      </c>
      <c r="DO30" s="763"/>
      <c r="DP30" s="580">
        <v>0</v>
      </c>
      <c r="DQ30" s="763"/>
      <c r="DR30" s="580">
        <v>0</v>
      </c>
      <c r="DS30" s="763"/>
      <c r="DT30" s="580">
        <v>0</v>
      </c>
      <c r="DU30" s="763"/>
      <c r="DV30" s="580">
        <v>0</v>
      </c>
      <c r="DW30" s="763"/>
      <c r="DX30" s="580">
        <v>0</v>
      </c>
      <c r="DY30" s="763"/>
      <c r="DZ30" s="580">
        <v>0</v>
      </c>
      <c r="EA30" s="763"/>
      <c r="EB30" s="580">
        <v>0</v>
      </c>
      <c r="EC30" s="763"/>
      <c r="ED30" s="580">
        <v>0</v>
      </c>
      <c r="EE30" s="763"/>
      <c r="EF30" s="580">
        <v>0</v>
      </c>
      <c r="EG30" s="763"/>
      <c r="EH30" s="580">
        <v>0</v>
      </c>
      <c r="EI30" s="763"/>
      <c r="EJ30" s="580">
        <v>0</v>
      </c>
      <c r="EK30" s="763"/>
      <c r="EL30" s="580">
        <v>0</v>
      </c>
      <c r="EM30" s="763"/>
      <c r="EN30" s="580">
        <v>0</v>
      </c>
      <c r="EO30" s="763"/>
      <c r="EP30" s="580">
        <v>0</v>
      </c>
      <c r="EQ30" s="763"/>
      <c r="ER30" s="580">
        <v>0</v>
      </c>
      <c r="ES30" s="763"/>
      <c r="ET30" s="580">
        <v>0</v>
      </c>
      <c r="EU30" s="763"/>
      <c r="EV30" s="580">
        <v>0</v>
      </c>
      <c r="EW30" s="763"/>
      <c r="EX30" s="580">
        <v>0</v>
      </c>
      <c r="EY30" s="763"/>
      <c r="EZ30" s="580">
        <v>0</v>
      </c>
      <c r="FA30" s="763"/>
      <c r="FB30" s="580">
        <v>0</v>
      </c>
      <c r="FC30" s="763"/>
      <c r="FD30" s="580">
        <v>0</v>
      </c>
      <c r="FE30" s="763"/>
      <c r="FF30" s="580">
        <v>0</v>
      </c>
      <c r="FG30" s="763"/>
      <c r="FH30" s="582">
        <v>0</v>
      </c>
      <c r="FI30" s="556"/>
      <c r="FJ30" s="557"/>
      <c r="FK30" s="757" t="s">
        <v>564</v>
      </c>
      <c r="FL30" s="764"/>
      <c r="FM30" s="760">
        <v>0</v>
      </c>
      <c r="FN30" s="769">
        <v>0</v>
      </c>
      <c r="FO30" s="770"/>
      <c r="FP30" s="689"/>
      <c r="FQ30" s="765"/>
      <c r="FR30" s="580">
        <v>0</v>
      </c>
      <c r="FS30" s="766"/>
      <c r="FT30" s="765"/>
      <c r="FU30" s="585">
        <v>0</v>
      </c>
      <c r="FV30" s="586"/>
      <c r="FW30" s="587"/>
      <c r="FX30" s="588"/>
      <c r="FY30" s="589"/>
      <c r="FZ30" s="590"/>
      <c r="GA30" s="591"/>
      <c r="GB30" s="592"/>
      <c r="GC30" s="593"/>
      <c r="GD30" s="592"/>
      <c r="GE30" s="594"/>
      <c r="GF30" s="755"/>
      <c r="GG30" s="595"/>
      <c r="GH30" s="595"/>
      <c r="GI30" s="595"/>
      <c r="GJ30" s="608"/>
      <c r="GK30" s="767" t="s">
        <v>489</v>
      </c>
      <c r="GL30" s="767"/>
      <c r="GM30" s="767"/>
      <c r="GN30" s="767"/>
      <c r="GO30" s="523"/>
      <c r="GP30" s="771">
        <v>-0.48</v>
      </c>
      <c r="GQ30" s="410"/>
      <c r="GR30" s="410"/>
      <c r="GS30" s="523"/>
      <c r="GT30" s="756"/>
      <c r="GU30" s="772" t="s">
        <v>353</v>
      </c>
      <c r="GV30" s="773"/>
      <c r="GW30" s="774" t="s">
        <v>490</v>
      </c>
      <c r="GX30" s="774"/>
      <c r="GY30" s="774"/>
      <c r="GZ30" s="774"/>
      <c r="HA30" s="775"/>
      <c r="HB30" s="776" t="s">
        <v>491</v>
      </c>
      <c r="HC30" s="572"/>
      <c r="HD30" s="555"/>
      <c r="HE30" s="412"/>
      <c r="HF30" s="412"/>
    </row>
    <row r="31" spans="1:218" ht="20.100000000000001" customHeight="1">
      <c r="A31" s="545"/>
      <c r="B31" s="777" t="s">
        <v>398</v>
      </c>
      <c r="C31" s="777"/>
      <c r="D31" s="778">
        <v>54600</v>
      </c>
      <c r="E31" s="779">
        <v>1</v>
      </c>
      <c r="F31" s="780" t="s">
        <v>393</v>
      </c>
      <c r="G31" s="762">
        <v>1</v>
      </c>
      <c r="H31" s="580">
        <v>54600</v>
      </c>
      <c r="I31" s="763">
        <v>1</v>
      </c>
      <c r="J31" s="580">
        <v>54600</v>
      </c>
      <c r="K31" s="763">
        <v>1</v>
      </c>
      <c r="L31" s="580">
        <v>54600</v>
      </c>
      <c r="M31" s="763">
        <v>1</v>
      </c>
      <c r="N31" s="580">
        <v>54600</v>
      </c>
      <c r="O31" s="763">
        <v>1</v>
      </c>
      <c r="P31" s="580">
        <v>54600</v>
      </c>
      <c r="Q31" s="763">
        <v>1</v>
      </c>
      <c r="R31" s="580">
        <v>54600</v>
      </c>
      <c r="S31" s="763">
        <v>1</v>
      </c>
      <c r="T31" s="580">
        <v>54600</v>
      </c>
      <c r="U31" s="763">
        <v>1</v>
      </c>
      <c r="V31" s="580">
        <v>54600</v>
      </c>
      <c r="W31" s="763">
        <v>1</v>
      </c>
      <c r="X31" s="580">
        <v>54600</v>
      </c>
      <c r="Y31" s="763">
        <v>1</v>
      </c>
      <c r="Z31" s="580">
        <v>54600</v>
      </c>
      <c r="AA31" s="763">
        <v>1</v>
      </c>
      <c r="AB31" s="580">
        <v>54600</v>
      </c>
      <c r="AC31" s="763">
        <v>1</v>
      </c>
      <c r="AD31" s="580">
        <v>54600</v>
      </c>
      <c r="AE31" s="763">
        <v>1</v>
      </c>
      <c r="AF31" s="580">
        <v>54600</v>
      </c>
      <c r="AG31" s="763">
        <v>1</v>
      </c>
      <c r="AH31" s="580">
        <v>54600</v>
      </c>
      <c r="AI31" s="763">
        <v>1</v>
      </c>
      <c r="AJ31" s="580">
        <v>54600</v>
      </c>
      <c r="AK31" s="763">
        <v>1</v>
      </c>
      <c r="AL31" s="580">
        <v>54600</v>
      </c>
      <c r="AM31" s="763">
        <v>1</v>
      </c>
      <c r="AN31" s="580">
        <v>54600</v>
      </c>
      <c r="AO31" s="763">
        <v>1</v>
      </c>
      <c r="AP31" s="580">
        <v>54600</v>
      </c>
      <c r="AQ31" s="763">
        <v>1</v>
      </c>
      <c r="AR31" s="580">
        <v>54600</v>
      </c>
      <c r="AS31" s="763">
        <v>1</v>
      </c>
      <c r="AT31" s="580">
        <v>54600</v>
      </c>
      <c r="AU31" s="763">
        <v>1</v>
      </c>
      <c r="AV31" s="580">
        <v>54600</v>
      </c>
      <c r="AW31" s="763">
        <v>1</v>
      </c>
      <c r="AX31" s="580">
        <v>54600</v>
      </c>
      <c r="AY31" s="763">
        <v>1</v>
      </c>
      <c r="AZ31" s="580">
        <v>54600</v>
      </c>
      <c r="BA31" s="763">
        <v>1</v>
      </c>
      <c r="BB31" s="582">
        <v>54600</v>
      </c>
      <c r="BC31" s="555"/>
      <c r="BD31" s="545"/>
      <c r="BE31" s="777" t="s">
        <v>398</v>
      </c>
      <c r="BF31" s="777"/>
      <c r="BG31" s="778">
        <v>54600</v>
      </c>
      <c r="BH31" s="779">
        <v>1</v>
      </c>
      <c r="BI31" s="780" t="s">
        <v>393</v>
      </c>
      <c r="BJ31" s="762">
        <v>1</v>
      </c>
      <c r="BK31" s="580">
        <v>54600</v>
      </c>
      <c r="BL31" s="763">
        <v>1</v>
      </c>
      <c r="BM31" s="580">
        <v>54600</v>
      </c>
      <c r="BN31" s="763">
        <v>1</v>
      </c>
      <c r="BO31" s="580">
        <v>54600</v>
      </c>
      <c r="BP31" s="763">
        <v>1</v>
      </c>
      <c r="BQ31" s="580">
        <v>54600</v>
      </c>
      <c r="BR31" s="763">
        <v>1</v>
      </c>
      <c r="BS31" s="580">
        <v>54600</v>
      </c>
      <c r="BT31" s="763">
        <v>1</v>
      </c>
      <c r="BU31" s="580">
        <v>54600</v>
      </c>
      <c r="BV31" s="763">
        <v>1</v>
      </c>
      <c r="BW31" s="580">
        <v>54600</v>
      </c>
      <c r="BX31" s="763">
        <v>1</v>
      </c>
      <c r="BY31" s="580">
        <v>54600</v>
      </c>
      <c r="BZ31" s="763">
        <v>1</v>
      </c>
      <c r="CA31" s="580">
        <v>54600</v>
      </c>
      <c r="CB31" s="763">
        <v>1</v>
      </c>
      <c r="CC31" s="580">
        <v>54600</v>
      </c>
      <c r="CD31" s="763">
        <v>1</v>
      </c>
      <c r="CE31" s="580">
        <v>54600</v>
      </c>
      <c r="CF31" s="763">
        <v>1</v>
      </c>
      <c r="CG31" s="580">
        <v>54600</v>
      </c>
      <c r="CH31" s="763">
        <v>1</v>
      </c>
      <c r="CI31" s="580">
        <v>54600</v>
      </c>
      <c r="CJ31" s="763">
        <v>1</v>
      </c>
      <c r="CK31" s="580">
        <v>54600</v>
      </c>
      <c r="CL31" s="763">
        <v>1</v>
      </c>
      <c r="CM31" s="580">
        <v>54600</v>
      </c>
      <c r="CN31" s="763">
        <v>1</v>
      </c>
      <c r="CO31" s="580">
        <v>54600</v>
      </c>
      <c r="CP31" s="763">
        <v>1</v>
      </c>
      <c r="CQ31" s="580">
        <v>54600</v>
      </c>
      <c r="CR31" s="763">
        <v>1</v>
      </c>
      <c r="CS31" s="580">
        <v>54600</v>
      </c>
      <c r="CT31" s="763">
        <v>1</v>
      </c>
      <c r="CU31" s="580">
        <v>54600</v>
      </c>
      <c r="CV31" s="763">
        <v>1</v>
      </c>
      <c r="CW31" s="580">
        <v>54600</v>
      </c>
      <c r="CX31" s="763">
        <v>1</v>
      </c>
      <c r="CY31" s="580">
        <v>54600</v>
      </c>
      <c r="CZ31" s="763">
        <v>1</v>
      </c>
      <c r="DA31" s="580">
        <v>54600</v>
      </c>
      <c r="DB31" s="763">
        <v>1</v>
      </c>
      <c r="DC31" s="580">
        <v>54600</v>
      </c>
      <c r="DD31" s="763">
        <v>1</v>
      </c>
      <c r="DE31" s="582">
        <v>54600</v>
      </c>
      <c r="DF31" s="555"/>
      <c r="DG31" s="545"/>
      <c r="DH31" s="777" t="s">
        <v>398</v>
      </c>
      <c r="DI31" s="777"/>
      <c r="DJ31" s="778">
        <v>54600</v>
      </c>
      <c r="DK31" s="779">
        <v>1</v>
      </c>
      <c r="DL31" s="780" t="s">
        <v>393</v>
      </c>
      <c r="DM31" s="762">
        <v>1</v>
      </c>
      <c r="DN31" s="580">
        <v>54600</v>
      </c>
      <c r="DO31" s="763">
        <v>1</v>
      </c>
      <c r="DP31" s="580">
        <v>54600</v>
      </c>
      <c r="DQ31" s="763">
        <v>1</v>
      </c>
      <c r="DR31" s="580">
        <v>54600</v>
      </c>
      <c r="DS31" s="763">
        <v>1</v>
      </c>
      <c r="DT31" s="580">
        <v>54600</v>
      </c>
      <c r="DU31" s="763">
        <v>1</v>
      </c>
      <c r="DV31" s="580">
        <v>54600</v>
      </c>
      <c r="DW31" s="763">
        <v>1</v>
      </c>
      <c r="DX31" s="580">
        <v>54600</v>
      </c>
      <c r="DY31" s="763">
        <v>1</v>
      </c>
      <c r="DZ31" s="580">
        <v>54600</v>
      </c>
      <c r="EA31" s="763">
        <v>1</v>
      </c>
      <c r="EB31" s="580">
        <v>54600</v>
      </c>
      <c r="EC31" s="763">
        <v>1</v>
      </c>
      <c r="ED31" s="580">
        <v>54600</v>
      </c>
      <c r="EE31" s="763">
        <v>1</v>
      </c>
      <c r="EF31" s="580">
        <v>54600</v>
      </c>
      <c r="EG31" s="763">
        <v>1</v>
      </c>
      <c r="EH31" s="580">
        <v>54600</v>
      </c>
      <c r="EI31" s="763">
        <v>1</v>
      </c>
      <c r="EJ31" s="580">
        <v>54600</v>
      </c>
      <c r="EK31" s="763">
        <v>1</v>
      </c>
      <c r="EL31" s="580">
        <v>54600</v>
      </c>
      <c r="EM31" s="763">
        <v>1</v>
      </c>
      <c r="EN31" s="580">
        <v>54600</v>
      </c>
      <c r="EO31" s="763">
        <v>1</v>
      </c>
      <c r="EP31" s="580">
        <v>54600</v>
      </c>
      <c r="EQ31" s="763">
        <v>1</v>
      </c>
      <c r="ER31" s="580">
        <v>54600</v>
      </c>
      <c r="ES31" s="763">
        <v>1</v>
      </c>
      <c r="ET31" s="580">
        <v>54600</v>
      </c>
      <c r="EU31" s="763">
        <v>1</v>
      </c>
      <c r="EV31" s="580">
        <v>54600</v>
      </c>
      <c r="EW31" s="763">
        <v>1</v>
      </c>
      <c r="EX31" s="580">
        <v>54600</v>
      </c>
      <c r="EY31" s="763">
        <v>1</v>
      </c>
      <c r="EZ31" s="580">
        <v>54600</v>
      </c>
      <c r="FA31" s="763">
        <v>1</v>
      </c>
      <c r="FB31" s="580">
        <v>54600</v>
      </c>
      <c r="FC31" s="763">
        <v>1</v>
      </c>
      <c r="FD31" s="580">
        <v>54600</v>
      </c>
      <c r="FE31" s="763">
        <v>1</v>
      </c>
      <c r="FF31" s="580">
        <v>54600</v>
      </c>
      <c r="FG31" s="763">
        <v>1</v>
      </c>
      <c r="FH31" s="582">
        <v>54600</v>
      </c>
      <c r="FI31" s="556"/>
      <c r="FJ31" s="557"/>
      <c r="FK31" s="777" t="s">
        <v>399</v>
      </c>
      <c r="FL31" s="777"/>
      <c r="FM31" s="781">
        <v>54600</v>
      </c>
      <c r="FN31" s="779">
        <v>1</v>
      </c>
      <c r="FO31" s="780" t="s">
        <v>393</v>
      </c>
      <c r="FP31" s="689">
        <v>6</v>
      </c>
      <c r="FQ31" s="765">
        <v>1</v>
      </c>
      <c r="FR31" s="580">
        <v>-54600</v>
      </c>
      <c r="FS31" s="766">
        <v>4</v>
      </c>
      <c r="FT31" s="765">
        <v>1</v>
      </c>
      <c r="FU31" s="585">
        <v>-54600</v>
      </c>
      <c r="FV31" s="586"/>
      <c r="FW31" s="587"/>
      <c r="FX31" s="588"/>
      <c r="FY31" s="589"/>
      <c r="FZ31" s="590"/>
      <c r="GA31" s="591"/>
      <c r="GB31" s="592"/>
      <c r="GC31" s="593"/>
      <c r="GD31" s="592"/>
      <c r="GE31" s="594"/>
      <c r="GF31" s="755"/>
      <c r="GG31" s="595"/>
      <c r="GH31" s="595"/>
      <c r="GI31" s="595"/>
      <c r="GJ31" s="410"/>
      <c r="GK31" s="573" t="s">
        <v>492</v>
      </c>
      <c r="GL31" s="410"/>
      <c r="GM31" s="573"/>
      <c r="GN31" s="410"/>
      <c r="GO31" s="573"/>
      <c r="GP31" s="771">
        <v>-0.48</v>
      </c>
      <c r="GQ31" s="410"/>
      <c r="GR31" s="410"/>
      <c r="GS31" s="573"/>
      <c r="GT31" s="756"/>
      <c r="GU31" s="772"/>
      <c r="GV31" s="773"/>
      <c r="GW31" s="782" t="s">
        <v>590</v>
      </c>
      <c r="GX31" s="783" t="s">
        <v>494</v>
      </c>
      <c r="GY31" s="784" t="s">
        <v>495</v>
      </c>
      <c r="GZ31" s="785" t="s">
        <v>496</v>
      </c>
      <c r="HA31" s="785" t="s">
        <v>471</v>
      </c>
      <c r="HB31" s="786"/>
      <c r="HC31" s="572"/>
      <c r="HD31" s="555"/>
      <c r="HE31" s="412"/>
      <c r="HF31" s="412"/>
    </row>
    <row r="32" spans="1:218" ht="20.100000000000001" customHeight="1">
      <c r="A32" s="545"/>
      <c r="B32" s="787" t="s">
        <v>401</v>
      </c>
      <c r="C32" s="788"/>
      <c r="D32" s="778">
        <v>4500</v>
      </c>
      <c r="E32" s="789">
        <v>1</v>
      </c>
      <c r="F32" s="790" t="s">
        <v>393</v>
      </c>
      <c r="G32" s="791">
        <v>1</v>
      </c>
      <c r="H32" s="792">
        <v>4500</v>
      </c>
      <c r="I32" s="793">
        <v>1</v>
      </c>
      <c r="J32" s="792">
        <v>4500</v>
      </c>
      <c r="K32" s="793">
        <v>1</v>
      </c>
      <c r="L32" s="792">
        <v>4500</v>
      </c>
      <c r="M32" s="793">
        <v>1</v>
      </c>
      <c r="N32" s="792">
        <v>4500</v>
      </c>
      <c r="O32" s="793">
        <v>1</v>
      </c>
      <c r="P32" s="792">
        <v>4500</v>
      </c>
      <c r="Q32" s="793">
        <v>1</v>
      </c>
      <c r="R32" s="792">
        <v>4500</v>
      </c>
      <c r="S32" s="793">
        <v>1</v>
      </c>
      <c r="T32" s="792">
        <v>4500</v>
      </c>
      <c r="U32" s="793">
        <v>1</v>
      </c>
      <c r="V32" s="792">
        <v>4500</v>
      </c>
      <c r="W32" s="793">
        <v>1</v>
      </c>
      <c r="X32" s="792">
        <v>4500</v>
      </c>
      <c r="Y32" s="793">
        <v>1</v>
      </c>
      <c r="Z32" s="792">
        <v>4500</v>
      </c>
      <c r="AA32" s="793">
        <v>1</v>
      </c>
      <c r="AB32" s="792">
        <v>4500</v>
      </c>
      <c r="AC32" s="793">
        <v>1</v>
      </c>
      <c r="AD32" s="792">
        <v>4500</v>
      </c>
      <c r="AE32" s="793">
        <v>1</v>
      </c>
      <c r="AF32" s="792">
        <v>4500</v>
      </c>
      <c r="AG32" s="793">
        <v>1</v>
      </c>
      <c r="AH32" s="792">
        <v>4500</v>
      </c>
      <c r="AI32" s="793">
        <v>1</v>
      </c>
      <c r="AJ32" s="792">
        <v>4500</v>
      </c>
      <c r="AK32" s="793">
        <v>1</v>
      </c>
      <c r="AL32" s="792">
        <v>4500</v>
      </c>
      <c r="AM32" s="793">
        <v>1</v>
      </c>
      <c r="AN32" s="792">
        <v>4500</v>
      </c>
      <c r="AO32" s="793">
        <v>1</v>
      </c>
      <c r="AP32" s="792">
        <v>4500</v>
      </c>
      <c r="AQ32" s="793">
        <v>1</v>
      </c>
      <c r="AR32" s="792">
        <v>4500</v>
      </c>
      <c r="AS32" s="793">
        <v>1</v>
      </c>
      <c r="AT32" s="792">
        <v>4500</v>
      </c>
      <c r="AU32" s="793">
        <v>1</v>
      </c>
      <c r="AV32" s="792">
        <v>4500</v>
      </c>
      <c r="AW32" s="793">
        <v>1</v>
      </c>
      <c r="AX32" s="792">
        <v>4500</v>
      </c>
      <c r="AY32" s="793">
        <v>1</v>
      </c>
      <c r="AZ32" s="792">
        <v>4500</v>
      </c>
      <c r="BA32" s="793">
        <v>1</v>
      </c>
      <c r="BB32" s="794">
        <v>4500</v>
      </c>
      <c r="BC32" s="555"/>
      <c r="BD32" s="545"/>
      <c r="BE32" s="787" t="s">
        <v>400</v>
      </c>
      <c r="BF32" s="788"/>
      <c r="BG32" s="778">
        <v>4500</v>
      </c>
      <c r="BH32" s="789">
        <v>1</v>
      </c>
      <c r="BI32" s="790" t="s">
        <v>393</v>
      </c>
      <c r="BJ32" s="791">
        <v>1</v>
      </c>
      <c r="BK32" s="792">
        <v>4500</v>
      </c>
      <c r="BL32" s="793">
        <v>1</v>
      </c>
      <c r="BM32" s="792">
        <v>4500</v>
      </c>
      <c r="BN32" s="793">
        <v>1</v>
      </c>
      <c r="BO32" s="792">
        <v>4500</v>
      </c>
      <c r="BP32" s="793">
        <v>1</v>
      </c>
      <c r="BQ32" s="792">
        <v>4500</v>
      </c>
      <c r="BR32" s="793">
        <v>1</v>
      </c>
      <c r="BS32" s="792">
        <v>4500</v>
      </c>
      <c r="BT32" s="793">
        <v>1</v>
      </c>
      <c r="BU32" s="792">
        <v>4500</v>
      </c>
      <c r="BV32" s="793">
        <v>1</v>
      </c>
      <c r="BW32" s="792">
        <v>4500</v>
      </c>
      <c r="BX32" s="793">
        <v>1</v>
      </c>
      <c r="BY32" s="792">
        <v>4500</v>
      </c>
      <c r="BZ32" s="793">
        <v>1</v>
      </c>
      <c r="CA32" s="792">
        <v>4500</v>
      </c>
      <c r="CB32" s="793">
        <v>1</v>
      </c>
      <c r="CC32" s="792">
        <v>4500</v>
      </c>
      <c r="CD32" s="793">
        <v>1</v>
      </c>
      <c r="CE32" s="792">
        <v>4500</v>
      </c>
      <c r="CF32" s="793">
        <v>1</v>
      </c>
      <c r="CG32" s="792">
        <v>4500</v>
      </c>
      <c r="CH32" s="793">
        <v>1</v>
      </c>
      <c r="CI32" s="792">
        <v>4500</v>
      </c>
      <c r="CJ32" s="793">
        <v>1</v>
      </c>
      <c r="CK32" s="792">
        <v>4500</v>
      </c>
      <c r="CL32" s="793">
        <v>1</v>
      </c>
      <c r="CM32" s="792">
        <v>4500</v>
      </c>
      <c r="CN32" s="793">
        <v>1</v>
      </c>
      <c r="CO32" s="792">
        <v>4500</v>
      </c>
      <c r="CP32" s="793">
        <v>1</v>
      </c>
      <c r="CQ32" s="792">
        <v>4500</v>
      </c>
      <c r="CR32" s="793">
        <v>1</v>
      </c>
      <c r="CS32" s="792">
        <v>4500</v>
      </c>
      <c r="CT32" s="793">
        <v>1</v>
      </c>
      <c r="CU32" s="792">
        <v>4500</v>
      </c>
      <c r="CV32" s="793">
        <v>1</v>
      </c>
      <c r="CW32" s="792">
        <v>4500</v>
      </c>
      <c r="CX32" s="793">
        <v>1</v>
      </c>
      <c r="CY32" s="792">
        <v>4500</v>
      </c>
      <c r="CZ32" s="793">
        <v>1</v>
      </c>
      <c r="DA32" s="792">
        <v>4500</v>
      </c>
      <c r="DB32" s="793">
        <v>1</v>
      </c>
      <c r="DC32" s="792">
        <v>4500</v>
      </c>
      <c r="DD32" s="793">
        <v>1</v>
      </c>
      <c r="DE32" s="794">
        <v>4500</v>
      </c>
      <c r="DF32" s="555"/>
      <c r="DG32" s="545"/>
      <c r="DH32" s="787" t="s">
        <v>400</v>
      </c>
      <c r="DI32" s="788"/>
      <c r="DJ32" s="778">
        <v>4500</v>
      </c>
      <c r="DK32" s="789">
        <v>1</v>
      </c>
      <c r="DL32" s="790" t="s">
        <v>393</v>
      </c>
      <c r="DM32" s="791">
        <v>1</v>
      </c>
      <c r="DN32" s="792">
        <v>4500</v>
      </c>
      <c r="DO32" s="793">
        <v>1</v>
      </c>
      <c r="DP32" s="792">
        <v>4500</v>
      </c>
      <c r="DQ32" s="793">
        <v>1</v>
      </c>
      <c r="DR32" s="792">
        <v>4500</v>
      </c>
      <c r="DS32" s="793">
        <v>1</v>
      </c>
      <c r="DT32" s="792">
        <v>4500</v>
      </c>
      <c r="DU32" s="793">
        <v>1</v>
      </c>
      <c r="DV32" s="792">
        <v>4500</v>
      </c>
      <c r="DW32" s="793">
        <v>1</v>
      </c>
      <c r="DX32" s="792">
        <v>4500</v>
      </c>
      <c r="DY32" s="793">
        <v>1</v>
      </c>
      <c r="DZ32" s="792">
        <v>4500</v>
      </c>
      <c r="EA32" s="793">
        <v>1</v>
      </c>
      <c r="EB32" s="792">
        <v>4500</v>
      </c>
      <c r="EC32" s="793">
        <v>1</v>
      </c>
      <c r="ED32" s="792">
        <v>4500</v>
      </c>
      <c r="EE32" s="793">
        <v>1</v>
      </c>
      <c r="EF32" s="792">
        <v>4500</v>
      </c>
      <c r="EG32" s="793">
        <v>1</v>
      </c>
      <c r="EH32" s="792">
        <v>4500</v>
      </c>
      <c r="EI32" s="793">
        <v>1</v>
      </c>
      <c r="EJ32" s="792">
        <v>4500</v>
      </c>
      <c r="EK32" s="793">
        <v>1</v>
      </c>
      <c r="EL32" s="792">
        <v>4500</v>
      </c>
      <c r="EM32" s="793">
        <v>1</v>
      </c>
      <c r="EN32" s="792">
        <v>4500</v>
      </c>
      <c r="EO32" s="793">
        <v>1</v>
      </c>
      <c r="EP32" s="792">
        <v>4500</v>
      </c>
      <c r="EQ32" s="793">
        <v>1</v>
      </c>
      <c r="ER32" s="792">
        <v>4500</v>
      </c>
      <c r="ES32" s="793">
        <v>1</v>
      </c>
      <c r="ET32" s="792">
        <v>4500</v>
      </c>
      <c r="EU32" s="793">
        <v>1</v>
      </c>
      <c r="EV32" s="792">
        <v>4500</v>
      </c>
      <c r="EW32" s="793">
        <v>1</v>
      </c>
      <c r="EX32" s="792">
        <v>4500</v>
      </c>
      <c r="EY32" s="793">
        <v>1</v>
      </c>
      <c r="EZ32" s="792">
        <v>4500</v>
      </c>
      <c r="FA32" s="793">
        <v>1</v>
      </c>
      <c r="FB32" s="792">
        <v>4500</v>
      </c>
      <c r="FC32" s="793">
        <v>1</v>
      </c>
      <c r="FD32" s="792">
        <v>4500</v>
      </c>
      <c r="FE32" s="793">
        <v>1</v>
      </c>
      <c r="FF32" s="792">
        <v>4500</v>
      </c>
      <c r="FG32" s="793">
        <v>1</v>
      </c>
      <c r="FH32" s="794">
        <v>4500</v>
      </c>
      <c r="FI32" s="556"/>
      <c r="FJ32" s="557"/>
      <c r="FK32" s="787" t="s">
        <v>400</v>
      </c>
      <c r="FL32" s="788"/>
      <c r="FM32" s="781">
        <v>4500</v>
      </c>
      <c r="FN32" s="789">
        <v>1</v>
      </c>
      <c r="FO32" s="790" t="s">
        <v>393</v>
      </c>
      <c r="FP32" s="795">
        <v>6</v>
      </c>
      <c r="FQ32" s="796">
        <v>1</v>
      </c>
      <c r="FR32" s="792">
        <v>-4500</v>
      </c>
      <c r="FS32" s="797">
        <v>4</v>
      </c>
      <c r="FT32" s="796">
        <v>1</v>
      </c>
      <c r="FU32" s="798">
        <v>-4500</v>
      </c>
      <c r="FV32" s="586"/>
      <c r="FW32" s="587"/>
      <c r="FX32" s="799"/>
      <c r="FY32" s="589"/>
      <c r="FZ32" s="800"/>
      <c r="GA32" s="591"/>
      <c r="GB32" s="801"/>
      <c r="GC32" s="593"/>
      <c r="GD32" s="801"/>
      <c r="GE32" s="594"/>
      <c r="GF32" s="755"/>
      <c r="GG32" s="595"/>
      <c r="GH32" s="595"/>
      <c r="GI32" s="595"/>
      <c r="GJ32" s="493"/>
      <c r="GK32" s="494"/>
      <c r="GL32" s="494"/>
      <c r="GM32" s="494"/>
      <c r="GN32" s="494"/>
      <c r="GO32" s="494"/>
      <c r="GP32" s="494"/>
      <c r="GQ32" s="494"/>
      <c r="GR32" s="494"/>
      <c r="GS32" s="406"/>
      <c r="GT32" s="756"/>
      <c r="GU32" s="802"/>
      <c r="GV32" s="803"/>
      <c r="GW32" s="782"/>
      <c r="GX32" s="783"/>
      <c r="GY32" s="784"/>
      <c r="GZ32" s="785"/>
      <c r="HA32" s="785"/>
      <c r="HB32" s="786"/>
      <c r="HC32" s="410"/>
      <c r="HD32" s="555"/>
      <c r="HE32" s="412"/>
      <c r="HF32" s="412"/>
    </row>
    <row r="33" spans="1:219" ht="20.100000000000001" customHeight="1">
      <c r="A33" s="634"/>
      <c r="B33" s="635"/>
      <c r="C33" s="635"/>
      <c r="D33" s="636" t="s">
        <v>402</v>
      </c>
      <c r="E33" s="635"/>
      <c r="F33" s="635"/>
      <c r="G33" s="637"/>
      <c r="H33" s="638">
        <v>60354</v>
      </c>
      <c r="I33" s="1276"/>
      <c r="J33" s="638">
        <v>60354</v>
      </c>
      <c r="K33" s="1276"/>
      <c r="L33" s="638">
        <v>60354</v>
      </c>
      <c r="M33" s="1276"/>
      <c r="N33" s="638">
        <v>60354</v>
      </c>
      <c r="O33" s="1276"/>
      <c r="P33" s="638">
        <v>60354</v>
      </c>
      <c r="Q33" s="1276"/>
      <c r="R33" s="638">
        <v>60354</v>
      </c>
      <c r="S33" s="1276"/>
      <c r="T33" s="638">
        <v>60354</v>
      </c>
      <c r="U33" s="1276"/>
      <c r="V33" s="638">
        <v>60354</v>
      </c>
      <c r="W33" s="1276"/>
      <c r="X33" s="638">
        <v>60354</v>
      </c>
      <c r="Y33" s="1276"/>
      <c r="Z33" s="638">
        <v>60354</v>
      </c>
      <c r="AA33" s="1276"/>
      <c r="AB33" s="638">
        <v>60354</v>
      </c>
      <c r="AC33" s="1276"/>
      <c r="AD33" s="638">
        <v>60354</v>
      </c>
      <c r="AE33" s="1276"/>
      <c r="AF33" s="638">
        <v>60354</v>
      </c>
      <c r="AG33" s="1276"/>
      <c r="AH33" s="638">
        <v>60354</v>
      </c>
      <c r="AI33" s="1276"/>
      <c r="AJ33" s="638">
        <v>60354</v>
      </c>
      <c r="AK33" s="1276"/>
      <c r="AL33" s="638">
        <v>60354</v>
      </c>
      <c r="AM33" s="1276"/>
      <c r="AN33" s="638">
        <v>60354</v>
      </c>
      <c r="AO33" s="1276"/>
      <c r="AP33" s="638">
        <v>60354</v>
      </c>
      <c r="AQ33" s="1276"/>
      <c r="AR33" s="638">
        <v>60354</v>
      </c>
      <c r="AS33" s="1276"/>
      <c r="AT33" s="638">
        <v>60354</v>
      </c>
      <c r="AU33" s="1276"/>
      <c r="AV33" s="638">
        <v>60354</v>
      </c>
      <c r="AW33" s="1276"/>
      <c r="AX33" s="638">
        <v>60354</v>
      </c>
      <c r="AY33" s="1276"/>
      <c r="AZ33" s="638">
        <v>60354</v>
      </c>
      <c r="BA33" s="1276"/>
      <c r="BB33" s="640">
        <v>60354</v>
      </c>
      <c r="BC33" s="641"/>
      <c r="BD33" s="634"/>
      <c r="BE33" s="635"/>
      <c r="BF33" s="635"/>
      <c r="BG33" s="636" t="s">
        <v>565</v>
      </c>
      <c r="BH33" s="635"/>
      <c r="BI33" s="635"/>
      <c r="BJ33" s="637"/>
      <c r="BK33" s="638">
        <v>60354</v>
      </c>
      <c r="BL33" s="1276"/>
      <c r="BM33" s="638">
        <v>60354</v>
      </c>
      <c r="BN33" s="1276"/>
      <c r="BO33" s="638">
        <v>60354</v>
      </c>
      <c r="BP33" s="1276"/>
      <c r="BQ33" s="638">
        <v>60354</v>
      </c>
      <c r="BR33" s="1276"/>
      <c r="BS33" s="638">
        <v>60354</v>
      </c>
      <c r="BT33" s="1276"/>
      <c r="BU33" s="638">
        <v>60354</v>
      </c>
      <c r="BV33" s="1276"/>
      <c r="BW33" s="638">
        <v>60354</v>
      </c>
      <c r="BX33" s="1276"/>
      <c r="BY33" s="638">
        <v>60354</v>
      </c>
      <c r="BZ33" s="1276"/>
      <c r="CA33" s="638">
        <v>60354</v>
      </c>
      <c r="CB33" s="1276"/>
      <c r="CC33" s="638">
        <v>60354</v>
      </c>
      <c r="CD33" s="1276"/>
      <c r="CE33" s="638">
        <v>60354</v>
      </c>
      <c r="CF33" s="1276"/>
      <c r="CG33" s="638">
        <v>60354</v>
      </c>
      <c r="CH33" s="1276"/>
      <c r="CI33" s="638">
        <v>60354</v>
      </c>
      <c r="CJ33" s="1276"/>
      <c r="CK33" s="638">
        <v>60354</v>
      </c>
      <c r="CL33" s="1276"/>
      <c r="CM33" s="638">
        <v>60354</v>
      </c>
      <c r="CN33" s="1276"/>
      <c r="CO33" s="638">
        <v>60354</v>
      </c>
      <c r="CP33" s="1276"/>
      <c r="CQ33" s="638">
        <v>60354</v>
      </c>
      <c r="CR33" s="1276"/>
      <c r="CS33" s="638">
        <v>60354</v>
      </c>
      <c r="CT33" s="1276"/>
      <c r="CU33" s="638">
        <v>60354</v>
      </c>
      <c r="CV33" s="1276"/>
      <c r="CW33" s="638">
        <v>60354</v>
      </c>
      <c r="CX33" s="1276"/>
      <c r="CY33" s="638">
        <v>60354</v>
      </c>
      <c r="CZ33" s="1276"/>
      <c r="DA33" s="638">
        <v>60354</v>
      </c>
      <c r="DB33" s="1276"/>
      <c r="DC33" s="638">
        <v>60354</v>
      </c>
      <c r="DD33" s="1276"/>
      <c r="DE33" s="640">
        <v>60354</v>
      </c>
      <c r="DF33" s="641"/>
      <c r="DG33" s="634"/>
      <c r="DH33" s="635"/>
      <c r="DI33" s="635"/>
      <c r="DJ33" s="636" t="s">
        <v>402</v>
      </c>
      <c r="DK33" s="635"/>
      <c r="DL33" s="635"/>
      <c r="DM33" s="637"/>
      <c r="DN33" s="638">
        <v>60354</v>
      </c>
      <c r="DO33" s="1276"/>
      <c r="DP33" s="638">
        <v>60354</v>
      </c>
      <c r="DQ33" s="1276"/>
      <c r="DR33" s="638">
        <v>60354</v>
      </c>
      <c r="DS33" s="1276"/>
      <c r="DT33" s="638">
        <v>60354</v>
      </c>
      <c r="DU33" s="1276"/>
      <c r="DV33" s="638">
        <v>60354</v>
      </c>
      <c r="DW33" s="1276"/>
      <c r="DX33" s="638">
        <v>60354</v>
      </c>
      <c r="DY33" s="1276"/>
      <c r="DZ33" s="638">
        <v>60354</v>
      </c>
      <c r="EA33" s="1276"/>
      <c r="EB33" s="638">
        <v>60354</v>
      </c>
      <c r="EC33" s="1276"/>
      <c r="ED33" s="638">
        <v>60354</v>
      </c>
      <c r="EE33" s="1276"/>
      <c r="EF33" s="638">
        <v>60354</v>
      </c>
      <c r="EG33" s="1276"/>
      <c r="EH33" s="638">
        <v>60354</v>
      </c>
      <c r="EI33" s="1276"/>
      <c r="EJ33" s="638">
        <v>60354</v>
      </c>
      <c r="EK33" s="1276"/>
      <c r="EL33" s="638">
        <v>60354</v>
      </c>
      <c r="EM33" s="1276"/>
      <c r="EN33" s="638">
        <v>60354</v>
      </c>
      <c r="EO33" s="1276"/>
      <c r="EP33" s="638">
        <v>60354</v>
      </c>
      <c r="EQ33" s="1276"/>
      <c r="ER33" s="638">
        <v>60354</v>
      </c>
      <c r="ES33" s="1276"/>
      <c r="ET33" s="638">
        <v>60354</v>
      </c>
      <c r="EU33" s="1276"/>
      <c r="EV33" s="638">
        <v>60354</v>
      </c>
      <c r="EW33" s="1276"/>
      <c r="EX33" s="638">
        <v>60354</v>
      </c>
      <c r="EY33" s="1276"/>
      <c r="EZ33" s="638">
        <v>60354</v>
      </c>
      <c r="FA33" s="1276"/>
      <c r="FB33" s="638">
        <v>60354</v>
      </c>
      <c r="FC33" s="1276"/>
      <c r="FD33" s="638">
        <v>60354</v>
      </c>
      <c r="FE33" s="1276"/>
      <c r="FF33" s="638">
        <v>60354</v>
      </c>
      <c r="FG33" s="1276"/>
      <c r="FH33" s="640">
        <v>60354</v>
      </c>
      <c r="FI33" s="642"/>
      <c r="FJ33" s="557"/>
      <c r="FK33" s="635"/>
      <c r="FL33" s="635"/>
      <c r="FM33" s="636" t="s">
        <v>402</v>
      </c>
      <c r="FN33" s="635"/>
      <c r="FO33" s="635"/>
      <c r="FP33" s="643"/>
      <c r="FQ33" s="644"/>
      <c r="FR33" s="638">
        <v>-59100</v>
      </c>
      <c r="FS33" s="645"/>
      <c r="FT33" s="644"/>
      <c r="FU33" s="646">
        <v>-59100</v>
      </c>
      <c r="FV33" s="586"/>
      <c r="FW33" s="587"/>
      <c r="FX33" s="799"/>
      <c r="FY33" s="589"/>
      <c r="FZ33" s="800"/>
      <c r="GA33" s="591"/>
      <c r="GB33" s="801"/>
      <c r="GC33" s="593"/>
      <c r="GD33" s="801"/>
      <c r="GE33" s="594"/>
      <c r="GF33" s="647"/>
      <c r="GG33" s="648"/>
      <c r="GH33" s="648"/>
      <c r="GI33" s="648"/>
      <c r="GJ33" s="572"/>
      <c r="GK33" s="523" t="s">
        <v>497</v>
      </c>
      <c r="GL33" s="572"/>
      <c r="GM33" s="523"/>
      <c r="GN33" s="572"/>
      <c r="GO33" s="523"/>
      <c r="GP33" s="523"/>
      <c r="GQ33" s="523"/>
      <c r="GR33" s="572"/>
      <c r="GS33" s="523"/>
      <c r="GT33" s="756"/>
      <c r="GU33" s="804">
        <v>202</v>
      </c>
      <c r="GV33" s="805"/>
      <c r="GW33" s="806">
        <v>0</v>
      </c>
      <c r="GX33" s="807">
        <v>25.94</v>
      </c>
      <c r="GY33" s="807">
        <v>100.30000000000001</v>
      </c>
      <c r="GZ33" s="807">
        <v>0</v>
      </c>
      <c r="HA33" s="807">
        <v>126.24000000000001</v>
      </c>
      <c r="HB33" s="808">
        <v>91</v>
      </c>
      <c r="HC33" s="410"/>
      <c r="HD33" s="641"/>
      <c r="HE33" s="412"/>
      <c r="HF33" s="412"/>
    </row>
    <row r="34" spans="1:219" ht="20.100000000000001" customHeight="1">
      <c r="A34" s="1278" t="s">
        <v>406</v>
      </c>
      <c r="B34" s="736"/>
      <c r="C34" s="810"/>
      <c r="D34" s="811"/>
      <c r="E34" s="810"/>
      <c r="F34" s="812"/>
      <c r="G34" s="733" t="s">
        <v>404</v>
      </c>
      <c r="H34" s="656" t="s">
        <v>388</v>
      </c>
      <c r="I34" s="734" t="s">
        <v>404</v>
      </c>
      <c r="J34" s="656" t="s">
        <v>385</v>
      </c>
      <c r="K34" s="735" t="s">
        <v>404</v>
      </c>
      <c r="L34" s="656" t="s">
        <v>388</v>
      </c>
      <c r="M34" s="735" t="s">
        <v>404</v>
      </c>
      <c r="N34" s="656" t="s">
        <v>385</v>
      </c>
      <c r="O34" s="735" t="s">
        <v>405</v>
      </c>
      <c r="P34" s="656" t="s">
        <v>388</v>
      </c>
      <c r="Q34" s="735" t="s">
        <v>405</v>
      </c>
      <c r="R34" s="656" t="s">
        <v>388</v>
      </c>
      <c r="S34" s="735" t="s">
        <v>404</v>
      </c>
      <c r="T34" s="656" t="s">
        <v>388</v>
      </c>
      <c r="U34" s="735" t="s">
        <v>405</v>
      </c>
      <c r="V34" s="656" t="s">
        <v>385</v>
      </c>
      <c r="W34" s="735" t="s">
        <v>404</v>
      </c>
      <c r="X34" s="656" t="s">
        <v>388</v>
      </c>
      <c r="Y34" s="735" t="s">
        <v>405</v>
      </c>
      <c r="Z34" s="656" t="s">
        <v>385</v>
      </c>
      <c r="AA34" s="735" t="s">
        <v>404</v>
      </c>
      <c r="AB34" s="656" t="s">
        <v>385</v>
      </c>
      <c r="AC34" s="735" t="s">
        <v>405</v>
      </c>
      <c r="AD34" s="656" t="s">
        <v>388</v>
      </c>
      <c r="AE34" s="735" t="s">
        <v>404</v>
      </c>
      <c r="AF34" s="656" t="s">
        <v>385</v>
      </c>
      <c r="AG34" s="735" t="s">
        <v>404</v>
      </c>
      <c r="AH34" s="656" t="s">
        <v>388</v>
      </c>
      <c r="AI34" s="735" t="s">
        <v>404</v>
      </c>
      <c r="AJ34" s="656" t="s">
        <v>388</v>
      </c>
      <c r="AK34" s="735" t="s">
        <v>405</v>
      </c>
      <c r="AL34" s="656" t="s">
        <v>385</v>
      </c>
      <c r="AM34" s="735" t="s">
        <v>404</v>
      </c>
      <c r="AN34" s="656" t="s">
        <v>388</v>
      </c>
      <c r="AO34" s="735" t="s">
        <v>405</v>
      </c>
      <c r="AP34" s="656" t="s">
        <v>388</v>
      </c>
      <c r="AQ34" s="735" t="s">
        <v>405</v>
      </c>
      <c r="AR34" s="656" t="s">
        <v>388</v>
      </c>
      <c r="AS34" s="735" t="s">
        <v>405</v>
      </c>
      <c r="AT34" s="656" t="s">
        <v>388</v>
      </c>
      <c r="AU34" s="735" t="s">
        <v>404</v>
      </c>
      <c r="AV34" s="656" t="s">
        <v>388</v>
      </c>
      <c r="AW34" s="735" t="s">
        <v>404</v>
      </c>
      <c r="AX34" s="656" t="s">
        <v>385</v>
      </c>
      <c r="AY34" s="735" t="s">
        <v>404</v>
      </c>
      <c r="AZ34" s="656" t="s">
        <v>385</v>
      </c>
      <c r="BA34" s="735" t="s">
        <v>405</v>
      </c>
      <c r="BB34" s="658" t="s">
        <v>388</v>
      </c>
      <c r="BC34" s="716"/>
      <c r="BD34" s="1278" t="s">
        <v>403</v>
      </c>
      <c r="BE34" s="813"/>
      <c r="BF34" s="814"/>
      <c r="BG34" s="815"/>
      <c r="BH34" s="814"/>
      <c r="BI34" s="816"/>
      <c r="BJ34" s="733" t="s">
        <v>405</v>
      </c>
      <c r="BK34" s="656" t="s">
        <v>388</v>
      </c>
      <c r="BL34" s="734" t="s">
        <v>404</v>
      </c>
      <c r="BM34" s="656" t="s">
        <v>385</v>
      </c>
      <c r="BN34" s="735" t="s">
        <v>404</v>
      </c>
      <c r="BO34" s="656" t="s">
        <v>388</v>
      </c>
      <c r="BP34" s="735" t="s">
        <v>405</v>
      </c>
      <c r="BQ34" s="656" t="s">
        <v>388</v>
      </c>
      <c r="BR34" s="735" t="s">
        <v>404</v>
      </c>
      <c r="BS34" s="656" t="s">
        <v>388</v>
      </c>
      <c r="BT34" s="735" t="s">
        <v>405</v>
      </c>
      <c r="BU34" s="656" t="s">
        <v>385</v>
      </c>
      <c r="BV34" s="735" t="s">
        <v>404</v>
      </c>
      <c r="BW34" s="656" t="s">
        <v>385</v>
      </c>
      <c r="BX34" s="735" t="s">
        <v>405</v>
      </c>
      <c r="BY34" s="656" t="s">
        <v>385</v>
      </c>
      <c r="BZ34" s="735" t="s">
        <v>404</v>
      </c>
      <c r="CA34" s="656" t="s">
        <v>385</v>
      </c>
      <c r="CB34" s="735" t="s">
        <v>405</v>
      </c>
      <c r="CC34" s="656" t="s">
        <v>385</v>
      </c>
      <c r="CD34" s="735" t="s">
        <v>404</v>
      </c>
      <c r="CE34" s="656" t="s">
        <v>388</v>
      </c>
      <c r="CF34" s="735" t="s">
        <v>404</v>
      </c>
      <c r="CG34" s="656" t="s">
        <v>385</v>
      </c>
      <c r="CH34" s="735" t="s">
        <v>404</v>
      </c>
      <c r="CI34" s="656" t="s">
        <v>385</v>
      </c>
      <c r="CJ34" s="735" t="s">
        <v>405</v>
      </c>
      <c r="CK34" s="656" t="s">
        <v>385</v>
      </c>
      <c r="CL34" s="735" t="s">
        <v>404</v>
      </c>
      <c r="CM34" s="656" t="s">
        <v>388</v>
      </c>
      <c r="CN34" s="735" t="s">
        <v>404</v>
      </c>
      <c r="CO34" s="656" t="s">
        <v>388</v>
      </c>
      <c r="CP34" s="735" t="s">
        <v>405</v>
      </c>
      <c r="CQ34" s="656" t="s">
        <v>388</v>
      </c>
      <c r="CR34" s="735" t="s">
        <v>405</v>
      </c>
      <c r="CS34" s="656" t="s">
        <v>385</v>
      </c>
      <c r="CT34" s="735" t="s">
        <v>405</v>
      </c>
      <c r="CU34" s="656" t="s">
        <v>388</v>
      </c>
      <c r="CV34" s="735" t="s">
        <v>405</v>
      </c>
      <c r="CW34" s="656" t="s">
        <v>385</v>
      </c>
      <c r="CX34" s="735" t="s">
        <v>405</v>
      </c>
      <c r="CY34" s="656" t="s">
        <v>388</v>
      </c>
      <c r="CZ34" s="735" t="s">
        <v>404</v>
      </c>
      <c r="DA34" s="656" t="s">
        <v>385</v>
      </c>
      <c r="DB34" s="735" t="s">
        <v>404</v>
      </c>
      <c r="DC34" s="656" t="s">
        <v>388</v>
      </c>
      <c r="DD34" s="735" t="s">
        <v>405</v>
      </c>
      <c r="DE34" s="658" t="s">
        <v>385</v>
      </c>
      <c r="DF34" s="716"/>
      <c r="DG34" s="1278" t="s">
        <v>403</v>
      </c>
      <c r="DH34" s="731"/>
      <c r="DI34" s="817"/>
      <c r="DJ34" s="818"/>
      <c r="DK34" s="817"/>
      <c r="DL34" s="819"/>
      <c r="DM34" s="733" t="s">
        <v>404</v>
      </c>
      <c r="DN34" s="656" t="s">
        <v>388</v>
      </c>
      <c r="DO34" s="734" t="s">
        <v>404</v>
      </c>
      <c r="DP34" s="656" t="s">
        <v>388</v>
      </c>
      <c r="DQ34" s="735" t="s">
        <v>405</v>
      </c>
      <c r="DR34" s="656" t="s">
        <v>388</v>
      </c>
      <c r="DS34" s="735" t="s">
        <v>404</v>
      </c>
      <c r="DT34" s="656" t="s">
        <v>385</v>
      </c>
      <c r="DU34" s="735" t="s">
        <v>404</v>
      </c>
      <c r="DV34" s="656" t="s">
        <v>388</v>
      </c>
      <c r="DW34" s="735" t="s">
        <v>405</v>
      </c>
      <c r="DX34" s="656" t="s">
        <v>388</v>
      </c>
      <c r="DY34" s="735" t="s">
        <v>405</v>
      </c>
      <c r="DZ34" s="656" t="s">
        <v>385</v>
      </c>
      <c r="EA34" s="735" t="s">
        <v>404</v>
      </c>
      <c r="EB34" s="656" t="s">
        <v>388</v>
      </c>
      <c r="EC34" s="735" t="s">
        <v>405</v>
      </c>
      <c r="ED34" s="656" t="s">
        <v>388</v>
      </c>
      <c r="EE34" s="735" t="s">
        <v>405</v>
      </c>
      <c r="EF34" s="656" t="s">
        <v>388</v>
      </c>
      <c r="EG34" s="735" t="s">
        <v>405</v>
      </c>
      <c r="EH34" s="656" t="s">
        <v>388</v>
      </c>
      <c r="EI34" s="735" t="s">
        <v>404</v>
      </c>
      <c r="EJ34" s="656" t="s">
        <v>388</v>
      </c>
      <c r="EK34" s="735" t="s">
        <v>404</v>
      </c>
      <c r="EL34" s="656" t="s">
        <v>385</v>
      </c>
      <c r="EM34" s="735" t="s">
        <v>404</v>
      </c>
      <c r="EN34" s="656" t="s">
        <v>385</v>
      </c>
      <c r="EO34" s="735" t="s">
        <v>405</v>
      </c>
      <c r="EP34" s="656" t="s">
        <v>388</v>
      </c>
      <c r="EQ34" s="735" t="s">
        <v>405</v>
      </c>
      <c r="ER34" s="656" t="s">
        <v>385</v>
      </c>
      <c r="ES34" s="735" t="s">
        <v>405</v>
      </c>
      <c r="ET34" s="656" t="s">
        <v>388</v>
      </c>
      <c r="EU34" s="735" t="s">
        <v>404</v>
      </c>
      <c r="EV34" s="656" t="s">
        <v>385</v>
      </c>
      <c r="EW34" s="735" t="s">
        <v>404</v>
      </c>
      <c r="EX34" s="656" t="s">
        <v>388</v>
      </c>
      <c r="EY34" s="735" t="s">
        <v>404</v>
      </c>
      <c r="EZ34" s="656" t="s">
        <v>385</v>
      </c>
      <c r="FA34" s="735" t="s">
        <v>404</v>
      </c>
      <c r="FB34" s="656" t="s">
        <v>388</v>
      </c>
      <c r="FC34" s="735" t="s">
        <v>404</v>
      </c>
      <c r="FD34" s="656" t="s">
        <v>385</v>
      </c>
      <c r="FE34" s="735" t="s">
        <v>405</v>
      </c>
      <c r="FF34" s="656" t="s">
        <v>385</v>
      </c>
      <c r="FG34" s="735" t="s">
        <v>404</v>
      </c>
      <c r="FH34" s="658" t="s">
        <v>385</v>
      </c>
      <c r="FI34" s="739"/>
      <c r="FJ34" s="820" t="s">
        <v>403</v>
      </c>
      <c r="FK34" s="731"/>
      <c r="FL34" s="817"/>
      <c r="FM34" s="818"/>
      <c r="FN34" s="817"/>
      <c r="FO34" s="819"/>
      <c r="FP34" s="740" t="s">
        <v>390</v>
      </c>
      <c r="FQ34" s="666" t="s">
        <v>404</v>
      </c>
      <c r="FR34" s="656" t="s">
        <v>391</v>
      </c>
      <c r="FS34" s="741" t="s">
        <v>407</v>
      </c>
      <c r="FT34" s="666" t="s">
        <v>405</v>
      </c>
      <c r="FU34" s="668" t="s">
        <v>408</v>
      </c>
      <c r="FV34" s="586"/>
      <c r="FW34" s="587"/>
      <c r="FX34" s="799"/>
      <c r="FY34" s="589"/>
      <c r="FZ34" s="800"/>
      <c r="GA34" s="591"/>
      <c r="GB34" s="801"/>
      <c r="GC34" s="593"/>
      <c r="GD34" s="801"/>
      <c r="GE34" s="594"/>
      <c r="GF34" s="742"/>
      <c r="GG34" s="743"/>
      <c r="GH34" s="743"/>
      <c r="GI34" s="743"/>
      <c r="GJ34" s="572"/>
      <c r="GK34" s="821" t="s">
        <v>498</v>
      </c>
      <c r="GL34" s="821"/>
      <c r="GM34" s="821"/>
      <c r="GN34" s="821"/>
      <c r="GO34" s="821"/>
      <c r="GP34" s="821"/>
      <c r="GQ34" s="608">
        <v>0</v>
      </c>
      <c r="GR34" s="572" t="s">
        <v>293</v>
      </c>
      <c r="GS34" s="573"/>
      <c r="GT34" s="756"/>
      <c r="GU34" s="822"/>
      <c r="GV34" s="823"/>
      <c r="GW34" s="824"/>
      <c r="GX34" s="626"/>
      <c r="GY34" s="626"/>
      <c r="GZ34" s="626"/>
      <c r="HA34" s="626"/>
      <c r="HB34" s="627"/>
      <c r="HC34" s="523"/>
      <c r="HD34" s="716"/>
      <c r="HE34" s="412"/>
      <c r="HF34" s="412"/>
    </row>
    <row r="35" spans="1:219" ht="20.100000000000001" customHeight="1">
      <c r="A35" s="825"/>
      <c r="B35" s="459" t="s">
        <v>566</v>
      </c>
      <c r="C35" s="460"/>
      <c r="D35" s="826">
        <v>0</v>
      </c>
      <c r="E35" s="827">
        <v>0</v>
      </c>
      <c r="F35" s="828"/>
      <c r="G35" s="829"/>
      <c r="H35" s="830">
        <v>0</v>
      </c>
      <c r="I35" s="831"/>
      <c r="J35" s="792">
        <v>0</v>
      </c>
      <c r="K35" s="832"/>
      <c r="L35" s="792">
        <v>0</v>
      </c>
      <c r="M35" s="832"/>
      <c r="N35" s="792">
        <v>0</v>
      </c>
      <c r="O35" s="832"/>
      <c r="P35" s="792">
        <v>0</v>
      </c>
      <c r="Q35" s="832"/>
      <c r="R35" s="792">
        <v>0</v>
      </c>
      <c r="S35" s="832"/>
      <c r="T35" s="792">
        <v>0</v>
      </c>
      <c r="U35" s="832"/>
      <c r="V35" s="792">
        <v>0</v>
      </c>
      <c r="W35" s="832"/>
      <c r="X35" s="792">
        <v>0</v>
      </c>
      <c r="Y35" s="832"/>
      <c r="Z35" s="792">
        <v>0</v>
      </c>
      <c r="AA35" s="832"/>
      <c r="AB35" s="792">
        <v>0</v>
      </c>
      <c r="AC35" s="832"/>
      <c r="AD35" s="792">
        <v>0</v>
      </c>
      <c r="AE35" s="832"/>
      <c r="AF35" s="792">
        <v>0</v>
      </c>
      <c r="AG35" s="832"/>
      <c r="AH35" s="792">
        <v>0</v>
      </c>
      <c r="AI35" s="832"/>
      <c r="AJ35" s="792">
        <v>0</v>
      </c>
      <c r="AK35" s="832"/>
      <c r="AL35" s="792">
        <v>0</v>
      </c>
      <c r="AM35" s="832"/>
      <c r="AN35" s="792">
        <v>0</v>
      </c>
      <c r="AO35" s="832"/>
      <c r="AP35" s="792">
        <v>0</v>
      </c>
      <c r="AQ35" s="832"/>
      <c r="AR35" s="792">
        <v>0</v>
      </c>
      <c r="AS35" s="832"/>
      <c r="AT35" s="792">
        <v>0</v>
      </c>
      <c r="AU35" s="832"/>
      <c r="AV35" s="792">
        <v>0</v>
      </c>
      <c r="AW35" s="832"/>
      <c r="AX35" s="792">
        <v>0</v>
      </c>
      <c r="AY35" s="832"/>
      <c r="AZ35" s="792">
        <v>0</v>
      </c>
      <c r="BA35" s="832"/>
      <c r="BB35" s="833">
        <v>0</v>
      </c>
      <c r="BC35" s="555"/>
      <c r="BD35" s="825"/>
      <c r="BE35" s="459" t="s">
        <v>291</v>
      </c>
      <c r="BF35" s="460"/>
      <c r="BG35" s="826">
        <v>0</v>
      </c>
      <c r="BH35" s="827">
        <v>0</v>
      </c>
      <c r="BI35" s="828"/>
      <c r="BJ35" s="829"/>
      <c r="BK35" s="830">
        <v>0</v>
      </c>
      <c r="BL35" s="831"/>
      <c r="BM35" s="792">
        <v>0</v>
      </c>
      <c r="BN35" s="832"/>
      <c r="BO35" s="792">
        <v>0</v>
      </c>
      <c r="BP35" s="832"/>
      <c r="BQ35" s="792">
        <v>0</v>
      </c>
      <c r="BR35" s="832"/>
      <c r="BS35" s="792">
        <v>0</v>
      </c>
      <c r="BT35" s="832"/>
      <c r="BU35" s="792">
        <v>0</v>
      </c>
      <c r="BV35" s="832"/>
      <c r="BW35" s="792">
        <v>0</v>
      </c>
      <c r="BX35" s="832"/>
      <c r="BY35" s="792">
        <v>0</v>
      </c>
      <c r="BZ35" s="832"/>
      <c r="CA35" s="792">
        <v>0</v>
      </c>
      <c r="CB35" s="832"/>
      <c r="CC35" s="792">
        <v>0</v>
      </c>
      <c r="CD35" s="832"/>
      <c r="CE35" s="792">
        <v>0</v>
      </c>
      <c r="CF35" s="832"/>
      <c r="CG35" s="792">
        <v>0</v>
      </c>
      <c r="CH35" s="832"/>
      <c r="CI35" s="792">
        <v>0</v>
      </c>
      <c r="CJ35" s="832"/>
      <c r="CK35" s="792">
        <v>0</v>
      </c>
      <c r="CL35" s="832"/>
      <c r="CM35" s="792">
        <v>0</v>
      </c>
      <c r="CN35" s="832"/>
      <c r="CO35" s="792">
        <v>0</v>
      </c>
      <c r="CP35" s="832"/>
      <c r="CQ35" s="792">
        <v>0</v>
      </c>
      <c r="CR35" s="832"/>
      <c r="CS35" s="792">
        <v>0</v>
      </c>
      <c r="CT35" s="832"/>
      <c r="CU35" s="792">
        <v>0</v>
      </c>
      <c r="CV35" s="832"/>
      <c r="CW35" s="792">
        <v>0</v>
      </c>
      <c r="CX35" s="832"/>
      <c r="CY35" s="792">
        <v>0</v>
      </c>
      <c r="CZ35" s="832"/>
      <c r="DA35" s="792">
        <v>0</v>
      </c>
      <c r="DB35" s="832"/>
      <c r="DC35" s="792">
        <v>0</v>
      </c>
      <c r="DD35" s="832"/>
      <c r="DE35" s="833">
        <v>0</v>
      </c>
      <c r="DF35" s="555"/>
      <c r="DG35" s="825"/>
      <c r="DH35" s="459" t="s">
        <v>291</v>
      </c>
      <c r="DI35" s="460"/>
      <c r="DJ35" s="826">
        <v>0</v>
      </c>
      <c r="DK35" s="827">
        <v>0</v>
      </c>
      <c r="DL35" s="828"/>
      <c r="DM35" s="829"/>
      <c r="DN35" s="830">
        <v>0</v>
      </c>
      <c r="DO35" s="831"/>
      <c r="DP35" s="792">
        <v>0</v>
      </c>
      <c r="DQ35" s="832"/>
      <c r="DR35" s="792">
        <v>0</v>
      </c>
      <c r="DS35" s="832"/>
      <c r="DT35" s="792">
        <v>0</v>
      </c>
      <c r="DU35" s="832"/>
      <c r="DV35" s="792">
        <v>0</v>
      </c>
      <c r="DW35" s="832"/>
      <c r="DX35" s="792">
        <v>0</v>
      </c>
      <c r="DY35" s="832"/>
      <c r="DZ35" s="792">
        <v>0</v>
      </c>
      <c r="EA35" s="832"/>
      <c r="EB35" s="792">
        <v>0</v>
      </c>
      <c r="EC35" s="832"/>
      <c r="ED35" s="792">
        <v>0</v>
      </c>
      <c r="EE35" s="832"/>
      <c r="EF35" s="792">
        <v>0</v>
      </c>
      <c r="EG35" s="832"/>
      <c r="EH35" s="792">
        <v>0</v>
      </c>
      <c r="EI35" s="832"/>
      <c r="EJ35" s="792">
        <v>0</v>
      </c>
      <c r="EK35" s="832"/>
      <c r="EL35" s="792">
        <v>0</v>
      </c>
      <c r="EM35" s="832"/>
      <c r="EN35" s="792">
        <v>0</v>
      </c>
      <c r="EO35" s="832"/>
      <c r="EP35" s="792">
        <v>0</v>
      </c>
      <c r="EQ35" s="832"/>
      <c r="ER35" s="792">
        <v>0</v>
      </c>
      <c r="ES35" s="832"/>
      <c r="ET35" s="792">
        <v>0</v>
      </c>
      <c r="EU35" s="832"/>
      <c r="EV35" s="792">
        <v>0</v>
      </c>
      <c r="EW35" s="832"/>
      <c r="EX35" s="792">
        <v>0</v>
      </c>
      <c r="EY35" s="832"/>
      <c r="EZ35" s="792">
        <v>0</v>
      </c>
      <c r="FA35" s="832"/>
      <c r="FB35" s="792">
        <v>0</v>
      </c>
      <c r="FC35" s="832"/>
      <c r="FD35" s="792">
        <v>0</v>
      </c>
      <c r="FE35" s="832"/>
      <c r="FF35" s="792">
        <v>0</v>
      </c>
      <c r="FG35" s="832"/>
      <c r="FH35" s="833">
        <v>0</v>
      </c>
      <c r="FI35" s="556"/>
      <c r="FJ35" s="834"/>
      <c r="FK35" s="459" t="s">
        <v>291</v>
      </c>
      <c r="FL35" s="460"/>
      <c r="FM35" s="826">
        <v>0</v>
      </c>
      <c r="FN35" s="827">
        <v>0</v>
      </c>
      <c r="FO35" s="828"/>
      <c r="FP35" s="835"/>
      <c r="FQ35" s="831"/>
      <c r="FR35" s="830">
        <v>0</v>
      </c>
      <c r="FS35" s="836"/>
      <c r="FT35" s="831"/>
      <c r="FU35" s="798">
        <v>0</v>
      </c>
      <c r="FV35" s="586"/>
      <c r="FW35" s="587"/>
      <c r="FX35" s="799"/>
      <c r="FY35" s="589"/>
      <c r="FZ35" s="800"/>
      <c r="GA35" s="591"/>
      <c r="GB35" s="801"/>
      <c r="GC35" s="593"/>
      <c r="GD35" s="801"/>
      <c r="GE35" s="594"/>
      <c r="GF35" s="837"/>
      <c r="GG35" s="595"/>
      <c r="GH35" s="595"/>
      <c r="GI35" s="595"/>
      <c r="GJ35" s="523"/>
      <c r="GK35" s="523" t="s">
        <v>499</v>
      </c>
      <c r="GL35" s="523"/>
      <c r="GM35" s="572"/>
      <c r="GN35" s="523"/>
      <c r="GO35" s="572"/>
      <c r="GP35" s="572"/>
      <c r="GQ35" s="572"/>
      <c r="GR35" s="572"/>
      <c r="GS35" s="406"/>
      <c r="GT35" s="756"/>
      <c r="GU35" s="822"/>
      <c r="GV35" s="823"/>
      <c r="GW35" s="824"/>
      <c r="GX35" s="626"/>
      <c r="GY35" s="626"/>
      <c r="GZ35" s="626"/>
      <c r="HA35" s="626"/>
      <c r="HB35" s="627"/>
      <c r="HC35" s="523"/>
      <c r="HD35" s="555"/>
      <c r="HE35" s="412"/>
      <c r="HF35" s="412"/>
    </row>
    <row r="36" spans="1:219" ht="20.100000000000001" customHeight="1">
      <c r="A36" s="825"/>
      <c r="B36" s="635"/>
      <c r="C36" s="635"/>
      <c r="D36" s="636" t="s">
        <v>410</v>
      </c>
      <c r="E36" s="635"/>
      <c r="F36" s="635"/>
      <c r="G36" s="838"/>
      <c r="H36" s="1279">
        <v>0</v>
      </c>
      <c r="I36" s="1280"/>
      <c r="J36" s="841">
        <v>0</v>
      </c>
      <c r="K36" s="842"/>
      <c r="L36" s="841">
        <v>0</v>
      </c>
      <c r="M36" s="842"/>
      <c r="N36" s="841">
        <v>0</v>
      </c>
      <c r="O36" s="842"/>
      <c r="P36" s="841">
        <v>0</v>
      </c>
      <c r="Q36" s="842"/>
      <c r="R36" s="841">
        <v>0</v>
      </c>
      <c r="S36" s="842"/>
      <c r="T36" s="841">
        <v>0</v>
      </c>
      <c r="U36" s="842"/>
      <c r="V36" s="841">
        <v>0</v>
      </c>
      <c r="W36" s="842"/>
      <c r="X36" s="841">
        <v>0</v>
      </c>
      <c r="Y36" s="842"/>
      <c r="Z36" s="841">
        <v>0</v>
      </c>
      <c r="AA36" s="842"/>
      <c r="AB36" s="841">
        <v>0</v>
      </c>
      <c r="AC36" s="842"/>
      <c r="AD36" s="841">
        <v>0</v>
      </c>
      <c r="AE36" s="842"/>
      <c r="AF36" s="841">
        <v>0</v>
      </c>
      <c r="AG36" s="842"/>
      <c r="AH36" s="841">
        <v>0</v>
      </c>
      <c r="AI36" s="842"/>
      <c r="AJ36" s="841">
        <v>0</v>
      </c>
      <c r="AK36" s="842"/>
      <c r="AL36" s="841">
        <v>0</v>
      </c>
      <c r="AM36" s="842"/>
      <c r="AN36" s="841">
        <v>0</v>
      </c>
      <c r="AO36" s="842"/>
      <c r="AP36" s="841">
        <v>0</v>
      </c>
      <c r="AQ36" s="842"/>
      <c r="AR36" s="841">
        <v>0</v>
      </c>
      <c r="AS36" s="842"/>
      <c r="AT36" s="841">
        <v>0</v>
      </c>
      <c r="AU36" s="842"/>
      <c r="AV36" s="841">
        <v>0</v>
      </c>
      <c r="AW36" s="842"/>
      <c r="AX36" s="841">
        <v>0</v>
      </c>
      <c r="AY36" s="842"/>
      <c r="AZ36" s="841">
        <v>0</v>
      </c>
      <c r="BA36" s="842"/>
      <c r="BB36" s="1281">
        <v>0</v>
      </c>
      <c r="BC36" s="641"/>
      <c r="BD36" s="825"/>
      <c r="BE36" s="635"/>
      <c r="BF36" s="635"/>
      <c r="BG36" s="636" t="s">
        <v>410</v>
      </c>
      <c r="BH36" s="635"/>
      <c r="BI36" s="635"/>
      <c r="BJ36" s="838"/>
      <c r="BK36" s="1279">
        <v>0</v>
      </c>
      <c r="BL36" s="1280"/>
      <c r="BM36" s="841">
        <v>0</v>
      </c>
      <c r="BN36" s="842"/>
      <c r="BO36" s="841">
        <v>0</v>
      </c>
      <c r="BP36" s="842"/>
      <c r="BQ36" s="841">
        <v>0</v>
      </c>
      <c r="BR36" s="842"/>
      <c r="BS36" s="841">
        <v>0</v>
      </c>
      <c r="BT36" s="842"/>
      <c r="BU36" s="841">
        <v>0</v>
      </c>
      <c r="BV36" s="842"/>
      <c r="BW36" s="841">
        <v>0</v>
      </c>
      <c r="BX36" s="842"/>
      <c r="BY36" s="841">
        <v>0</v>
      </c>
      <c r="BZ36" s="842"/>
      <c r="CA36" s="841">
        <v>0</v>
      </c>
      <c r="CB36" s="842"/>
      <c r="CC36" s="841">
        <v>0</v>
      </c>
      <c r="CD36" s="842"/>
      <c r="CE36" s="841">
        <v>0</v>
      </c>
      <c r="CF36" s="842"/>
      <c r="CG36" s="841">
        <v>0</v>
      </c>
      <c r="CH36" s="842"/>
      <c r="CI36" s="841">
        <v>0</v>
      </c>
      <c r="CJ36" s="842"/>
      <c r="CK36" s="841">
        <v>0</v>
      </c>
      <c r="CL36" s="842"/>
      <c r="CM36" s="841">
        <v>0</v>
      </c>
      <c r="CN36" s="842"/>
      <c r="CO36" s="841">
        <v>0</v>
      </c>
      <c r="CP36" s="842"/>
      <c r="CQ36" s="841">
        <v>0</v>
      </c>
      <c r="CR36" s="842"/>
      <c r="CS36" s="841">
        <v>0</v>
      </c>
      <c r="CT36" s="842"/>
      <c r="CU36" s="841">
        <v>0</v>
      </c>
      <c r="CV36" s="842"/>
      <c r="CW36" s="841">
        <v>0</v>
      </c>
      <c r="CX36" s="842"/>
      <c r="CY36" s="841">
        <v>0</v>
      </c>
      <c r="CZ36" s="842"/>
      <c r="DA36" s="841">
        <v>0</v>
      </c>
      <c r="DB36" s="842"/>
      <c r="DC36" s="841">
        <v>0</v>
      </c>
      <c r="DD36" s="842"/>
      <c r="DE36" s="1281">
        <v>0</v>
      </c>
      <c r="DF36" s="641"/>
      <c r="DG36" s="825"/>
      <c r="DH36" s="635"/>
      <c r="DI36" s="635"/>
      <c r="DJ36" s="636" t="s">
        <v>292</v>
      </c>
      <c r="DK36" s="635"/>
      <c r="DL36" s="635"/>
      <c r="DM36" s="838"/>
      <c r="DN36" s="1279">
        <v>0</v>
      </c>
      <c r="DO36" s="1280"/>
      <c r="DP36" s="841">
        <v>0</v>
      </c>
      <c r="DQ36" s="842"/>
      <c r="DR36" s="841">
        <v>0</v>
      </c>
      <c r="DS36" s="842"/>
      <c r="DT36" s="841">
        <v>0</v>
      </c>
      <c r="DU36" s="842"/>
      <c r="DV36" s="841">
        <v>0</v>
      </c>
      <c r="DW36" s="842"/>
      <c r="DX36" s="841">
        <v>0</v>
      </c>
      <c r="DY36" s="842"/>
      <c r="DZ36" s="841">
        <v>0</v>
      </c>
      <c r="EA36" s="842"/>
      <c r="EB36" s="841">
        <v>0</v>
      </c>
      <c r="EC36" s="842"/>
      <c r="ED36" s="841">
        <v>0</v>
      </c>
      <c r="EE36" s="842"/>
      <c r="EF36" s="841">
        <v>0</v>
      </c>
      <c r="EG36" s="842"/>
      <c r="EH36" s="841">
        <v>0</v>
      </c>
      <c r="EI36" s="842"/>
      <c r="EJ36" s="841">
        <v>0</v>
      </c>
      <c r="EK36" s="842"/>
      <c r="EL36" s="841">
        <v>0</v>
      </c>
      <c r="EM36" s="842"/>
      <c r="EN36" s="841">
        <v>0</v>
      </c>
      <c r="EO36" s="842"/>
      <c r="EP36" s="841">
        <v>0</v>
      </c>
      <c r="EQ36" s="842"/>
      <c r="ER36" s="841">
        <v>0</v>
      </c>
      <c r="ES36" s="842"/>
      <c r="ET36" s="841">
        <v>0</v>
      </c>
      <c r="EU36" s="842"/>
      <c r="EV36" s="841">
        <v>0</v>
      </c>
      <c r="EW36" s="842"/>
      <c r="EX36" s="841">
        <v>0</v>
      </c>
      <c r="EY36" s="842"/>
      <c r="EZ36" s="841">
        <v>0</v>
      </c>
      <c r="FA36" s="842"/>
      <c r="FB36" s="841">
        <v>0</v>
      </c>
      <c r="FC36" s="842"/>
      <c r="FD36" s="841">
        <v>0</v>
      </c>
      <c r="FE36" s="842"/>
      <c r="FF36" s="841">
        <v>0</v>
      </c>
      <c r="FG36" s="842"/>
      <c r="FH36" s="1281">
        <v>0</v>
      </c>
      <c r="FI36" s="642"/>
      <c r="FJ36" s="834"/>
      <c r="FK36" s="635"/>
      <c r="FL36" s="635"/>
      <c r="FM36" s="636" t="s">
        <v>410</v>
      </c>
      <c r="FN36" s="635"/>
      <c r="FO36" s="635"/>
      <c r="FP36" s="643"/>
      <c r="FQ36" s="1280"/>
      <c r="FR36" s="1279">
        <v>0</v>
      </c>
      <c r="FS36" s="1282"/>
      <c r="FT36" s="1280"/>
      <c r="FU36" s="1283">
        <v>0</v>
      </c>
      <c r="FV36" s="586"/>
      <c r="FW36" s="587"/>
      <c r="FX36" s="799"/>
      <c r="FY36" s="589"/>
      <c r="FZ36" s="800"/>
      <c r="GA36" s="591"/>
      <c r="GB36" s="801"/>
      <c r="GC36" s="593"/>
      <c r="GD36" s="801"/>
      <c r="GE36" s="594"/>
      <c r="GF36" s="647"/>
      <c r="GG36" s="648"/>
      <c r="GH36" s="648"/>
      <c r="GI36" s="648"/>
      <c r="GJ36" s="523"/>
      <c r="GK36" s="821" t="s">
        <v>500</v>
      </c>
      <c r="GL36" s="821"/>
      <c r="GM36" s="821"/>
      <c r="GN36" s="821"/>
      <c r="GO36" s="821"/>
      <c r="GP36" s="821"/>
      <c r="GQ36" s="608">
        <v>10</v>
      </c>
      <c r="GR36" s="572" t="s">
        <v>479</v>
      </c>
      <c r="GS36" s="523"/>
      <c r="GT36" s="756"/>
      <c r="GU36" s="822"/>
      <c r="GV36" s="823"/>
      <c r="GW36" s="824"/>
      <c r="GX36" s="626"/>
      <c r="GY36" s="626"/>
      <c r="GZ36" s="626"/>
      <c r="HA36" s="626"/>
      <c r="HB36" s="627"/>
      <c r="HC36" s="523"/>
      <c r="HD36" s="641"/>
      <c r="HE36" s="412"/>
      <c r="HF36" s="412"/>
    </row>
    <row r="37" spans="1:219" ht="24" customHeight="1">
      <c r="A37" s="846" t="s">
        <v>419</v>
      </c>
      <c r="B37" s="847"/>
      <c r="C37" s="848" t="s">
        <v>417</v>
      </c>
      <c r="D37" s="849"/>
      <c r="E37" s="850" t="s">
        <v>413</v>
      </c>
      <c r="F37" s="851"/>
      <c r="G37" s="655" t="s">
        <v>404</v>
      </c>
      <c r="H37" s="656" t="s">
        <v>294</v>
      </c>
      <c r="I37" s="657" t="s">
        <v>405</v>
      </c>
      <c r="J37" s="656" t="s">
        <v>415</v>
      </c>
      <c r="K37" s="657" t="s">
        <v>405</v>
      </c>
      <c r="L37" s="656" t="s">
        <v>416</v>
      </c>
      <c r="M37" s="657" t="s">
        <v>405</v>
      </c>
      <c r="N37" s="656" t="s">
        <v>416</v>
      </c>
      <c r="O37" s="657" t="s">
        <v>404</v>
      </c>
      <c r="P37" s="656" t="s">
        <v>415</v>
      </c>
      <c r="Q37" s="657" t="s">
        <v>404</v>
      </c>
      <c r="R37" s="656" t="s">
        <v>415</v>
      </c>
      <c r="S37" s="657" t="s">
        <v>405</v>
      </c>
      <c r="T37" s="656" t="s">
        <v>416</v>
      </c>
      <c r="U37" s="657" t="s">
        <v>404</v>
      </c>
      <c r="V37" s="656" t="s">
        <v>415</v>
      </c>
      <c r="W37" s="657" t="s">
        <v>404</v>
      </c>
      <c r="X37" s="656" t="s">
        <v>415</v>
      </c>
      <c r="Y37" s="657" t="s">
        <v>404</v>
      </c>
      <c r="Z37" s="656" t="s">
        <v>416</v>
      </c>
      <c r="AA37" s="657" t="s">
        <v>405</v>
      </c>
      <c r="AB37" s="656" t="s">
        <v>416</v>
      </c>
      <c r="AC37" s="657" t="s">
        <v>404</v>
      </c>
      <c r="AD37" s="656" t="s">
        <v>415</v>
      </c>
      <c r="AE37" s="657" t="s">
        <v>404</v>
      </c>
      <c r="AF37" s="656" t="s">
        <v>415</v>
      </c>
      <c r="AG37" s="657" t="s">
        <v>404</v>
      </c>
      <c r="AH37" s="656" t="s">
        <v>415</v>
      </c>
      <c r="AI37" s="657" t="s">
        <v>405</v>
      </c>
      <c r="AJ37" s="656" t="s">
        <v>415</v>
      </c>
      <c r="AK37" s="657" t="s">
        <v>405</v>
      </c>
      <c r="AL37" s="656" t="s">
        <v>416</v>
      </c>
      <c r="AM37" s="657" t="s">
        <v>404</v>
      </c>
      <c r="AN37" s="656" t="s">
        <v>416</v>
      </c>
      <c r="AO37" s="657" t="s">
        <v>404</v>
      </c>
      <c r="AP37" s="656" t="s">
        <v>416</v>
      </c>
      <c r="AQ37" s="657" t="s">
        <v>405</v>
      </c>
      <c r="AR37" s="656" t="s">
        <v>416</v>
      </c>
      <c r="AS37" s="657" t="s">
        <v>405</v>
      </c>
      <c r="AT37" s="656" t="s">
        <v>415</v>
      </c>
      <c r="AU37" s="657" t="s">
        <v>405</v>
      </c>
      <c r="AV37" s="656" t="s">
        <v>416</v>
      </c>
      <c r="AW37" s="657" t="s">
        <v>405</v>
      </c>
      <c r="AX37" s="656" t="s">
        <v>416</v>
      </c>
      <c r="AY37" s="657" t="s">
        <v>404</v>
      </c>
      <c r="AZ37" s="656" t="s">
        <v>415</v>
      </c>
      <c r="BA37" s="657" t="s">
        <v>405</v>
      </c>
      <c r="BB37" s="658" t="s">
        <v>415</v>
      </c>
      <c r="BC37" s="716"/>
      <c r="BD37" s="846" t="s">
        <v>411</v>
      </c>
      <c r="BE37" s="847"/>
      <c r="BF37" s="848" t="s">
        <v>417</v>
      </c>
      <c r="BG37" s="849"/>
      <c r="BH37" s="850" t="s">
        <v>413</v>
      </c>
      <c r="BI37" s="851"/>
      <c r="BJ37" s="655" t="s">
        <v>404</v>
      </c>
      <c r="BK37" s="656" t="s">
        <v>294</v>
      </c>
      <c r="BL37" s="657" t="s">
        <v>404</v>
      </c>
      <c r="BM37" s="656" t="s">
        <v>415</v>
      </c>
      <c r="BN37" s="657" t="s">
        <v>404</v>
      </c>
      <c r="BO37" s="656" t="s">
        <v>416</v>
      </c>
      <c r="BP37" s="657" t="s">
        <v>405</v>
      </c>
      <c r="BQ37" s="656" t="s">
        <v>416</v>
      </c>
      <c r="BR37" s="657" t="s">
        <v>405</v>
      </c>
      <c r="BS37" s="656" t="s">
        <v>416</v>
      </c>
      <c r="BT37" s="657" t="s">
        <v>404</v>
      </c>
      <c r="BU37" s="656" t="s">
        <v>416</v>
      </c>
      <c r="BV37" s="657" t="s">
        <v>405</v>
      </c>
      <c r="BW37" s="656" t="s">
        <v>415</v>
      </c>
      <c r="BX37" s="657" t="s">
        <v>405</v>
      </c>
      <c r="BY37" s="656" t="s">
        <v>416</v>
      </c>
      <c r="BZ37" s="657" t="s">
        <v>404</v>
      </c>
      <c r="CA37" s="656" t="s">
        <v>415</v>
      </c>
      <c r="CB37" s="657" t="s">
        <v>404</v>
      </c>
      <c r="CC37" s="656" t="s">
        <v>416</v>
      </c>
      <c r="CD37" s="657" t="s">
        <v>405</v>
      </c>
      <c r="CE37" s="656" t="s">
        <v>416</v>
      </c>
      <c r="CF37" s="657" t="s">
        <v>405</v>
      </c>
      <c r="CG37" s="656" t="s">
        <v>416</v>
      </c>
      <c r="CH37" s="657" t="s">
        <v>405</v>
      </c>
      <c r="CI37" s="656" t="s">
        <v>415</v>
      </c>
      <c r="CJ37" s="657" t="s">
        <v>405</v>
      </c>
      <c r="CK37" s="656" t="s">
        <v>415</v>
      </c>
      <c r="CL37" s="657" t="s">
        <v>404</v>
      </c>
      <c r="CM37" s="656" t="s">
        <v>416</v>
      </c>
      <c r="CN37" s="657" t="s">
        <v>404</v>
      </c>
      <c r="CO37" s="656" t="s">
        <v>416</v>
      </c>
      <c r="CP37" s="657" t="s">
        <v>404</v>
      </c>
      <c r="CQ37" s="656" t="s">
        <v>415</v>
      </c>
      <c r="CR37" s="657" t="s">
        <v>404</v>
      </c>
      <c r="CS37" s="656" t="s">
        <v>415</v>
      </c>
      <c r="CT37" s="657" t="s">
        <v>405</v>
      </c>
      <c r="CU37" s="656" t="s">
        <v>415</v>
      </c>
      <c r="CV37" s="657" t="s">
        <v>404</v>
      </c>
      <c r="CW37" s="656" t="s">
        <v>415</v>
      </c>
      <c r="CX37" s="657" t="s">
        <v>404</v>
      </c>
      <c r="CY37" s="656" t="s">
        <v>416</v>
      </c>
      <c r="CZ37" s="657" t="s">
        <v>405</v>
      </c>
      <c r="DA37" s="656" t="s">
        <v>415</v>
      </c>
      <c r="DB37" s="657" t="s">
        <v>405</v>
      </c>
      <c r="DC37" s="656" t="s">
        <v>416</v>
      </c>
      <c r="DD37" s="657" t="s">
        <v>405</v>
      </c>
      <c r="DE37" s="658" t="s">
        <v>416</v>
      </c>
      <c r="DF37" s="716"/>
      <c r="DG37" s="846" t="s">
        <v>411</v>
      </c>
      <c r="DH37" s="847"/>
      <c r="DI37" s="848" t="s">
        <v>412</v>
      </c>
      <c r="DJ37" s="849"/>
      <c r="DK37" s="850" t="s">
        <v>418</v>
      </c>
      <c r="DL37" s="851"/>
      <c r="DM37" s="655" t="s">
        <v>405</v>
      </c>
      <c r="DN37" s="656" t="s">
        <v>294</v>
      </c>
      <c r="DO37" s="657" t="s">
        <v>404</v>
      </c>
      <c r="DP37" s="656" t="s">
        <v>415</v>
      </c>
      <c r="DQ37" s="657" t="s">
        <v>404</v>
      </c>
      <c r="DR37" s="656" t="s">
        <v>415</v>
      </c>
      <c r="DS37" s="657" t="s">
        <v>404</v>
      </c>
      <c r="DT37" s="656" t="s">
        <v>416</v>
      </c>
      <c r="DU37" s="657" t="s">
        <v>404</v>
      </c>
      <c r="DV37" s="656" t="s">
        <v>415</v>
      </c>
      <c r="DW37" s="657" t="s">
        <v>405</v>
      </c>
      <c r="DX37" s="656" t="s">
        <v>415</v>
      </c>
      <c r="DY37" s="657" t="s">
        <v>404</v>
      </c>
      <c r="DZ37" s="656" t="s">
        <v>416</v>
      </c>
      <c r="EA37" s="657" t="s">
        <v>405</v>
      </c>
      <c r="EB37" s="656" t="s">
        <v>416</v>
      </c>
      <c r="EC37" s="657" t="s">
        <v>404</v>
      </c>
      <c r="ED37" s="656" t="s">
        <v>416</v>
      </c>
      <c r="EE37" s="657" t="s">
        <v>404</v>
      </c>
      <c r="EF37" s="656" t="s">
        <v>415</v>
      </c>
      <c r="EG37" s="657" t="s">
        <v>404</v>
      </c>
      <c r="EH37" s="656" t="s">
        <v>415</v>
      </c>
      <c r="EI37" s="657" t="s">
        <v>405</v>
      </c>
      <c r="EJ37" s="656" t="s">
        <v>415</v>
      </c>
      <c r="EK37" s="657" t="s">
        <v>405</v>
      </c>
      <c r="EL37" s="656" t="s">
        <v>416</v>
      </c>
      <c r="EM37" s="657" t="s">
        <v>404</v>
      </c>
      <c r="EN37" s="656" t="s">
        <v>416</v>
      </c>
      <c r="EO37" s="657" t="s">
        <v>404</v>
      </c>
      <c r="EP37" s="656" t="s">
        <v>416</v>
      </c>
      <c r="EQ37" s="657" t="s">
        <v>405</v>
      </c>
      <c r="ER37" s="656" t="s">
        <v>416</v>
      </c>
      <c r="ES37" s="657" t="s">
        <v>405</v>
      </c>
      <c r="ET37" s="656" t="s">
        <v>415</v>
      </c>
      <c r="EU37" s="657" t="s">
        <v>405</v>
      </c>
      <c r="EV37" s="656" t="s">
        <v>416</v>
      </c>
      <c r="EW37" s="657" t="s">
        <v>405</v>
      </c>
      <c r="EX37" s="656" t="s">
        <v>416</v>
      </c>
      <c r="EY37" s="657" t="s">
        <v>404</v>
      </c>
      <c r="EZ37" s="656" t="s">
        <v>415</v>
      </c>
      <c r="FA37" s="657" t="s">
        <v>405</v>
      </c>
      <c r="FB37" s="656" t="s">
        <v>415</v>
      </c>
      <c r="FC37" s="657" t="s">
        <v>404</v>
      </c>
      <c r="FD37" s="656" t="s">
        <v>415</v>
      </c>
      <c r="FE37" s="657" t="s">
        <v>404</v>
      </c>
      <c r="FF37" s="656" t="s">
        <v>415</v>
      </c>
      <c r="FG37" s="657" t="s">
        <v>405</v>
      </c>
      <c r="FH37" s="658" t="s">
        <v>415</v>
      </c>
      <c r="FI37" s="739"/>
      <c r="FJ37" s="820" t="s">
        <v>411</v>
      </c>
      <c r="FK37" s="847"/>
      <c r="FL37" s="848" t="s">
        <v>417</v>
      </c>
      <c r="FM37" s="849"/>
      <c r="FN37" s="850" t="s">
        <v>413</v>
      </c>
      <c r="FO37" s="851"/>
      <c r="FP37" s="665"/>
      <c r="FQ37" s="852" t="s">
        <v>295</v>
      </c>
      <c r="FR37" s="656" t="s">
        <v>415</v>
      </c>
      <c r="FS37" s="667"/>
      <c r="FT37" s="852" t="s">
        <v>295</v>
      </c>
      <c r="FU37" s="668" t="s">
        <v>415</v>
      </c>
      <c r="FV37" s="586"/>
      <c r="FW37" s="587"/>
      <c r="FX37" s="799"/>
      <c r="FY37" s="589"/>
      <c r="FZ37" s="800"/>
      <c r="GA37" s="591"/>
      <c r="GB37" s="801"/>
      <c r="GC37" s="593"/>
      <c r="GD37" s="801"/>
      <c r="GE37" s="594"/>
      <c r="GF37" s="853"/>
      <c r="GG37" s="743"/>
      <c r="GH37" s="743"/>
      <c r="GI37" s="743"/>
      <c r="GJ37" s="523"/>
      <c r="GK37" s="410"/>
      <c r="GL37" s="573"/>
      <c r="GM37" s="410"/>
      <c r="GN37" s="573"/>
      <c r="GO37" s="410"/>
      <c r="GP37" s="410"/>
      <c r="GQ37" s="410"/>
      <c r="GR37" s="410"/>
      <c r="GS37" s="523"/>
      <c r="GT37" s="854"/>
      <c r="GU37" s="822"/>
      <c r="GV37" s="823"/>
      <c r="GW37" s="824"/>
      <c r="GX37" s="626"/>
      <c r="GY37" s="626"/>
      <c r="GZ37" s="626"/>
      <c r="HA37" s="626"/>
      <c r="HB37" s="627"/>
      <c r="HC37" s="523"/>
      <c r="HD37" s="716"/>
      <c r="HE37" s="412"/>
      <c r="HF37" s="412"/>
    </row>
    <row r="38" spans="1:219" ht="20.100000000000001" customHeight="1">
      <c r="A38" s="855"/>
      <c r="B38" s="856" t="s">
        <v>567</v>
      </c>
      <c r="C38" s="857"/>
      <c r="D38" s="858"/>
      <c r="E38" s="859"/>
      <c r="F38" s="860"/>
      <c r="G38" s="675"/>
      <c r="H38" s="861">
        <v>0</v>
      </c>
      <c r="I38" s="676"/>
      <c r="J38" s="861">
        <v>0</v>
      </c>
      <c r="K38" s="676"/>
      <c r="L38" s="861">
        <v>0</v>
      </c>
      <c r="M38" s="676"/>
      <c r="N38" s="861">
        <v>0</v>
      </c>
      <c r="O38" s="676"/>
      <c r="P38" s="861">
        <v>0</v>
      </c>
      <c r="Q38" s="676"/>
      <c r="R38" s="861">
        <v>0</v>
      </c>
      <c r="S38" s="676"/>
      <c r="T38" s="861">
        <v>0</v>
      </c>
      <c r="U38" s="676"/>
      <c r="V38" s="861">
        <v>0</v>
      </c>
      <c r="W38" s="676"/>
      <c r="X38" s="861">
        <v>0</v>
      </c>
      <c r="Y38" s="676"/>
      <c r="Z38" s="861">
        <v>0</v>
      </c>
      <c r="AA38" s="676"/>
      <c r="AB38" s="861">
        <v>0</v>
      </c>
      <c r="AC38" s="676"/>
      <c r="AD38" s="861">
        <v>0</v>
      </c>
      <c r="AE38" s="676"/>
      <c r="AF38" s="861">
        <v>0</v>
      </c>
      <c r="AG38" s="676"/>
      <c r="AH38" s="861">
        <v>0</v>
      </c>
      <c r="AI38" s="676"/>
      <c r="AJ38" s="861">
        <v>0</v>
      </c>
      <c r="AK38" s="676"/>
      <c r="AL38" s="861">
        <v>0</v>
      </c>
      <c r="AM38" s="676"/>
      <c r="AN38" s="861">
        <v>0</v>
      </c>
      <c r="AO38" s="676"/>
      <c r="AP38" s="861">
        <v>0</v>
      </c>
      <c r="AQ38" s="676"/>
      <c r="AR38" s="861">
        <v>0</v>
      </c>
      <c r="AS38" s="676"/>
      <c r="AT38" s="861">
        <v>0</v>
      </c>
      <c r="AU38" s="676"/>
      <c r="AV38" s="861">
        <v>0</v>
      </c>
      <c r="AW38" s="676"/>
      <c r="AX38" s="861">
        <v>0</v>
      </c>
      <c r="AY38" s="676"/>
      <c r="AZ38" s="861">
        <v>0</v>
      </c>
      <c r="BA38" s="676"/>
      <c r="BB38" s="862">
        <v>0</v>
      </c>
      <c r="BC38" s="555"/>
      <c r="BD38" s="855"/>
      <c r="BE38" s="856" t="s">
        <v>421</v>
      </c>
      <c r="BF38" s="863"/>
      <c r="BG38" s="864"/>
      <c r="BH38" s="859"/>
      <c r="BI38" s="860"/>
      <c r="BJ38" s="675"/>
      <c r="BK38" s="861">
        <v>0</v>
      </c>
      <c r="BL38" s="676"/>
      <c r="BM38" s="861">
        <v>0</v>
      </c>
      <c r="BN38" s="676"/>
      <c r="BO38" s="861">
        <v>0</v>
      </c>
      <c r="BP38" s="676"/>
      <c r="BQ38" s="861">
        <v>0</v>
      </c>
      <c r="BR38" s="676"/>
      <c r="BS38" s="861">
        <v>0</v>
      </c>
      <c r="BT38" s="676"/>
      <c r="BU38" s="861">
        <v>0</v>
      </c>
      <c r="BV38" s="676"/>
      <c r="BW38" s="861">
        <v>0</v>
      </c>
      <c r="BX38" s="676"/>
      <c r="BY38" s="861">
        <v>0</v>
      </c>
      <c r="BZ38" s="676"/>
      <c r="CA38" s="861">
        <v>0</v>
      </c>
      <c r="CB38" s="676"/>
      <c r="CC38" s="861">
        <v>0</v>
      </c>
      <c r="CD38" s="676"/>
      <c r="CE38" s="861">
        <v>0</v>
      </c>
      <c r="CF38" s="676"/>
      <c r="CG38" s="861">
        <v>0</v>
      </c>
      <c r="CH38" s="676"/>
      <c r="CI38" s="861">
        <v>0</v>
      </c>
      <c r="CJ38" s="676"/>
      <c r="CK38" s="861">
        <v>0</v>
      </c>
      <c r="CL38" s="676"/>
      <c r="CM38" s="861">
        <v>0</v>
      </c>
      <c r="CN38" s="676"/>
      <c r="CO38" s="861">
        <v>0</v>
      </c>
      <c r="CP38" s="676"/>
      <c r="CQ38" s="861">
        <v>0</v>
      </c>
      <c r="CR38" s="676"/>
      <c r="CS38" s="861">
        <v>0</v>
      </c>
      <c r="CT38" s="676"/>
      <c r="CU38" s="861">
        <v>0</v>
      </c>
      <c r="CV38" s="676"/>
      <c r="CW38" s="861">
        <v>0</v>
      </c>
      <c r="CX38" s="676"/>
      <c r="CY38" s="861">
        <v>0</v>
      </c>
      <c r="CZ38" s="676"/>
      <c r="DA38" s="861">
        <v>0</v>
      </c>
      <c r="DB38" s="676"/>
      <c r="DC38" s="861">
        <v>0</v>
      </c>
      <c r="DD38" s="676"/>
      <c r="DE38" s="862">
        <v>0</v>
      </c>
      <c r="DF38" s="555"/>
      <c r="DG38" s="855"/>
      <c r="DH38" s="856" t="s">
        <v>421</v>
      </c>
      <c r="DI38" s="863"/>
      <c r="DJ38" s="864"/>
      <c r="DK38" s="859"/>
      <c r="DL38" s="860"/>
      <c r="DM38" s="675"/>
      <c r="DN38" s="861">
        <v>0</v>
      </c>
      <c r="DO38" s="676"/>
      <c r="DP38" s="861">
        <v>0</v>
      </c>
      <c r="DQ38" s="676"/>
      <c r="DR38" s="861">
        <v>0</v>
      </c>
      <c r="DS38" s="676"/>
      <c r="DT38" s="861">
        <v>0</v>
      </c>
      <c r="DU38" s="676"/>
      <c r="DV38" s="861">
        <v>0</v>
      </c>
      <c r="DW38" s="676"/>
      <c r="DX38" s="861">
        <v>0</v>
      </c>
      <c r="DY38" s="676"/>
      <c r="DZ38" s="861">
        <v>0</v>
      </c>
      <c r="EA38" s="676"/>
      <c r="EB38" s="861">
        <v>0</v>
      </c>
      <c r="EC38" s="676"/>
      <c r="ED38" s="861">
        <v>0</v>
      </c>
      <c r="EE38" s="676"/>
      <c r="EF38" s="861">
        <v>0</v>
      </c>
      <c r="EG38" s="676"/>
      <c r="EH38" s="861">
        <v>0</v>
      </c>
      <c r="EI38" s="676"/>
      <c r="EJ38" s="861">
        <v>0</v>
      </c>
      <c r="EK38" s="676"/>
      <c r="EL38" s="861">
        <v>0</v>
      </c>
      <c r="EM38" s="676"/>
      <c r="EN38" s="861">
        <v>0</v>
      </c>
      <c r="EO38" s="676"/>
      <c r="EP38" s="861">
        <v>0</v>
      </c>
      <c r="EQ38" s="676"/>
      <c r="ER38" s="861">
        <v>0</v>
      </c>
      <c r="ES38" s="676"/>
      <c r="ET38" s="861">
        <v>0</v>
      </c>
      <c r="EU38" s="676"/>
      <c r="EV38" s="861">
        <v>0</v>
      </c>
      <c r="EW38" s="676"/>
      <c r="EX38" s="861">
        <v>0</v>
      </c>
      <c r="EY38" s="676"/>
      <c r="EZ38" s="861">
        <v>0</v>
      </c>
      <c r="FA38" s="676"/>
      <c r="FB38" s="861">
        <v>0</v>
      </c>
      <c r="FC38" s="676"/>
      <c r="FD38" s="861">
        <v>0</v>
      </c>
      <c r="FE38" s="676"/>
      <c r="FF38" s="861">
        <v>0</v>
      </c>
      <c r="FG38" s="676"/>
      <c r="FH38" s="862">
        <v>0</v>
      </c>
      <c r="FI38" s="556"/>
      <c r="FJ38" s="820"/>
      <c r="FK38" s="856" t="s">
        <v>421</v>
      </c>
      <c r="FL38" s="857"/>
      <c r="FM38" s="858"/>
      <c r="FN38" s="859">
        <v>0</v>
      </c>
      <c r="FO38" s="860"/>
      <c r="FP38" s="678"/>
      <c r="FQ38" s="679"/>
      <c r="FR38" s="552">
        <v>0</v>
      </c>
      <c r="FS38" s="680"/>
      <c r="FT38" s="679"/>
      <c r="FU38" s="560">
        <v>0</v>
      </c>
      <c r="FV38" s="586"/>
      <c r="FW38" s="587"/>
      <c r="FX38" s="799"/>
      <c r="FY38" s="589"/>
      <c r="FZ38" s="800"/>
      <c r="GA38" s="591"/>
      <c r="GB38" s="801"/>
      <c r="GC38" s="593"/>
      <c r="GD38" s="801"/>
      <c r="GE38" s="594"/>
      <c r="GF38" s="681"/>
      <c r="GG38" s="595"/>
      <c r="GH38" s="595"/>
      <c r="GI38" s="595"/>
      <c r="GJ38" s="573"/>
      <c r="GK38" s="410" t="s">
        <v>501</v>
      </c>
      <c r="GL38" s="406"/>
      <c r="GM38" s="410"/>
      <c r="GN38" s="406"/>
      <c r="GO38" s="410"/>
      <c r="GP38" s="410"/>
      <c r="GQ38" s="410"/>
      <c r="GR38" s="410"/>
      <c r="GS38" s="573"/>
      <c r="GT38" s="854"/>
      <c r="GU38" s="865" t="s">
        <v>472</v>
      </c>
      <c r="GV38" s="866"/>
      <c r="GW38" s="866"/>
      <c r="GX38" s="866"/>
      <c r="GY38" s="866"/>
      <c r="GZ38" s="867"/>
      <c r="HA38" s="626">
        <v>126.24000000000001</v>
      </c>
      <c r="HB38" s="868">
        <v>91</v>
      </c>
      <c r="HC38" s="523"/>
      <c r="HD38" s="523"/>
      <c r="HE38" s="384"/>
      <c r="HF38" s="384"/>
      <c r="HK38" s="412"/>
    </row>
    <row r="39" spans="1:219" ht="20.100000000000001" customHeight="1">
      <c r="A39" s="825"/>
      <c r="B39" s="869" t="s">
        <v>424</v>
      </c>
      <c r="C39" s="870"/>
      <c r="D39" s="871"/>
      <c r="E39" s="872"/>
      <c r="F39" s="873"/>
      <c r="G39" s="687"/>
      <c r="H39" s="874">
        <v>0</v>
      </c>
      <c r="I39" s="688"/>
      <c r="J39" s="874">
        <v>0</v>
      </c>
      <c r="K39" s="688"/>
      <c r="L39" s="874">
        <v>0</v>
      </c>
      <c r="M39" s="688"/>
      <c r="N39" s="874">
        <v>0</v>
      </c>
      <c r="O39" s="688"/>
      <c r="P39" s="874">
        <v>0</v>
      </c>
      <c r="Q39" s="688"/>
      <c r="R39" s="874">
        <v>0</v>
      </c>
      <c r="S39" s="688"/>
      <c r="T39" s="874">
        <v>0</v>
      </c>
      <c r="U39" s="688"/>
      <c r="V39" s="874">
        <v>0</v>
      </c>
      <c r="W39" s="688"/>
      <c r="X39" s="874">
        <v>0</v>
      </c>
      <c r="Y39" s="688"/>
      <c r="Z39" s="874">
        <v>0</v>
      </c>
      <c r="AA39" s="688"/>
      <c r="AB39" s="874">
        <v>0</v>
      </c>
      <c r="AC39" s="688"/>
      <c r="AD39" s="874">
        <v>0</v>
      </c>
      <c r="AE39" s="688"/>
      <c r="AF39" s="874">
        <v>0</v>
      </c>
      <c r="AG39" s="688"/>
      <c r="AH39" s="874">
        <v>0</v>
      </c>
      <c r="AI39" s="688"/>
      <c r="AJ39" s="874">
        <v>0</v>
      </c>
      <c r="AK39" s="688"/>
      <c r="AL39" s="874">
        <v>0</v>
      </c>
      <c r="AM39" s="688"/>
      <c r="AN39" s="874">
        <v>0</v>
      </c>
      <c r="AO39" s="688"/>
      <c r="AP39" s="874">
        <v>0</v>
      </c>
      <c r="AQ39" s="688"/>
      <c r="AR39" s="874">
        <v>0</v>
      </c>
      <c r="AS39" s="688"/>
      <c r="AT39" s="874">
        <v>0</v>
      </c>
      <c r="AU39" s="688"/>
      <c r="AV39" s="874">
        <v>0</v>
      </c>
      <c r="AW39" s="688"/>
      <c r="AX39" s="874">
        <v>0</v>
      </c>
      <c r="AY39" s="688"/>
      <c r="AZ39" s="874">
        <v>0</v>
      </c>
      <c r="BA39" s="688"/>
      <c r="BB39" s="875">
        <v>0</v>
      </c>
      <c r="BC39" s="555"/>
      <c r="BD39" s="825"/>
      <c r="BE39" s="869" t="s">
        <v>423</v>
      </c>
      <c r="BF39" s="876"/>
      <c r="BG39" s="877"/>
      <c r="BH39" s="872"/>
      <c r="BI39" s="873"/>
      <c r="BJ39" s="687"/>
      <c r="BK39" s="874">
        <v>0</v>
      </c>
      <c r="BL39" s="688"/>
      <c r="BM39" s="874">
        <v>0</v>
      </c>
      <c r="BN39" s="688"/>
      <c r="BO39" s="874">
        <v>0</v>
      </c>
      <c r="BP39" s="688"/>
      <c r="BQ39" s="874">
        <v>0</v>
      </c>
      <c r="BR39" s="688"/>
      <c r="BS39" s="874">
        <v>0</v>
      </c>
      <c r="BT39" s="688"/>
      <c r="BU39" s="874">
        <v>0</v>
      </c>
      <c r="BV39" s="688"/>
      <c r="BW39" s="874">
        <v>0</v>
      </c>
      <c r="BX39" s="688"/>
      <c r="BY39" s="874">
        <v>0</v>
      </c>
      <c r="BZ39" s="688"/>
      <c r="CA39" s="874">
        <v>0</v>
      </c>
      <c r="CB39" s="688"/>
      <c r="CC39" s="874">
        <v>0</v>
      </c>
      <c r="CD39" s="688"/>
      <c r="CE39" s="874">
        <v>0</v>
      </c>
      <c r="CF39" s="688"/>
      <c r="CG39" s="874">
        <v>0</v>
      </c>
      <c r="CH39" s="688"/>
      <c r="CI39" s="874">
        <v>0</v>
      </c>
      <c r="CJ39" s="688"/>
      <c r="CK39" s="874">
        <v>0</v>
      </c>
      <c r="CL39" s="688"/>
      <c r="CM39" s="874">
        <v>0</v>
      </c>
      <c r="CN39" s="688"/>
      <c r="CO39" s="874">
        <v>0</v>
      </c>
      <c r="CP39" s="688"/>
      <c r="CQ39" s="874">
        <v>0</v>
      </c>
      <c r="CR39" s="688"/>
      <c r="CS39" s="874">
        <v>0</v>
      </c>
      <c r="CT39" s="688"/>
      <c r="CU39" s="874">
        <v>0</v>
      </c>
      <c r="CV39" s="688"/>
      <c r="CW39" s="874">
        <v>0</v>
      </c>
      <c r="CX39" s="688"/>
      <c r="CY39" s="874">
        <v>0</v>
      </c>
      <c r="CZ39" s="688"/>
      <c r="DA39" s="874">
        <v>0</v>
      </c>
      <c r="DB39" s="688"/>
      <c r="DC39" s="874">
        <v>0</v>
      </c>
      <c r="DD39" s="688"/>
      <c r="DE39" s="875">
        <v>0</v>
      </c>
      <c r="DF39" s="555"/>
      <c r="DG39" s="825"/>
      <c r="DH39" s="869" t="s">
        <v>423</v>
      </c>
      <c r="DI39" s="876"/>
      <c r="DJ39" s="877"/>
      <c r="DK39" s="872"/>
      <c r="DL39" s="873"/>
      <c r="DM39" s="687"/>
      <c r="DN39" s="874">
        <v>0</v>
      </c>
      <c r="DO39" s="688"/>
      <c r="DP39" s="874">
        <v>0</v>
      </c>
      <c r="DQ39" s="688"/>
      <c r="DR39" s="874">
        <v>0</v>
      </c>
      <c r="DS39" s="688"/>
      <c r="DT39" s="874">
        <v>0</v>
      </c>
      <c r="DU39" s="688"/>
      <c r="DV39" s="874">
        <v>0</v>
      </c>
      <c r="DW39" s="688"/>
      <c r="DX39" s="874">
        <v>0</v>
      </c>
      <c r="DY39" s="688"/>
      <c r="DZ39" s="874">
        <v>0</v>
      </c>
      <c r="EA39" s="688"/>
      <c r="EB39" s="874">
        <v>0</v>
      </c>
      <c r="EC39" s="688"/>
      <c r="ED39" s="874">
        <v>0</v>
      </c>
      <c r="EE39" s="688"/>
      <c r="EF39" s="874">
        <v>0</v>
      </c>
      <c r="EG39" s="688"/>
      <c r="EH39" s="874">
        <v>0</v>
      </c>
      <c r="EI39" s="688"/>
      <c r="EJ39" s="874">
        <v>0</v>
      </c>
      <c r="EK39" s="688"/>
      <c r="EL39" s="874">
        <v>0</v>
      </c>
      <c r="EM39" s="688"/>
      <c r="EN39" s="874">
        <v>0</v>
      </c>
      <c r="EO39" s="688"/>
      <c r="EP39" s="874">
        <v>0</v>
      </c>
      <c r="EQ39" s="688"/>
      <c r="ER39" s="874">
        <v>0</v>
      </c>
      <c r="ES39" s="688"/>
      <c r="ET39" s="874">
        <v>0</v>
      </c>
      <c r="EU39" s="688"/>
      <c r="EV39" s="874">
        <v>0</v>
      </c>
      <c r="EW39" s="688"/>
      <c r="EX39" s="874">
        <v>0</v>
      </c>
      <c r="EY39" s="688"/>
      <c r="EZ39" s="874">
        <v>0</v>
      </c>
      <c r="FA39" s="688"/>
      <c r="FB39" s="874">
        <v>0</v>
      </c>
      <c r="FC39" s="688"/>
      <c r="FD39" s="874">
        <v>0</v>
      </c>
      <c r="FE39" s="688"/>
      <c r="FF39" s="874">
        <v>0</v>
      </c>
      <c r="FG39" s="688"/>
      <c r="FH39" s="875">
        <v>0</v>
      </c>
      <c r="FI39" s="556"/>
      <c r="FJ39" s="834"/>
      <c r="FK39" s="869" t="s">
        <v>423</v>
      </c>
      <c r="FL39" s="870"/>
      <c r="FM39" s="871"/>
      <c r="FN39" s="872">
        <v>0</v>
      </c>
      <c r="FO39" s="873"/>
      <c r="FP39" s="689"/>
      <c r="FQ39" s="690"/>
      <c r="FR39" s="580">
        <v>0</v>
      </c>
      <c r="FS39" s="691"/>
      <c r="FT39" s="690"/>
      <c r="FU39" s="585">
        <v>0</v>
      </c>
      <c r="FV39" s="586"/>
      <c r="FW39" s="587"/>
      <c r="FX39" s="799"/>
      <c r="FY39" s="589"/>
      <c r="FZ39" s="800"/>
      <c r="GA39" s="591"/>
      <c r="GB39" s="801"/>
      <c r="GC39" s="593"/>
      <c r="GD39" s="801"/>
      <c r="GE39" s="594"/>
      <c r="GF39" s="681"/>
      <c r="GG39" s="595"/>
      <c r="GH39" s="595"/>
      <c r="GI39" s="595"/>
      <c r="GJ39" s="406"/>
      <c r="GK39" s="878"/>
      <c r="GL39" s="879"/>
      <c r="GM39" s="880" t="s">
        <v>591</v>
      </c>
      <c r="GN39" s="879"/>
      <c r="GO39" s="880" t="s">
        <v>592</v>
      </c>
      <c r="GP39" s="879"/>
      <c r="GQ39" s="880" t="s">
        <v>521</v>
      </c>
      <c r="GR39" s="881"/>
      <c r="GS39" s="410"/>
      <c r="GT39" s="682"/>
      <c r="GU39" s="523" t="s">
        <v>296</v>
      </c>
      <c r="GV39" s="523"/>
      <c r="GW39" s="523"/>
      <c r="GX39" s="523"/>
      <c r="GY39" s="523"/>
      <c r="GZ39" s="523"/>
      <c r="HA39" s="683">
        <v>1.39</v>
      </c>
      <c r="HB39" s="572"/>
      <c r="HC39" s="523"/>
      <c r="HD39" s="555"/>
    </row>
    <row r="40" spans="1:219" ht="20.100000000000001" customHeight="1">
      <c r="A40" s="882"/>
      <c r="B40" s="635"/>
      <c r="C40" s="635"/>
      <c r="D40" s="636" t="s">
        <v>425</v>
      </c>
      <c r="E40" s="635"/>
      <c r="F40" s="635"/>
      <c r="G40" s="838"/>
      <c r="H40" s="1279">
        <v>0</v>
      </c>
      <c r="I40" s="1280"/>
      <c r="J40" s="841">
        <v>0</v>
      </c>
      <c r="K40" s="842"/>
      <c r="L40" s="841">
        <v>0</v>
      </c>
      <c r="M40" s="842"/>
      <c r="N40" s="841">
        <v>0</v>
      </c>
      <c r="O40" s="842"/>
      <c r="P40" s="841">
        <v>0</v>
      </c>
      <c r="Q40" s="842"/>
      <c r="R40" s="841">
        <v>0</v>
      </c>
      <c r="S40" s="842"/>
      <c r="T40" s="841">
        <v>0</v>
      </c>
      <c r="U40" s="842"/>
      <c r="V40" s="841">
        <v>0</v>
      </c>
      <c r="W40" s="842"/>
      <c r="X40" s="841">
        <v>0</v>
      </c>
      <c r="Y40" s="842"/>
      <c r="Z40" s="841">
        <v>0</v>
      </c>
      <c r="AA40" s="842"/>
      <c r="AB40" s="841">
        <v>0</v>
      </c>
      <c r="AC40" s="842"/>
      <c r="AD40" s="841">
        <v>0</v>
      </c>
      <c r="AE40" s="842"/>
      <c r="AF40" s="841">
        <v>0</v>
      </c>
      <c r="AG40" s="842"/>
      <c r="AH40" s="841">
        <v>0</v>
      </c>
      <c r="AI40" s="842"/>
      <c r="AJ40" s="841">
        <v>0</v>
      </c>
      <c r="AK40" s="842"/>
      <c r="AL40" s="841">
        <v>0</v>
      </c>
      <c r="AM40" s="842"/>
      <c r="AN40" s="841">
        <v>0</v>
      </c>
      <c r="AO40" s="842"/>
      <c r="AP40" s="841">
        <v>0</v>
      </c>
      <c r="AQ40" s="842"/>
      <c r="AR40" s="841">
        <v>0</v>
      </c>
      <c r="AS40" s="842"/>
      <c r="AT40" s="841">
        <v>0</v>
      </c>
      <c r="AU40" s="842"/>
      <c r="AV40" s="841">
        <v>0</v>
      </c>
      <c r="AW40" s="842"/>
      <c r="AX40" s="841">
        <v>0</v>
      </c>
      <c r="AY40" s="842"/>
      <c r="AZ40" s="841">
        <v>0</v>
      </c>
      <c r="BA40" s="842"/>
      <c r="BB40" s="1281">
        <v>0</v>
      </c>
      <c r="BC40" s="641"/>
      <c r="BD40" s="882"/>
      <c r="BE40" s="635"/>
      <c r="BF40" s="635"/>
      <c r="BG40" s="636" t="s">
        <v>425</v>
      </c>
      <c r="BH40" s="635"/>
      <c r="BI40" s="635"/>
      <c r="BJ40" s="838"/>
      <c r="BK40" s="1279">
        <v>0</v>
      </c>
      <c r="BL40" s="1280"/>
      <c r="BM40" s="841">
        <v>0</v>
      </c>
      <c r="BN40" s="842"/>
      <c r="BO40" s="841">
        <v>0</v>
      </c>
      <c r="BP40" s="842"/>
      <c r="BQ40" s="841">
        <v>0</v>
      </c>
      <c r="BR40" s="842"/>
      <c r="BS40" s="841">
        <v>0</v>
      </c>
      <c r="BT40" s="842"/>
      <c r="BU40" s="841">
        <v>0</v>
      </c>
      <c r="BV40" s="842"/>
      <c r="BW40" s="841">
        <v>0</v>
      </c>
      <c r="BX40" s="842"/>
      <c r="BY40" s="841">
        <v>0</v>
      </c>
      <c r="BZ40" s="842"/>
      <c r="CA40" s="841">
        <v>0</v>
      </c>
      <c r="CB40" s="842"/>
      <c r="CC40" s="841">
        <v>0</v>
      </c>
      <c r="CD40" s="842"/>
      <c r="CE40" s="841">
        <v>0</v>
      </c>
      <c r="CF40" s="842"/>
      <c r="CG40" s="841">
        <v>0</v>
      </c>
      <c r="CH40" s="842"/>
      <c r="CI40" s="841">
        <v>0</v>
      </c>
      <c r="CJ40" s="842"/>
      <c r="CK40" s="841">
        <v>0</v>
      </c>
      <c r="CL40" s="842"/>
      <c r="CM40" s="841">
        <v>0</v>
      </c>
      <c r="CN40" s="842"/>
      <c r="CO40" s="841">
        <v>0</v>
      </c>
      <c r="CP40" s="842"/>
      <c r="CQ40" s="841">
        <v>0</v>
      </c>
      <c r="CR40" s="842"/>
      <c r="CS40" s="841">
        <v>0</v>
      </c>
      <c r="CT40" s="842"/>
      <c r="CU40" s="841">
        <v>0</v>
      </c>
      <c r="CV40" s="842"/>
      <c r="CW40" s="841">
        <v>0</v>
      </c>
      <c r="CX40" s="842"/>
      <c r="CY40" s="841">
        <v>0</v>
      </c>
      <c r="CZ40" s="842"/>
      <c r="DA40" s="841">
        <v>0</v>
      </c>
      <c r="DB40" s="842"/>
      <c r="DC40" s="841">
        <v>0</v>
      </c>
      <c r="DD40" s="842"/>
      <c r="DE40" s="1281">
        <v>0</v>
      </c>
      <c r="DF40" s="641"/>
      <c r="DG40" s="882"/>
      <c r="DH40" s="635"/>
      <c r="DI40" s="635"/>
      <c r="DJ40" s="636" t="s">
        <v>425</v>
      </c>
      <c r="DK40" s="635"/>
      <c r="DL40" s="635"/>
      <c r="DM40" s="838"/>
      <c r="DN40" s="1279">
        <v>0</v>
      </c>
      <c r="DO40" s="1280"/>
      <c r="DP40" s="841">
        <v>0</v>
      </c>
      <c r="DQ40" s="842"/>
      <c r="DR40" s="841">
        <v>0</v>
      </c>
      <c r="DS40" s="842"/>
      <c r="DT40" s="841">
        <v>0</v>
      </c>
      <c r="DU40" s="842"/>
      <c r="DV40" s="841">
        <v>0</v>
      </c>
      <c r="DW40" s="842"/>
      <c r="DX40" s="841">
        <v>0</v>
      </c>
      <c r="DY40" s="842"/>
      <c r="DZ40" s="841">
        <v>0</v>
      </c>
      <c r="EA40" s="842"/>
      <c r="EB40" s="841">
        <v>0</v>
      </c>
      <c r="EC40" s="842"/>
      <c r="ED40" s="841">
        <v>0</v>
      </c>
      <c r="EE40" s="842"/>
      <c r="EF40" s="841">
        <v>0</v>
      </c>
      <c r="EG40" s="842"/>
      <c r="EH40" s="841">
        <v>0</v>
      </c>
      <c r="EI40" s="842"/>
      <c r="EJ40" s="841">
        <v>0</v>
      </c>
      <c r="EK40" s="842"/>
      <c r="EL40" s="841">
        <v>0</v>
      </c>
      <c r="EM40" s="842"/>
      <c r="EN40" s="841">
        <v>0</v>
      </c>
      <c r="EO40" s="842"/>
      <c r="EP40" s="841">
        <v>0</v>
      </c>
      <c r="EQ40" s="842"/>
      <c r="ER40" s="841">
        <v>0</v>
      </c>
      <c r="ES40" s="842"/>
      <c r="ET40" s="841">
        <v>0</v>
      </c>
      <c r="EU40" s="842"/>
      <c r="EV40" s="841">
        <v>0</v>
      </c>
      <c r="EW40" s="842"/>
      <c r="EX40" s="841">
        <v>0</v>
      </c>
      <c r="EY40" s="842"/>
      <c r="EZ40" s="841">
        <v>0</v>
      </c>
      <c r="FA40" s="842"/>
      <c r="FB40" s="841">
        <v>0</v>
      </c>
      <c r="FC40" s="842"/>
      <c r="FD40" s="841">
        <v>0</v>
      </c>
      <c r="FE40" s="842"/>
      <c r="FF40" s="841">
        <v>0</v>
      </c>
      <c r="FG40" s="842"/>
      <c r="FH40" s="1281">
        <v>0</v>
      </c>
      <c r="FI40" s="642"/>
      <c r="FJ40" s="834"/>
      <c r="FK40" s="635"/>
      <c r="FL40" s="635"/>
      <c r="FM40" s="636" t="s">
        <v>297</v>
      </c>
      <c r="FN40" s="635"/>
      <c r="FO40" s="635"/>
      <c r="FP40" s="643"/>
      <c r="FQ40" s="1280"/>
      <c r="FR40" s="1279">
        <v>0</v>
      </c>
      <c r="FS40" s="1282"/>
      <c r="FT40" s="1280"/>
      <c r="FU40" s="1283">
        <v>0</v>
      </c>
      <c r="FV40" s="586"/>
      <c r="FW40" s="587"/>
      <c r="FX40" s="799"/>
      <c r="FY40" s="589"/>
      <c r="FZ40" s="800"/>
      <c r="GA40" s="591"/>
      <c r="GB40" s="801"/>
      <c r="GC40" s="593"/>
      <c r="GD40" s="801"/>
      <c r="GE40" s="594"/>
      <c r="GF40" s="647"/>
      <c r="GG40" s="648"/>
      <c r="GH40" s="648"/>
      <c r="GI40" s="648"/>
      <c r="GJ40" s="523"/>
      <c r="GK40" s="883"/>
      <c r="GL40" s="884"/>
      <c r="GM40" s="884"/>
      <c r="GN40" s="884"/>
      <c r="GO40" s="884"/>
      <c r="GP40" s="884"/>
      <c r="GQ40" s="884"/>
      <c r="GR40" s="885"/>
      <c r="GS40" s="886"/>
      <c r="GT40" s="682"/>
      <c r="GU40" s="523" t="s">
        <v>598</v>
      </c>
      <c r="GV40" s="523"/>
      <c r="GW40" s="523"/>
      <c r="GX40" s="523"/>
      <c r="GY40" s="523"/>
      <c r="GZ40" s="523"/>
      <c r="HA40" s="887">
        <v>31.5</v>
      </c>
      <c r="HB40" s="410"/>
      <c r="HC40" s="523"/>
      <c r="HD40" s="573"/>
      <c r="HK40" s="412"/>
    </row>
    <row r="41" spans="1:219" ht="20.100000000000001" customHeight="1">
      <c r="A41" s="855" t="s">
        <v>427</v>
      </c>
      <c r="B41" s="731"/>
      <c r="C41" s="888"/>
      <c r="D41" s="888"/>
      <c r="E41" s="888"/>
      <c r="F41" s="889"/>
      <c r="G41" s="733"/>
      <c r="H41" s="656" t="s">
        <v>388</v>
      </c>
      <c r="I41" s="734"/>
      <c r="J41" s="656" t="s">
        <v>388</v>
      </c>
      <c r="K41" s="735"/>
      <c r="L41" s="656" t="s">
        <v>388</v>
      </c>
      <c r="M41" s="735"/>
      <c r="N41" s="656" t="s">
        <v>388</v>
      </c>
      <c r="O41" s="735"/>
      <c r="P41" s="656" t="s">
        <v>388</v>
      </c>
      <c r="Q41" s="735"/>
      <c r="R41" s="656" t="s">
        <v>388</v>
      </c>
      <c r="S41" s="735"/>
      <c r="T41" s="656" t="s">
        <v>385</v>
      </c>
      <c r="U41" s="735"/>
      <c r="V41" s="656" t="s">
        <v>385</v>
      </c>
      <c r="W41" s="735"/>
      <c r="X41" s="656" t="s">
        <v>385</v>
      </c>
      <c r="Y41" s="735" t="s">
        <v>404</v>
      </c>
      <c r="Z41" s="656" t="s">
        <v>385</v>
      </c>
      <c r="AA41" s="735" t="s">
        <v>405</v>
      </c>
      <c r="AB41" s="656" t="s">
        <v>385</v>
      </c>
      <c r="AC41" s="735"/>
      <c r="AD41" s="656" t="s">
        <v>388</v>
      </c>
      <c r="AE41" s="735"/>
      <c r="AF41" s="656" t="s">
        <v>388</v>
      </c>
      <c r="AG41" s="735"/>
      <c r="AH41" s="656" t="s">
        <v>385</v>
      </c>
      <c r="AI41" s="735"/>
      <c r="AJ41" s="656" t="s">
        <v>388</v>
      </c>
      <c r="AK41" s="735"/>
      <c r="AL41" s="656" t="s">
        <v>388</v>
      </c>
      <c r="AM41" s="735"/>
      <c r="AN41" s="656" t="s">
        <v>388</v>
      </c>
      <c r="AO41" s="735"/>
      <c r="AP41" s="656" t="s">
        <v>385</v>
      </c>
      <c r="AQ41" s="735"/>
      <c r="AR41" s="656" t="s">
        <v>388</v>
      </c>
      <c r="AS41" s="735"/>
      <c r="AT41" s="656" t="s">
        <v>388</v>
      </c>
      <c r="AU41" s="735"/>
      <c r="AV41" s="656" t="s">
        <v>385</v>
      </c>
      <c r="AW41" s="735"/>
      <c r="AX41" s="656" t="s">
        <v>385</v>
      </c>
      <c r="AY41" s="735"/>
      <c r="AZ41" s="656" t="s">
        <v>385</v>
      </c>
      <c r="BA41" s="735"/>
      <c r="BB41" s="658" t="s">
        <v>385</v>
      </c>
      <c r="BC41" s="716"/>
      <c r="BD41" s="855" t="s">
        <v>426</v>
      </c>
      <c r="BE41" s="731"/>
      <c r="BF41" s="888"/>
      <c r="BG41" s="888"/>
      <c r="BH41" s="888"/>
      <c r="BI41" s="889"/>
      <c r="BJ41" s="733"/>
      <c r="BK41" s="656" t="s">
        <v>385</v>
      </c>
      <c r="BL41" s="734"/>
      <c r="BM41" s="656" t="s">
        <v>388</v>
      </c>
      <c r="BN41" s="735"/>
      <c r="BO41" s="656" t="s">
        <v>388</v>
      </c>
      <c r="BP41" s="735"/>
      <c r="BQ41" s="656" t="s">
        <v>388</v>
      </c>
      <c r="BR41" s="735"/>
      <c r="BS41" s="656" t="s">
        <v>388</v>
      </c>
      <c r="BT41" s="735"/>
      <c r="BU41" s="656" t="s">
        <v>388</v>
      </c>
      <c r="BV41" s="735"/>
      <c r="BW41" s="656" t="s">
        <v>388</v>
      </c>
      <c r="BX41" s="735"/>
      <c r="BY41" s="656" t="s">
        <v>385</v>
      </c>
      <c r="BZ41" s="735"/>
      <c r="CA41" s="656" t="s">
        <v>385</v>
      </c>
      <c r="CB41" s="735" t="s">
        <v>404</v>
      </c>
      <c r="CC41" s="656" t="s">
        <v>385</v>
      </c>
      <c r="CD41" s="735" t="s">
        <v>405</v>
      </c>
      <c r="CE41" s="656" t="s">
        <v>388</v>
      </c>
      <c r="CF41" s="735"/>
      <c r="CG41" s="656" t="s">
        <v>385</v>
      </c>
      <c r="CH41" s="735"/>
      <c r="CI41" s="656" t="s">
        <v>388</v>
      </c>
      <c r="CJ41" s="735"/>
      <c r="CK41" s="656" t="s">
        <v>388</v>
      </c>
      <c r="CL41" s="735"/>
      <c r="CM41" s="656" t="s">
        <v>385</v>
      </c>
      <c r="CN41" s="735"/>
      <c r="CO41" s="656" t="s">
        <v>388</v>
      </c>
      <c r="CP41" s="735"/>
      <c r="CQ41" s="656" t="s">
        <v>388</v>
      </c>
      <c r="CR41" s="735"/>
      <c r="CS41" s="656" t="s">
        <v>388</v>
      </c>
      <c r="CT41" s="735"/>
      <c r="CU41" s="656" t="s">
        <v>385</v>
      </c>
      <c r="CV41" s="735"/>
      <c r="CW41" s="656" t="s">
        <v>388</v>
      </c>
      <c r="CX41" s="735"/>
      <c r="CY41" s="656" t="s">
        <v>388</v>
      </c>
      <c r="CZ41" s="735"/>
      <c r="DA41" s="656" t="s">
        <v>385</v>
      </c>
      <c r="DB41" s="735"/>
      <c r="DC41" s="656" t="s">
        <v>385</v>
      </c>
      <c r="DD41" s="735"/>
      <c r="DE41" s="658" t="s">
        <v>385</v>
      </c>
      <c r="DF41" s="716"/>
      <c r="DG41" s="855" t="s">
        <v>426</v>
      </c>
      <c r="DH41" s="731"/>
      <c r="DI41" s="888"/>
      <c r="DJ41" s="888"/>
      <c r="DK41" s="888"/>
      <c r="DL41" s="889"/>
      <c r="DM41" s="733"/>
      <c r="DN41" s="656" t="s">
        <v>388</v>
      </c>
      <c r="DO41" s="734"/>
      <c r="DP41" s="656" t="s">
        <v>385</v>
      </c>
      <c r="DQ41" s="735"/>
      <c r="DR41" s="656" t="s">
        <v>388</v>
      </c>
      <c r="DS41" s="735"/>
      <c r="DT41" s="656" t="s">
        <v>388</v>
      </c>
      <c r="DU41" s="735"/>
      <c r="DV41" s="656" t="s">
        <v>388</v>
      </c>
      <c r="DW41" s="735"/>
      <c r="DX41" s="656" t="s">
        <v>388</v>
      </c>
      <c r="DY41" s="735"/>
      <c r="DZ41" s="656" t="s">
        <v>388</v>
      </c>
      <c r="EA41" s="735"/>
      <c r="EB41" s="656" t="s">
        <v>388</v>
      </c>
      <c r="EC41" s="735"/>
      <c r="ED41" s="656" t="s">
        <v>385</v>
      </c>
      <c r="EE41" s="735" t="s">
        <v>405</v>
      </c>
      <c r="EF41" s="656" t="s">
        <v>388</v>
      </c>
      <c r="EG41" s="735" t="s">
        <v>405</v>
      </c>
      <c r="EH41" s="656" t="s">
        <v>385</v>
      </c>
      <c r="EI41" s="735"/>
      <c r="EJ41" s="656" t="s">
        <v>388</v>
      </c>
      <c r="EK41" s="735"/>
      <c r="EL41" s="656" t="s">
        <v>388</v>
      </c>
      <c r="EM41" s="735"/>
      <c r="EN41" s="656" t="s">
        <v>388</v>
      </c>
      <c r="EO41" s="735"/>
      <c r="EP41" s="656" t="s">
        <v>385</v>
      </c>
      <c r="EQ41" s="735"/>
      <c r="ER41" s="656" t="s">
        <v>388</v>
      </c>
      <c r="ES41" s="735"/>
      <c r="ET41" s="656" t="s">
        <v>388</v>
      </c>
      <c r="EU41" s="735"/>
      <c r="EV41" s="656" t="s">
        <v>388</v>
      </c>
      <c r="EW41" s="735"/>
      <c r="EX41" s="656" t="s">
        <v>388</v>
      </c>
      <c r="EY41" s="735"/>
      <c r="EZ41" s="656" t="s">
        <v>385</v>
      </c>
      <c r="FA41" s="735"/>
      <c r="FB41" s="656" t="s">
        <v>388</v>
      </c>
      <c r="FC41" s="735"/>
      <c r="FD41" s="656" t="s">
        <v>388</v>
      </c>
      <c r="FE41" s="735"/>
      <c r="FF41" s="656" t="s">
        <v>385</v>
      </c>
      <c r="FG41" s="735"/>
      <c r="FH41" s="658" t="s">
        <v>385</v>
      </c>
      <c r="FI41" s="739"/>
      <c r="FJ41" s="820" t="s">
        <v>426</v>
      </c>
      <c r="FK41" s="736"/>
      <c r="FL41" s="890"/>
      <c r="FM41" s="890"/>
      <c r="FN41" s="890"/>
      <c r="FO41" s="891"/>
      <c r="FP41" s="740"/>
      <c r="FQ41" s="666"/>
      <c r="FR41" s="656" t="s">
        <v>391</v>
      </c>
      <c r="FS41" s="741"/>
      <c r="FT41" s="666"/>
      <c r="FU41" s="668" t="s">
        <v>391</v>
      </c>
      <c r="FV41" s="586"/>
      <c r="FW41" s="587"/>
      <c r="FX41" s="799"/>
      <c r="FY41" s="589"/>
      <c r="FZ41" s="800"/>
      <c r="GA41" s="591"/>
      <c r="GB41" s="801"/>
      <c r="GC41" s="593"/>
      <c r="GD41" s="801"/>
      <c r="GE41" s="594"/>
      <c r="GF41" s="742"/>
      <c r="GG41" s="743"/>
      <c r="GH41" s="743"/>
      <c r="GI41" s="743"/>
      <c r="GJ41" s="573"/>
      <c r="GK41" s="892" t="s">
        <v>593</v>
      </c>
      <c r="GL41" s="893"/>
      <c r="GM41" s="894" t="s">
        <v>506</v>
      </c>
      <c r="GN41" s="894"/>
      <c r="GO41" s="894" t="s">
        <v>507</v>
      </c>
      <c r="GP41" s="894"/>
      <c r="GQ41" s="894"/>
      <c r="GR41" s="895"/>
      <c r="GS41" s="854"/>
      <c r="GT41" s="682"/>
      <c r="GU41" s="523" t="s">
        <v>526</v>
      </c>
      <c r="GV41" s="523"/>
      <c r="GW41" s="523"/>
      <c r="GX41" s="523"/>
      <c r="GY41" s="523"/>
      <c r="GZ41" s="523"/>
      <c r="HA41" s="887">
        <v>26.7</v>
      </c>
      <c r="HB41" s="410"/>
      <c r="HC41" s="523"/>
      <c r="HD41" s="406"/>
    </row>
    <row r="42" spans="1:219" ht="20.100000000000001" customHeight="1">
      <c r="A42" s="825"/>
      <c r="B42" s="896" t="s">
        <v>428</v>
      </c>
      <c r="C42" s="897"/>
      <c r="D42" s="897"/>
      <c r="E42" s="898"/>
      <c r="F42" s="899"/>
      <c r="G42" s="829"/>
      <c r="H42" s="830"/>
      <c r="I42" s="831"/>
      <c r="J42" s="792"/>
      <c r="K42" s="832"/>
      <c r="L42" s="792"/>
      <c r="M42" s="832"/>
      <c r="N42" s="792"/>
      <c r="O42" s="832"/>
      <c r="P42" s="792"/>
      <c r="Q42" s="832"/>
      <c r="R42" s="792"/>
      <c r="S42" s="832"/>
      <c r="T42" s="792"/>
      <c r="U42" s="832"/>
      <c r="V42" s="792"/>
      <c r="W42" s="832"/>
      <c r="X42" s="792">
        <v>910</v>
      </c>
      <c r="Y42" s="832"/>
      <c r="Z42" s="792">
        <v>637</v>
      </c>
      <c r="AA42" s="832"/>
      <c r="AB42" s="792">
        <v>637</v>
      </c>
      <c r="AC42" s="832"/>
      <c r="AD42" s="792">
        <v>637</v>
      </c>
      <c r="AE42" s="832"/>
      <c r="AF42" s="792">
        <v>637</v>
      </c>
      <c r="AG42" s="832"/>
      <c r="AH42" s="792">
        <v>637</v>
      </c>
      <c r="AI42" s="832"/>
      <c r="AJ42" s="792">
        <v>637</v>
      </c>
      <c r="AK42" s="832"/>
      <c r="AL42" s="792">
        <v>637</v>
      </c>
      <c r="AM42" s="832"/>
      <c r="AN42" s="792">
        <v>637</v>
      </c>
      <c r="AO42" s="832"/>
      <c r="AP42" s="792">
        <v>637</v>
      </c>
      <c r="AQ42" s="832"/>
      <c r="AR42" s="792"/>
      <c r="AS42" s="832"/>
      <c r="AT42" s="792"/>
      <c r="AU42" s="832"/>
      <c r="AV42" s="792"/>
      <c r="AW42" s="832"/>
      <c r="AX42" s="792"/>
      <c r="AY42" s="832"/>
      <c r="AZ42" s="792"/>
      <c r="BA42" s="832"/>
      <c r="BB42" s="833"/>
      <c r="BC42" s="555"/>
      <c r="BD42" s="825"/>
      <c r="BE42" s="900" t="s">
        <v>428</v>
      </c>
      <c r="BF42" s="897"/>
      <c r="BG42" s="897"/>
      <c r="BH42" s="898"/>
      <c r="BI42" s="899"/>
      <c r="BJ42" s="829"/>
      <c r="BK42" s="830"/>
      <c r="BL42" s="831"/>
      <c r="BM42" s="792"/>
      <c r="BN42" s="832"/>
      <c r="BO42" s="792"/>
      <c r="BP42" s="832"/>
      <c r="BQ42" s="792"/>
      <c r="BR42" s="832"/>
      <c r="BS42" s="792"/>
      <c r="BT42" s="832"/>
      <c r="BU42" s="792"/>
      <c r="BV42" s="832"/>
      <c r="BW42" s="792"/>
      <c r="BX42" s="832"/>
      <c r="BY42" s="792"/>
      <c r="BZ42" s="832"/>
      <c r="CA42" s="792">
        <v>910</v>
      </c>
      <c r="CB42" s="832"/>
      <c r="CC42" s="792">
        <v>637</v>
      </c>
      <c r="CD42" s="832"/>
      <c r="CE42" s="792">
        <v>637</v>
      </c>
      <c r="CF42" s="832"/>
      <c r="CG42" s="792">
        <v>637</v>
      </c>
      <c r="CH42" s="832"/>
      <c r="CI42" s="792">
        <v>637</v>
      </c>
      <c r="CJ42" s="832"/>
      <c r="CK42" s="792">
        <v>637</v>
      </c>
      <c r="CL42" s="832"/>
      <c r="CM42" s="792">
        <v>637</v>
      </c>
      <c r="CN42" s="832"/>
      <c r="CO42" s="792">
        <v>637</v>
      </c>
      <c r="CP42" s="832"/>
      <c r="CQ42" s="792">
        <v>637</v>
      </c>
      <c r="CR42" s="832"/>
      <c r="CS42" s="792">
        <v>637</v>
      </c>
      <c r="CT42" s="832"/>
      <c r="CU42" s="792"/>
      <c r="CV42" s="832"/>
      <c r="CW42" s="792"/>
      <c r="CX42" s="832"/>
      <c r="CY42" s="792"/>
      <c r="CZ42" s="832"/>
      <c r="DA42" s="792"/>
      <c r="DB42" s="832"/>
      <c r="DC42" s="792"/>
      <c r="DD42" s="832"/>
      <c r="DE42" s="833"/>
      <c r="DF42" s="555"/>
      <c r="DG42" s="825"/>
      <c r="DH42" s="900" t="s">
        <v>428</v>
      </c>
      <c r="DI42" s="897"/>
      <c r="DJ42" s="897"/>
      <c r="DK42" s="898"/>
      <c r="DL42" s="899"/>
      <c r="DM42" s="829"/>
      <c r="DN42" s="830"/>
      <c r="DO42" s="831"/>
      <c r="DP42" s="792"/>
      <c r="DQ42" s="832"/>
      <c r="DR42" s="792"/>
      <c r="DS42" s="832"/>
      <c r="DT42" s="792"/>
      <c r="DU42" s="832"/>
      <c r="DV42" s="792"/>
      <c r="DW42" s="832"/>
      <c r="DX42" s="792"/>
      <c r="DY42" s="832"/>
      <c r="DZ42" s="792"/>
      <c r="EA42" s="832"/>
      <c r="EB42" s="792"/>
      <c r="EC42" s="832"/>
      <c r="ED42" s="792">
        <v>910</v>
      </c>
      <c r="EE42" s="832"/>
      <c r="EF42" s="792">
        <v>637</v>
      </c>
      <c r="EG42" s="832"/>
      <c r="EH42" s="792">
        <v>637</v>
      </c>
      <c r="EI42" s="832"/>
      <c r="EJ42" s="792">
        <v>637</v>
      </c>
      <c r="EK42" s="832"/>
      <c r="EL42" s="792">
        <v>637</v>
      </c>
      <c r="EM42" s="832"/>
      <c r="EN42" s="792">
        <v>637</v>
      </c>
      <c r="EO42" s="832"/>
      <c r="EP42" s="792">
        <v>637</v>
      </c>
      <c r="EQ42" s="832"/>
      <c r="ER42" s="792">
        <v>637</v>
      </c>
      <c r="ES42" s="832"/>
      <c r="ET42" s="792">
        <v>637</v>
      </c>
      <c r="EU42" s="832"/>
      <c r="EV42" s="792">
        <v>637</v>
      </c>
      <c r="EW42" s="832"/>
      <c r="EX42" s="792"/>
      <c r="EY42" s="832"/>
      <c r="EZ42" s="792"/>
      <c r="FA42" s="832"/>
      <c r="FB42" s="792"/>
      <c r="FC42" s="832"/>
      <c r="FD42" s="792"/>
      <c r="FE42" s="832"/>
      <c r="FF42" s="792"/>
      <c r="FG42" s="832"/>
      <c r="FH42" s="833"/>
      <c r="FI42" s="556"/>
      <c r="FJ42" s="834"/>
      <c r="FK42" s="900" t="s">
        <v>428</v>
      </c>
      <c r="FL42" s="897"/>
      <c r="FM42" s="897"/>
      <c r="FN42" s="898"/>
      <c r="FO42" s="899"/>
      <c r="FP42" s="835"/>
      <c r="FQ42" s="831"/>
      <c r="FR42" s="830">
        <v>4050</v>
      </c>
      <c r="FS42" s="836"/>
      <c r="FT42" s="831"/>
      <c r="FU42" s="798">
        <v>4050</v>
      </c>
      <c r="FV42" s="586"/>
      <c r="FW42" s="587"/>
      <c r="FX42" s="799"/>
      <c r="FY42" s="589"/>
      <c r="FZ42" s="800"/>
      <c r="GA42" s="591"/>
      <c r="GB42" s="801"/>
      <c r="GC42" s="593"/>
      <c r="GD42" s="801"/>
      <c r="GE42" s="594"/>
      <c r="GF42" s="837"/>
      <c r="GG42" s="595"/>
      <c r="GH42" s="595"/>
      <c r="GI42" s="595"/>
      <c r="GJ42" s="406"/>
      <c r="GK42" s="901"/>
      <c r="GL42" s="902"/>
      <c r="GM42" s="903">
        <v>0</v>
      </c>
      <c r="GN42" s="903"/>
      <c r="GO42" s="903">
        <v>10</v>
      </c>
      <c r="GP42" s="903"/>
      <c r="GQ42" s="903">
        <v>10</v>
      </c>
      <c r="GR42" s="904"/>
      <c r="GS42" s="573"/>
      <c r="GT42" s="493"/>
      <c r="GU42" s="493"/>
      <c r="GV42" s="493"/>
      <c r="GW42" s="572"/>
      <c r="GX42" s="572"/>
      <c r="GY42" s="572"/>
      <c r="GZ42" s="571"/>
      <c r="HA42" s="493"/>
      <c r="HB42" s="493"/>
      <c r="HC42" s="523"/>
      <c r="HD42" s="523"/>
    </row>
    <row r="43" spans="1:219" ht="20.100000000000001" customHeight="1">
      <c r="A43" s="825"/>
      <c r="B43" s="905" t="s">
        <v>430</v>
      </c>
      <c r="C43" s="906"/>
      <c r="D43" s="906"/>
      <c r="E43" s="906"/>
      <c r="F43" s="907"/>
      <c r="G43" s="687"/>
      <c r="H43" s="908">
        <v>0</v>
      </c>
      <c r="I43" s="688"/>
      <c r="J43" s="908">
        <v>0</v>
      </c>
      <c r="K43" s="688"/>
      <c r="L43" s="908">
        <v>0</v>
      </c>
      <c r="M43" s="688"/>
      <c r="N43" s="908">
        <v>0</v>
      </c>
      <c r="O43" s="688"/>
      <c r="P43" s="908">
        <v>0</v>
      </c>
      <c r="Q43" s="688"/>
      <c r="R43" s="908">
        <v>0</v>
      </c>
      <c r="S43" s="688"/>
      <c r="T43" s="908">
        <v>0</v>
      </c>
      <c r="U43" s="688"/>
      <c r="V43" s="908">
        <v>0</v>
      </c>
      <c r="W43" s="909"/>
      <c r="X43" s="908">
        <v>0</v>
      </c>
      <c r="Y43" s="688"/>
      <c r="Z43" s="908">
        <v>0</v>
      </c>
      <c r="AA43" s="688"/>
      <c r="AB43" s="908">
        <v>0</v>
      </c>
      <c r="AC43" s="688"/>
      <c r="AD43" s="908">
        <v>0</v>
      </c>
      <c r="AE43" s="688"/>
      <c r="AF43" s="908">
        <v>0</v>
      </c>
      <c r="AG43" s="688"/>
      <c r="AH43" s="908">
        <v>0</v>
      </c>
      <c r="AI43" s="688"/>
      <c r="AJ43" s="908">
        <v>0</v>
      </c>
      <c r="AK43" s="688"/>
      <c r="AL43" s="908">
        <v>0</v>
      </c>
      <c r="AM43" s="688"/>
      <c r="AN43" s="908">
        <v>0</v>
      </c>
      <c r="AO43" s="688"/>
      <c r="AP43" s="908">
        <v>0</v>
      </c>
      <c r="AQ43" s="688"/>
      <c r="AR43" s="908">
        <v>0</v>
      </c>
      <c r="AS43" s="688"/>
      <c r="AT43" s="908">
        <v>0</v>
      </c>
      <c r="AU43" s="688"/>
      <c r="AV43" s="908">
        <v>0</v>
      </c>
      <c r="AW43" s="688"/>
      <c r="AX43" s="908">
        <v>0</v>
      </c>
      <c r="AY43" s="688"/>
      <c r="AZ43" s="908">
        <v>0</v>
      </c>
      <c r="BA43" s="688"/>
      <c r="BB43" s="875">
        <v>0</v>
      </c>
      <c r="BC43" s="555"/>
      <c r="BD43" s="825"/>
      <c r="BE43" s="910" t="s">
        <v>430</v>
      </c>
      <c r="BF43" s="906"/>
      <c r="BG43" s="906"/>
      <c r="BH43" s="906"/>
      <c r="BI43" s="907"/>
      <c r="BJ43" s="687"/>
      <c r="BK43" s="908">
        <v>0</v>
      </c>
      <c r="BL43" s="688"/>
      <c r="BM43" s="908">
        <v>0</v>
      </c>
      <c r="BN43" s="688"/>
      <c r="BO43" s="908">
        <v>0</v>
      </c>
      <c r="BP43" s="688"/>
      <c r="BQ43" s="908">
        <v>0</v>
      </c>
      <c r="BR43" s="688"/>
      <c r="BS43" s="908">
        <v>0</v>
      </c>
      <c r="BT43" s="688"/>
      <c r="BU43" s="908">
        <v>0</v>
      </c>
      <c r="BV43" s="688"/>
      <c r="BW43" s="908">
        <v>0</v>
      </c>
      <c r="BX43" s="688"/>
      <c r="BY43" s="908">
        <v>0</v>
      </c>
      <c r="BZ43" s="909"/>
      <c r="CA43" s="908">
        <v>0</v>
      </c>
      <c r="CB43" s="688"/>
      <c r="CC43" s="908">
        <v>0</v>
      </c>
      <c r="CD43" s="688"/>
      <c r="CE43" s="908">
        <v>0</v>
      </c>
      <c r="CF43" s="688"/>
      <c r="CG43" s="908">
        <v>0</v>
      </c>
      <c r="CH43" s="688"/>
      <c r="CI43" s="908">
        <v>0</v>
      </c>
      <c r="CJ43" s="688"/>
      <c r="CK43" s="908">
        <v>0</v>
      </c>
      <c r="CL43" s="688"/>
      <c r="CM43" s="908">
        <v>0</v>
      </c>
      <c r="CN43" s="688"/>
      <c r="CO43" s="908">
        <v>0</v>
      </c>
      <c r="CP43" s="688"/>
      <c r="CQ43" s="908">
        <v>0</v>
      </c>
      <c r="CR43" s="688"/>
      <c r="CS43" s="908">
        <v>0</v>
      </c>
      <c r="CT43" s="688"/>
      <c r="CU43" s="908">
        <v>0</v>
      </c>
      <c r="CV43" s="688"/>
      <c r="CW43" s="908">
        <v>0</v>
      </c>
      <c r="CX43" s="688"/>
      <c r="CY43" s="908">
        <v>0</v>
      </c>
      <c r="CZ43" s="688"/>
      <c r="DA43" s="908">
        <v>0</v>
      </c>
      <c r="DB43" s="688"/>
      <c r="DC43" s="908">
        <v>0</v>
      </c>
      <c r="DD43" s="688"/>
      <c r="DE43" s="875">
        <v>0</v>
      </c>
      <c r="DF43" s="555"/>
      <c r="DG43" s="825"/>
      <c r="DH43" s="910" t="s">
        <v>431</v>
      </c>
      <c r="DI43" s="906"/>
      <c r="DJ43" s="906"/>
      <c r="DK43" s="906"/>
      <c r="DL43" s="907"/>
      <c r="DM43" s="687"/>
      <c r="DN43" s="908">
        <v>0</v>
      </c>
      <c r="DO43" s="688"/>
      <c r="DP43" s="908">
        <v>0</v>
      </c>
      <c r="DQ43" s="688"/>
      <c r="DR43" s="908">
        <v>0</v>
      </c>
      <c r="DS43" s="688"/>
      <c r="DT43" s="908">
        <v>0</v>
      </c>
      <c r="DU43" s="688"/>
      <c r="DV43" s="908">
        <v>0</v>
      </c>
      <c r="DW43" s="688"/>
      <c r="DX43" s="908">
        <v>0</v>
      </c>
      <c r="DY43" s="688"/>
      <c r="DZ43" s="908">
        <v>0</v>
      </c>
      <c r="EA43" s="688"/>
      <c r="EB43" s="908">
        <v>0</v>
      </c>
      <c r="EC43" s="909"/>
      <c r="ED43" s="908">
        <v>0</v>
      </c>
      <c r="EE43" s="688"/>
      <c r="EF43" s="908">
        <v>0</v>
      </c>
      <c r="EG43" s="688"/>
      <c r="EH43" s="908">
        <v>0</v>
      </c>
      <c r="EI43" s="688"/>
      <c r="EJ43" s="908">
        <v>0</v>
      </c>
      <c r="EK43" s="688"/>
      <c r="EL43" s="908">
        <v>0</v>
      </c>
      <c r="EM43" s="688"/>
      <c r="EN43" s="908">
        <v>0</v>
      </c>
      <c r="EO43" s="688"/>
      <c r="EP43" s="908">
        <v>0</v>
      </c>
      <c r="EQ43" s="688"/>
      <c r="ER43" s="908">
        <v>0</v>
      </c>
      <c r="ES43" s="688"/>
      <c r="ET43" s="908">
        <v>0</v>
      </c>
      <c r="EU43" s="688"/>
      <c r="EV43" s="908">
        <v>0</v>
      </c>
      <c r="EW43" s="688"/>
      <c r="EX43" s="908">
        <v>0</v>
      </c>
      <c r="EY43" s="688"/>
      <c r="EZ43" s="908">
        <v>0</v>
      </c>
      <c r="FA43" s="688"/>
      <c r="FB43" s="908">
        <v>0</v>
      </c>
      <c r="FC43" s="688"/>
      <c r="FD43" s="908">
        <v>0</v>
      </c>
      <c r="FE43" s="688"/>
      <c r="FF43" s="908">
        <v>0</v>
      </c>
      <c r="FG43" s="688"/>
      <c r="FH43" s="875">
        <v>0</v>
      </c>
      <c r="FI43" s="556"/>
      <c r="FJ43" s="834"/>
      <c r="FK43" s="910" t="s">
        <v>431</v>
      </c>
      <c r="FL43" s="906"/>
      <c r="FM43" s="906"/>
      <c r="FN43" s="906"/>
      <c r="FO43" s="907"/>
      <c r="FP43" s="689"/>
      <c r="FQ43" s="690"/>
      <c r="FR43" s="580">
        <v>0</v>
      </c>
      <c r="FS43" s="691"/>
      <c r="FT43" s="690"/>
      <c r="FU43" s="585">
        <v>0</v>
      </c>
      <c r="FV43" s="911"/>
      <c r="FW43" s="912"/>
      <c r="FX43" s="913"/>
      <c r="FY43" s="914"/>
      <c r="FZ43" s="915"/>
      <c r="GA43" s="916"/>
      <c r="GB43" s="917"/>
      <c r="GC43" s="918"/>
      <c r="GD43" s="917"/>
      <c r="GE43" s="919"/>
      <c r="GF43" s="681"/>
      <c r="GG43" s="595"/>
      <c r="GH43" s="595"/>
      <c r="GI43" s="595"/>
      <c r="GJ43" s="920"/>
      <c r="GK43" s="921" t="s">
        <v>508</v>
      </c>
      <c r="GL43" s="922"/>
      <c r="GM43" s="923" t="s">
        <v>506</v>
      </c>
      <c r="GN43" s="923"/>
      <c r="GO43" s="923" t="s">
        <v>509</v>
      </c>
      <c r="GP43" s="923"/>
      <c r="GQ43" s="923"/>
      <c r="GR43" s="924"/>
      <c r="GS43" s="573"/>
      <c r="GT43" s="602"/>
      <c r="GU43" s="523" t="s">
        <v>481</v>
      </c>
      <c r="GV43" s="410"/>
      <c r="GW43" s="406"/>
      <c r="GX43" s="410"/>
      <c r="GY43" s="410"/>
      <c r="GZ43" s="410"/>
      <c r="HA43" s="406"/>
      <c r="HB43" s="410"/>
      <c r="HC43" s="925"/>
      <c r="HD43" s="412"/>
    </row>
    <row r="44" spans="1:219" ht="20.100000000000001" customHeight="1" thickBot="1">
      <c r="A44" s="926"/>
      <c r="B44" s="635"/>
      <c r="C44" s="635"/>
      <c r="D44" s="636" t="s">
        <v>568</v>
      </c>
      <c r="E44" s="635"/>
      <c r="F44" s="635"/>
      <c r="G44" s="838"/>
      <c r="H44" s="1279">
        <v>0</v>
      </c>
      <c r="I44" s="1280"/>
      <c r="J44" s="841">
        <v>0</v>
      </c>
      <c r="K44" s="842"/>
      <c r="L44" s="841">
        <v>0</v>
      </c>
      <c r="M44" s="842"/>
      <c r="N44" s="841">
        <v>0</v>
      </c>
      <c r="O44" s="842"/>
      <c r="P44" s="841">
        <v>0</v>
      </c>
      <c r="Q44" s="842"/>
      <c r="R44" s="841">
        <v>0</v>
      </c>
      <c r="S44" s="842"/>
      <c r="T44" s="841">
        <v>0</v>
      </c>
      <c r="U44" s="842"/>
      <c r="V44" s="841">
        <v>0</v>
      </c>
      <c r="W44" s="842"/>
      <c r="X44" s="841">
        <v>910</v>
      </c>
      <c r="Y44" s="842"/>
      <c r="Z44" s="841">
        <v>637</v>
      </c>
      <c r="AA44" s="842"/>
      <c r="AB44" s="841">
        <v>637</v>
      </c>
      <c r="AC44" s="842"/>
      <c r="AD44" s="841">
        <v>637</v>
      </c>
      <c r="AE44" s="842"/>
      <c r="AF44" s="841">
        <v>637</v>
      </c>
      <c r="AG44" s="842"/>
      <c r="AH44" s="841">
        <v>637</v>
      </c>
      <c r="AI44" s="842"/>
      <c r="AJ44" s="841">
        <v>637</v>
      </c>
      <c r="AK44" s="842"/>
      <c r="AL44" s="841">
        <v>637</v>
      </c>
      <c r="AM44" s="842"/>
      <c r="AN44" s="841">
        <v>637</v>
      </c>
      <c r="AO44" s="842"/>
      <c r="AP44" s="841">
        <v>637</v>
      </c>
      <c r="AQ44" s="842"/>
      <c r="AR44" s="841">
        <v>0</v>
      </c>
      <c r="AS44" s="842"/>
      <c r="AT44" s="841">
        <v>0</v>
      </c>
      <c r="AU44" s="842"/>
      <c r="AV44" s="841">
        <v>0</v>
      </c>
      <c r="AW44" s="842"/>
      <c r="AX44" s="841">
        <v>0</v>
      </c>
      <c r="AY44" s="842"/>
      <c r="AZ44" s="841">
        <v>0</v>
      </c>
      <c r="BA44" s="842"/>
      <c r="BB44" s="1281">
        <v>0</v>
      </c>
      <c r="BC44" s="641"/>
      <c r="BD44" s="926"/>
      <c r="BE44" s="635"/>
      <c r="BF44" s="635"/>
      <c r="BG44" s="636" t="s">
        <v>568</v>
      </c>
      <c r="BH44" s="635"/>
      <c r="BI44" s="635"/>
      <c r="BJ44" s="838"/>
      <c r="BK44" s="1279">
        <v>0</v>
      </c>
      <c r="BL44" s="1280"/>
      <c r="BM44" s="841">
        <v>0</v>
      </c>
      <c r="BN44" s="842"/>
      <c r="BO44" s="841">
        <v>0</v>
      </c>
      <c r="BP44" s="842"/>
      <c r="BQ44" s="841">
        <v>0</v>
      </c>
      <c r="BR44" s="842"/>
      <c r="BS44" s="841">
        <v>0</v>
      </c>
      <c r="BT44" s="842"/>
      <c r="BU44" s="841">
        <v>0</v>
      </c>
      <c r="BV44" s="842"/>
      <c r="BW44" s="841">
        <v>0</v>
      </c>
      <c r="BX44" s="842"/>
      <c r="BY44" s="841">
        <v>0</v>
      </c>
      <c r="BZ44" s="842"/>
      <c r="CA44" s="841">
        <v>910</v>
      </c>
      <c r="CB44" s="842"/>
      <c r="CC44" s="841">
        <v>637</v>
      </c>
      <c r="CD44" s="842"/>
      <c r="CE44" s="841">
        <v>637</v>
      </c>
      <c r="CF44" s="842"/>
      <c r="CG44" s="841">
        <v>637</v>
      </c>
      <c r="CH44" s="842"/>
      <c r="CI44" s="841">
        <v>637</v>
      </c>
      <c r="CJ44" s="842"/>
      <c r="CK44" s="841">
        <v>637</v>
      </c>
      <c r="CL44" s="842"/>
      <c r="CM44" s="841">
        <v>637</v>
      </c>
      <c r="CN44" s="842"/>
      <c r="CO44" s="841">
        <v>637</v>
      </c>
      <c r="CP44" s="842"/>
      <c r="CQ44" s="841">
        <v>637</v>
      </c>
      <c r="CR44" s="842"/>
      <c r="CS44" s="841">
        <v>637</v>
      </c>
      <c r="CT44" s="842"/>
      <c r="CU44" s="841">
        <v>0</v>
      </c>
      <c r="CV44" s="842"/>
      <c r="CW44" s="841">
        <v>0</v>
      </c>
      <c r="CX44" s="842"/>
      <c r="CY44" s="841">
        <v>0</v>
      </c>
      <c r="CZ44" s="842"/>
      <c r="DA44" s="841">
        <v>0</v>
      </c>
      <c r="DB44" s="842"/>
      <c r="DC44" s="841">
        <v>0</v>
      </c>
      <c r="DD44" s="842"/>
      <c r="DE44" s="1281">
        <v>0</v>
      </c>
      <c r="DF44" s="641"/>
      <c r="DG44" s="926"/>
      <c r="DH44" s="635"/>
      <c r="DI44" s="635"/>
      <c r="DJ44" s="636" t="s">
        <v>568</v>
      </c>
      <c r="DK44" s="635"/>
      <c r="DL44" s="635"/>
      <c r="DM44" s="838"/>
      <c r="DN44" s="1279">
        <v>0</v>
      </c>
      <c r="DO44" s="1280"/>
      <c r="DP44" s="841">
        <v>0</v>
      </c>
      <c r="DQ44" s="842"/>
      <c r="DR44" s="841">
        <v>0</v>
      </c>
      <c r="DS44" s="842"/>
      <c r="DT44" s="841">
        <v>0</v>
      </c>
      <c r="DU44" s="842"/>
      <c r="DV44" s="841">
        <v>0</v>
      </c>
      <c r="DW44" s="842"/>
      <c r="DX44" s="841">
        <v>0</v>
      </c>
      <c r="DY44" s="842"/>
      <c r="DZ44" s="841">
        <v>0</v>
      </c>
      <c r="EA44" s="842"/>
      <c r="EB44" s="841">
        <v>0</v>
      </c>
      <c r="EC44" s="842"/>
      <c r="ED44" s="841">
        <v>910</v>
      </c>
      <c r="EE44" s="842"/>
      <c r="EF44" s="841">
        <v>637</v>
      </c>
      <c r="EG44" s="842"/>
      <c r="EH44" s="841">
        <v>637</v>
      </c>
      <c r="EI44" s="842"/>
      <c r="EJ44" s="841">
        <v>637</v>
      </c>
      <c r="EK44" s="842"/>
      <c r="EL44" s="841">
        <v>637</v>
      </c>
      <c r="EM44" s="842"/>
      <c r="EN44" s="841">
        <v>637</v>
      </c>
      <c r="EO44" s="842"/>
      <c r="EP44" s="841">
        <v>637</v>
      </c>
      <c r="EQ44" s="842"/>
      <c r="ER44" s="841">
        <v>637</v>
      </c>
      <c r="ES44" s="842"/>
      <c r="ET44" s="841">
        <v>637</v>
      </c>
      <c r="EU44" s="842"/>
      <c r="EV44" s="841">
        <v>637</v>
      </c>
      <c r="EW44" s="842"/>
      <c r="EX44" s="841">
        <v>0</v>
      </c>
      <c r="EY44" s="842"/>
      <c r="EZ44" s="841">
        <v>0</v>
      </c>
      <c r="FA44" s="842"/>
      <c r="FB44" s="841">
        <v>0</v>
      </c>
      <c r="FC44" s="842"/>
      <c r="FD44" s="841">
        <v>0</v>
      </c>
      <c r="FE44" s="842"/>
      <c r="FF44" s="841">
        <v>0</v>
      </c>
      <c r="FG44" s="842"/>
      <c r="FH44" s="1281">
        <v>0</v>
      </c>
      <c r="FI44" s="642"/>
      <c r="FJ44" s="927"/>
      <c r="FK44" s="635"/>
      <c r="FL44" s="635"/>
      <c r="FM44" s="636" t="s">
        <v>568</v>
      </c>
      <c r="FN44" s="635"/>
      <c r="FO44" s="635"/>
      <c r="FP44" s="643"/>
      <c r="FQ44" s="1280"/>
      <c r="FR44" s="1279">
        <v>4050</v>
      </c>
      <c r="FS44" s="1282"/>
      <c r="FT44" s="1280"/>
      <c r="FU44" s="1283">
        <v>4050</v>
      </c>
      <c r="FV44" s="586" t="s">
        <v>299</v>
      </c>
      <c r="FW44" s="587"/>
      <c r="FX44" s="799" t="s">
        <v>300</v>
      </c>
      <c r="FY44" s="589"/>
      <c r="FZ44" s="800" t="s">
        <v>301</v>
      </c>
      <c r="GA44" s="591"/>
      <c r="GB44" s="801" t="s">
        <v>302</v>
      </c>
      <c r="GC44" s="593"/>
      <c r="GD44" s="801" t="s">
        <v>303</v>
      </c>
      <c r="GE44" s="594"/>
      <c r="GF44" s="647"/>
      <c r="GG44" s="648"/>
      <c r="GH44" s="648"/>
      <c r="GI44" s="648"/>
      <c r="GJ44" s="523"/>
      <c r="GK44" s="901"/>
      <c r="GL44" s="902"/>
      <c r="GM44" s="928">
        <v>0</v>
      </c>
      <c r="GN44" s="928"/>
      <c r="GO44" s="928">
        <v>7</v>
      </c>
      <c r="GP44" s="928"/>
      <c r="GQ44" s="903">
        <v>7</v>
      </c>
      <c r="GR44" s="904"/>
      <c r="GS44" s="929"/>
      <c r="GT44" s="930"/>
      <c r="GU44" s="523" t="s">
        <v>594</v>
      </c>
      <c r="GV44" s="608"/>
      <c r="GW44" s="608"/>
      <c r="GX44" s="608"/>
      <c r="GY44" s="410"/>
      <c r="GZ44" s="410"/>
      <c r="HA44" s="744">
        <v>-3.9</v>
      </c>
      <c r="HB44" s="410" t="s">
        <v>484</v>
      </c>
      <c r="HC44" s="931"/>
      <c r="HD44" s="412"/>
    </row>
    <row r="45" spans="1:219" ht="20.100000000000001" customHeight="1" thickTop="1">
      <c r="A45" s="932" t="s">
        <v>432</v>
      </c>
      <c r="B45" s="933"/>
      <c r="C45" s="933"/>
      <c r="D45" s="933"/>
      <c r="E45" s="933"/>
      <c r="F45" s="934"/>
      <c r="G45" s="935"/>
      <c r="H45" s="936">
        <v>60463</v>
      </c>
      <c r="I45" s="937"/>
      <c r="J45" s="936">
        <v>60445</v>
      </c>
      <c r="K45" s="937"/>
      <c r="L45" s="936">
        <v>60427</v>
      </c>
      <c r="M45" s="937"/>
      <c r="N45" s="936">
        <v>60414</v>
      </c>
      <c r="O45" s="937"/>
      <c r="P45" s="936">
        <v>60398</v>
      </c>
      <c r="Q45" s="937"/>
      <c r="R45" s="936">
        <v>60388</v>
      </c>
      <c r="S45" s="937"/>
      <c r="T45" s="936">
        <v>60455</v>
      </c>
      <c r="U45" s="937"/>
      <c r="V45" s="936">
        <v>60599</v>
      </c>
      <c r="W45" s="937"/>
      <c r="X45" s="936">
        <v>61818</v>
      </c>
      <c r="Y45" s="937"/>
      <c r="Z45" s="936">
        <v>61686</v>
      </c>
      <c r="AA45" s="937"/>
      <c r="AB45" s="936">
        <v>61796</v>
      </c>
      <c r="AC45" s="937"/>
      <c r="AD45" s="936">
        <v>61880</v>
      </c>
      <c r="AE45" s="937"/>
      <c r="AF45" s="936">
        <v>61994</v>
      </c>
      <c r="AG45" s="937"/>
      <c r="AH45" s="936">
        <v>62020</v>
      </c>
      <c r="AI45" s="937"/>
      <c r="AJ45" s="936">
        <v>62043</v>
      </c>
      <c r="AK45" s="937"/>
      <c r="AL45" s="936">
        <v>62005</v>
      </c>
      <c r="AM45" s="937"/>
      <c r="AN45" s="936">
        <v>61899</v>
      </c>
      <c r="AO45" s="937"/>
      <c r="AP45" s="936">
        <v>61815</v>
      </c>
      <c r="AQ45" s="937"/>
      <c r="AR45" s="936">
        <v>60924</v>
      </c>
      <c r="AS45" s="937"/>
      <c r="AT45" s="936">
        <v>60841</v>
      </c>
      <c r="AU45" s="937"/>
      <c r="AV45" s="936">
        <v>60752</v>
      </c>
      <c r="AW45" s="937"/>
      <c r="AX45" s="936">
        <v>60661</v>
      </c>
      <c r="AY45" s="937"/>
      <c r="AZ45" s="936">
        <v>60571</v>
      </c>
      <c r="BA45" s="937"/>
      <c r="BB45" s="938">
        <v>60517</v>
      </c>
      <c r="BC45" s="641"/>
      <c r="BD45" s="932" t="s">
        <v>433</v>
      </c>
      <c r="BE45" s="933"/>
      <c r="BF45" s="933"/>
      <c r="BG45" s="933"/>
      <c r="BH45" s="933"/>
      <c r="BI45" s="934"/>
      <c r="BJ45" s="935"/>
      <c r="BK45" s="936">
        <v>60466</v>
      </c>
      <c r="BL45" s="937"/>
      <c r="BM45" s="936">
        <v>60442</v>
      </c>
      <c r="BN45" s="937"/>
      <c r="BO45" s="936">
        <v>60424</v>
      </c>
      <c r="BP45" s="937"/>
      <c r="BQ45" s="936">
        <v>60406</v>
      </c>
      <c r="BR45" s="937"/>
      <c r="BS45" s="936">
        <v>60393</v>
      </c>
      <c r="BT45" s="937"/>
      <c r="BU45" s="936">
        <v>60380</v>
      </c>
      <c r="BV45" s="937"/>
      <c r="BW45" s="936">
        <v>60483</v>
      </c>
      <c r="BX45" s="937"/>
      <c r="BY45" s="936">
        <v>60668</v>
      </c>
      <c r="BZ45" s="937"/>
      <c r="CA45" s="936">
        <v>61919</v>
      </c>
      <c r="CB45" s="937"/>
      <c r="CC45" s="936">
        <v>61788</v>
      </c>
      <c r="CD45" s="937"/>
      <c r="CE45" s="936">
        <v>61901</v>
      </c>
      <c r="CF45" s="937"/>
      <c r="CG45" s="936">
        <v>61986</v>
      </c>
      <c r="CH45" s="937"/>
      <c r="CI45" s="936">
        <v>62070</v>
      </c>
      <c r="CJ45" s="937"/>
      <c r="CK45" s="936">
        <v>62125</v>
      </c>
      <c r="CL45" s="937"/>
      <c r="CM45" s="936">
        <v>62117</v>
      </c>
      <c r="CN45" s="937"/>
      <c r="CO45" s="936">
        <v>62106</v>
      </c>
      <c r="CP45" s="937"/>
      <c r="CQ45" s="936">
        <v>62031</v>
      </c>
      <c r="CR45" s="937"/>
      <c r="CS45" s="936">
        <v>61888</v>
      </c>
      <c r="CT45" s="937"/>
      <c r="CU45" s="936">
        <v>60976</v>
      </c>
      <c r="CV45" s="937"/>
      <c r="CW45" s="936">
        <v>60824</v>
      </c>
      <c r="CX45" s="937"/>
      <c r="CY45" s="936">
        <v>60734</v>
      </c>
      <c r="CZ45" s="937"/>
      <c r="DA45" s="936">
        <v>60641</v>
      </c>
      <c r="DB45" s="937"/>
      <c r="DC45" s="936">
        <v>60545</v>
      </c>
      <c r="DD45" s="937"/>
      <c r="DE45" s="938">
        <v>60489</v>
      </c>
      <c r="DF45" s="641"/>
      <c r="DG45" s="932" t="s">
        <v>432</v>
      </c>
      <c r="DH45" s="933"/>
      <c r="DI45" s="933"/>
      <c r="DJ45" s="933"/>
      <c r="DK45" s="933"/>
      <c r="DL45" s="934"/>
      <c r="DM45" s="935"/>
      <c r="DN45" s="936">
        <v>60354</v>
      </c>
      <c r="DO45" s="937"/>
      <c r="DP45" s="936">
        <v>60354</v>
      </c>
      <c r="DQ45" s="937"/>
      <c r="DR45" s="936">
        <v>60354</v>
      </c>
      <c r="DS45" s="937"/>
      <c r="DT45" s="936">
        <v>60354</v>
      </c>
      <c r="DU45" s="937"/>
      <c r="DV45" s="936">
        <v>60354</v>
      </c>
      <c r="DW45" s="937"/>
      <c r="DX45" s="936">
        <v>60354</v>
      </c>
      <c r="DY45" s="937"/>
      <c r="DZ45" s="936">
        <v>60354</v>
      </c>
      <c r="EA45" s="937"/>
      <c r="EB45" s="936">
        <v>60354</v>
      </c>
      <c r="EC45" s="937"/>
      <c r="ED45" s="936">
        <v>61435</v>
      </c>
      <c r="EE45" s="937"/>
      <c r="EF45" s="936">
        <v>61220</v>
      </c>
      <c r="EG45" s="937"/>
      <c r="EH45" s="936">
        <v>61308</v>
      </c>
      <c r="EI45" s="937"/>
      <c r="EJ45" s="936">
        <v>61395</v>
      </c>
      <c r="EK45" s="937"/>
      <c r="EL45" s="936">
        <v>61434</v>
      </c>
      <c r="EM45" s="937"/>
      <c r="EN45" s="936">
        <v>61463</v>
      </c>
      <c r="EO45" s="937"/>
      <c r="EP45" s="936">
        <v>61457</v>
      </c>
      <c r="EQ45" s="937"/>
      <c r="ER45" s="936">
        <v>61388</v>
      </c>
      <c r="ES45" s="937"/>
      <c r="ET45" s="936">
        <v>61284</v>
      </c>
      <c r="EU45" s="937"/>
      <c r="EV45" s="936">
        <v>61255</v>
      </c>
      <c r="EW45" s="937"/>
      <c r="EX45" s="936">
        <v>60437</v>
      </c>
      <c r="EY45" s="937"/>
      <c r="EZ45" s="936">
        <v>60416</v>
      </c>
      <c r="FA45" s="937"/>
      <c r="FB45" s="936">
        <v>60393</v>
      </c>
      <c r="FC45" s="937"/>
      <c r="FD45" s="936">
        <v>60370</v>
      </c>
      <c r="FE45" s="937"/>
      <c r="FF45" s="936">
        <v>60354</v>
      </c>
      <c r="FG45" s="937"/>
      <c r="FH45" s="938">
        <v>60354</v>
      </c>
      <c r="FI45" s="641"/>
      <c r="FJ45" s="932" t="s">
        <v>433</v>
      </c>
      <c r="FK45" s="933"/>
      <c r="FL45" s="933"/>
      <c r="FM45" s="933"/>
      <c r="FN45" s="933"/>
      <c r="FO45" s="934"/>
      <c r="FP45" s="939"/>
      <c r="FQ45" s="940"/>
      <c r="FR45" s="936">
        <v>0</v>
      </c>
      <c r="FS45" s="941"/>
      <c r="FT45" s="940"/>
      <c r="FU45" s="942">
        <v>0</v>
      </c>
      <c r="FV45" s="586"/>
      <c r="FW45" s="587"/>
      <c r="FX45" s="799"/>
      <c r="FY45" s="589"/>
      <c r="FZ45" s="800"/>
      <c r="GA45" s="591"/>
      <c r="GB45" s="801"/>
      <c r="GC45" s="593"/>
      <c r="GD45" s="801"/>
      <c r="GE45" s="594"/>
      <c r="GF45" s="647"/>
      <c r="GG45" s="648"/>
      <c r="GH45" s="648"/>
      <c r="GI45" s="648"/>
      <c r="GJ45" s="493"/>
      <c r="GK45" s="943"/>
      <c r="GL45" s="943"/>
      <c r="GM45" s="944"/>
      <c r="GN45" s="944"/>
      <c r="GO45" s="945"/>
      <c r="GP45" s="943"/>
      <c r="GQ45" s="943"/>
      <c r="GR45" s="943"/>
      <c r="GS45" s="946"/>
      <c r="GT45" s="854"/>
      <c r="GU45" s="523" t="s">
        <v>595</v>
      </c>
      <c r="GV45" s="410"/>
      <c r="GW45" s="410"/>
      <c r="GX45" s="410"/>
      <c r="GY45" s="523"/>
      <c r="GZ45" s="726"/>
      <c r="HA45" s="744">
        <v>24</v>
      </c>
      <c r="HB45" s="410" t="s">
        <v>484</v>
      </c>
      <c r="HC45" s="931"/>
      <c r="HD45" s="412"/>
    </row>
    <row r="46" spans="1:219" ht="20.100000000000001" customHeight="1">
      <c r="A46" s="947" t="s">
        <v>434</v>
      </c>
      <c r="B46" s="948"/>
      <c r="C46" s="948"/>
      <c r="D46" s="948"/>
      <c r="E46" s="948"/>
      <c r="F46" s="949"/>
      <c r="G46" s="950" t="s">
        <v>435</v>
      </c>
      <c r="H46" s="951"/>
      <c r="I46" s="1284" t="s">
        <v>435</v>
      </c>
      <c r="J46" s="951"/>
      <c r="K46" s="1284" t="s">
        <v>435</v>
      </c>
      <c r="L46" s="951"/>
      <c r="M46" s="1284" t="s">
        <v>435</v>
      </c>
      <c r="N46" s="951"/>
      <c r="O46" s="1284" t="s">
        <v>435</v>
      </c>
      <c r="P46" s="951"/>
      <c r="Q46" s="1284" t="s">
        <v>435</v>
      </c>
      <c r="R46" s="951"/>
      <c r="S46" s="1284" t="s">
        <v>435</v>
      </c>
      <c r="T46" s="951"/>
      <c r="U46" s="1284" t="s">
        <v>435</v>
      </c>
      <c r="V46" s="951"/>
      <c r="W46" s="1284" t="s">
        <v>435</v>
      </c>
      <c r="X46" s="951"/>
      <c r="Y46" s="1284" t="s">
        <v>435</v>
      </c>
      <c r="Z46" s="951"/>
      <c r="AA46" s="1284" t="s">
        <v>435</v>
      </c>
      <c r="AB46" s="951"/>
      <c r="AC46" s="1284" t="s">
        <v>435</v>
      </c>
      <c r="AD46" s="951"/>
      <c r="AE46" s="1284" t="s">
        <v>435</v>
      </c>
      <c r="AF46" s="951"/>
      <c r="AG46" s="1284" t="s">
        <v>435</v>
      </c>
      <c r="AH46" s="951"/>
      <c r="AI46" s="1284" t="s">
        <v>435</v>
      </c>
      <c r="AJ46" s="951"/>
      <c r="AK46" s="1284" t="s">
        <v>435</v>
      </c>
      <c r="AL46" s="951"/>
      <c r="AM46" s="1284" t="s">
        <v>435</v>
      </c>
      <c r="AN46" s="951"/>
      <c r="AO46" s="1284" t="s">
        <v>435</v>
      </c>
      <c r="AP46" s="951"/>
      <c r="AQ46" s="1284" t="s">
        <v>435</v>
      </c>
      <c r="AR46" s="951"/>
      <c r="AS46" s="1284" t="s">
        <v>435</v>
      </c>
      <c r="AT46" s="951"/>
      <c r="AU46" s="1284" t="s">
        <v>435</v>
      </c>
      <c r="AV46" s="951"/>
      <c r="AW46" s="1284" t="s">
        <v>435</v>
      </c>
      <c r="AX46" s="951"/>
      <c r="AY46" s="1284" t="s">
        <v>435</v>
      </c>
      <c r="AZ46" s="953"/>
      <c r="BA46" s="954" t="s">
        <v>435</v>
      </c>
      <c r="BB46" s="1285"/>
      <c r="BC46" s="956"/>
      <c r="BD46" s="947" t="s">
        <v>434</v>
      </c>
      <c r="BE46" s="948"/>
      <c r="BF46" s="948"/>
      <c r="BG46" s="948"/>
      <c r="BH46" s="948"/>
      <c r="BI46" s="949"/>
      <c r="BJ46" s="950" t="s">
        <v>435</v>
      </c>
      <c r="BK46" s="951"/>
      <c r="BL46" s="1284" t="s">
        <v>435</v>
      </c>
      <c r="BM46" s="951"/>
      <c r="BN46" s="1284" t="s">
        <v>435</v>
      </c>
      <c r="BO46" s="951"/>
      <c r="BP46" s="1284" t="s">
        <v>435</v>
      </c>
      <c r="BQ46" s="951"/>
      <c r="BR46" s="1284" t="s">
        <v>435</v>
      </c>
      <c r="BS46" s="951"/>
      <c r="BT46" s="1284" t="s">
        <v>435</v>
      </c>
      <c r="BU46" s="951"/>
      <c r="BV46" s="1284" t="s">
        <v>435</v>
      </c>
      <c r="BW46" s="951"/>
      <c r="BX46" s="1284" t="s">
        <v>435</v>
      </c>
      <c r="BY46" s="951"/>
      <c r="BZ46" s="1284" t="s">
        <v>435</v>
      </c>
      <c r="CA46" s="951"/>
      <c r="CB46" s="1284" t="s">
        <v>435</v>
      </c>
      <c r="CC46" s="951"/>
      <c r="CD46" s="1284" t="s">
        <v>435</v>
      </c>
      <c r="CE46" s="951"/>
      <c r="CF46" s="1284" t="s">
        <v>435</v>
      </c>
      <c r="CG46" s="951"/>
      <c r="CH46" s="1284" t="s">
        <v>435</v>
      </c>
      <c r="CI46" s="951"/>
      <c r="CJ46" s="1284" t="s">
        <v>435</v>
      </c>
      <c r="CK46" s="951"/>
      <c r="CL46" s="1284" t="s">
        <v>435</v>
      </c>
      <c r="CM46" s="951"/>
      <c r="CN46" s="1284" t="s">
        <v>435</v>
      </c>
      <c r="CO46" s="951"/>
      <c r="CP46" s="1284" t="s">
        <v>435</v>
      </c>
      <c r="CQ46" s="951"/>
      <c r="CR46" s="1284" t="s">
        <v>435</v>
      </c>
      <c r="CS46" s="951"/>
      <c r="CT46" s="1284" t="s">
        <v>435</v>
      </c>
      <c r="CU46" s="951"/>
      <c r="CV46" s="1284" t="s">
        <v>435</v>
      </c>
      <c r="CW46" s="951"/>
      <c r="CX46" s="1284" t="s">
        <v>435</v>
      </c>
      <c r="CY46" s="951"/>
      <c r="CZ46" s="1284" t="s">
        <v>435</v>
      </c>
      <c r="DA46" s="951"/>
      <c r="DB46" s="1284" t="s">
        <v>435</v>
      </c>
      <c r="DC46" s="953"/>
      <c r="DD46" s="954" t="s">
        <v>435</v>
      </c>
      <c r="DE46" s="1285"/>
      <c r="DF46" s="956"/>
      <c r="DG46" s="947" t="s">
        <v>305</v>
      </c>
      <c r="DH46" s="948"/>
      <c r="DI46" s="948"/>
      <c r="DJ46" s="948"/>
      <c r="DK46" s="948"/>
      <c r="DL46" s="949"/>
      <c r="DM46" s="950" t="s">
        <v>435</v>
      </c>
      <c r="DN46" s="951"/>
      <c r="DO46" s="1284" t="s">
        <v>435</v>
      </c>
      <c r="DP46" s="951"/>
      <c r="DQ46" s="1284" t="s">
        <v>435</v>
      </c>
      <c r="DR46" s="951"/>
      <c r="DS46" s="1284" t="s">
        <v>435</v>
      </c>
      <c r="DT46" s="951"/>
      <c r="DU46" s="1284" t="s">
        <v>435</v>
      </c>
      <c r="DV46" s="951"/>
      <c r="DW46" s="1284" t="s">
        <v>435</v>
      </c>
      <c r="DX46" s="951"/>
      <c r="DY46" s="1284" t="s">
        <v>435</v>
      </c>
      <c r="DZ46" s="951"/>
      <c r="EA46" s="1284" t="s">
        <v>435</v>
      </c>
      <c r="EB46" s="951"/>
      <c r="EC46" s="1284" t="s">
        <v>435</v>
      </c>
      <c r="ED46" s="951"/>
      <c r="EE46" s="1284" t="s">
        <v>435</v>
      </c>
      <c r="EF46" s="951"/>
      <c r="EG46" s="1284" t="s">
        <v>435</v>
      </c>
      <c r="EH46" s="951"/>
      <c r="EI46" s="1284" t="s">
        <v>435</v>
      </c>
      <c r="EJ46" s="951"/>
      <c r="EK46" s="1284" t="s">
        <v>435</v>
      </c>
      <c r="EL46" s="951"/>
      <c r="EM46" s="1284" t="s">
        <v>435</v>
      </c>
      <c r="EN46" s="951"/>
      <c r="EO46" s="1284" t="s">
        <v>435</v>
      </c>
      <c r="EP46" s="951"/>
      <c r="EQ46" s="1284" t="s">
        <v>435</v>
      </c>
      <c r="ER46" s="951"/>
      <c r="ES46" s="1284" t="s">
        <v>435</v>
      </c>
      <c r="ET46" s="951"/>
      <c r="EU46" s="1284" t="s">
        <v>435</v>
      </c>
      <c r="EV46" s="951"/>
      <c r="EW46" s="1284" t="s">
        <v>435</v>
      </c>
      <c r="EX46" s="951"/>
      <c r="EY46" s="1284" t="s">
        <v>435</v>
      </c>
      <c r="EZ46" s="951"/>
      <c r="FA46" s="1284" t="s">
        <v>435</v>
      </c>
      <c r="FB46" s="951"/>
      <c r="FC46" s="1284" t="s">
        <v>435</v>
      </c>
      <c r="FD46" s="951"/>
      <c r="FE46" s="1284" t="s">
        <v>435</v>
      </c>
      <c r="FF46" s="953"/>
      <c r="FG46" s="954" t="s">
        <v>435</v>
      </c>
      <c r="FH46" s="1285"/>
      <c r="FI46" s="956"/>
      <c r="FJ46" s="947" t="s">
        <v>436</v>
      </c>
      <c r="FK46" s="948"/>
      <c r="FL46" s="948"/>
      <c r="FM46" s="948"/>
      <c r="FN46" s="948"/>
      <c r="FO46" s="949"/>
      <c r="FP46" s="957"/>
      <c r="FQ46" s="958">
        <v>1</v>
      </c>
      <c r="FR46" s="951"/>
      <c r="FS46" s="959"/>
      <c r="FT46" s="960">
        <v>1</v>
      </c>
      <c r="FU46" s="961"/>
      <c r="FV46" s="911"/>
      <c r="FW46" s="912"/>
      <c r="FX46" s="913"/>
      <c r="FY46" s="914"/>
      <c r="FZ46" s="915"/>
      <c r="GA46" s="916"/>
      <c r="GB46" s="917"/>
      <c r="GC46" s="918"/>
      <c r="GD46" s="917"/>
      <c r="GE46" s="919"/>
      <c r="GF46" s="681"/>
      <c r="GG46" s="962"/>
      <c r="GH46" s="962"/>
      <c r="GI46" s="962"/>
      <c r="GJ46" s="410"/>
      <c r="GK46" s="406"/>
      <c r="GL46" s="410"/>
      <c r="GM46" s="743"/>
      <c r="GN46" s="743"/>
      <c r="GO46" s="743"/>
      <c r="GP46" s="743"/>
      <c r="GQ46" s="743"/>
      <c r="GR46" s="854"/>
      <c r="GS46" s="573"/>
      <c r="GT46" s="756"/>
      <c r="GU46" s="767" t="s">
        <v>512</v>
      </c>
      <c r="GV46" s="767"/>
      <c r="GW46" s="767"/>
      <c r="GX46" s="767"/>
      <c r="GY46" s="608"/>
      <c r="GZ46" s="768"/>
      <c r="HA46" s="744">
        <v>27.9</v>
      </c>
      <c r="HB46" s="410" t="s">
        <v>484</v>
      </c>
      <c r="HC46" s="931"/>
      <c r="HD46" s="412"/>
    </row>
    <row r="47" spans="1:219" ht="20.100000000000001" customHeight="1" thickBot="1">
      <c r="A47" s="963" t="s">
        <v>437</v>
      </c>
      <c r="B47" s="964"/>
      <c r="C47" s="964"/>
      <c r="D47" s="965"/>
      <c r="E47" s="966"/>
      <c r="F47" s="966"/>
      <c r="G47" s="967"/>
      <c r="H47" s="968">
        <v>63486</v>
      </c>
      <c r="I47" s="969"/>
      <c r="J47" s="968">
        <v>63467</v>
      </c>
      <c r="K47" s="969"/>
      <c r="L47" s="968">
        <v>63448</v>
      </c>
      <c r="M47" s="969"/>
      <c r="N47" s="968">
        <v>63435</v>
      </c>
      <c r="O47" s="969"/>
      <c r="P47" s="968">
        <v>63418</v>
      </c>
      <c r="Q47" s="969"/>
      <c r="R47" s="968">
        <v>63407</v>
      </c>
      <c r="S47" s="969"/>
      <c r="T47" s="968">
        <v>63478</v>
      </c>
      <c r="U47" s="969"/>
      <c r="V47" s="968">
        <v>63629</v>
      </c>
      <c r="W47" s="969"/>
      <c r="X47" s="968">
        <v>64909</v>
      </c>
      <c r="Y47" s="969"/>
      <c r="Z47" s="968">
        <v>64770</v>
      </c>
      <c r="AA47" s="969"/>
      <c r="AB47" s="968">
        <v>64886</v>
      </c>
      <c r="AC47" s="969"/>
      <c r="AD47" s="968">
        <v>64974</v>
      </c>
      <c r="AE47" s="969"/>
      <c r="AF47" s="968">
        <v>65094</v>
      </c>
      <c r="AG47" s="969"/>
      <c r="AH47" s="968">
        <v>65121</v>
      </c>
      <c r="AI47" s="969"/>
      <c r="AJ47" s="968">
        <v>65145</v>
      </c>
      <c r="AK47" s="969"/>
      <c r="AL47" s="968">
        <v>65105</v>
      </c>
      <c r="AM47" s="969"/>
      <c r="AN47" s="968">
        <v>64994</v>
      </c>
      <c r="AO47" s="969"/>
      <c r="AP47" s="968">
        <v>64906</v>
      </c>
      <c r="AQ47" s="969"/>
      <c r="AR47" s="968">
        <v>63970</v>
      </c>
      <c r="AS47" s="969"/>
      <c r="AT47" s="968">
        <v>63883</v>
      </c>
      <c r="AU47" s="969"/>
      <c r="AV47" s="968">
        <v>63790</v>
      </c>
      <c r="AW47" s="969"/>
      <c r="AX47" s="968">
        <v>63694</v>
      </c>
      <c r="AY47" s="970"/>
      <c r="AZ47" s="971">
        <v>63600</v>
      </c>
      <c r="BA47" s="972"/>
      <c r="BB47" s="973">
        <v>63543</v>
      </c>
      <c r="BC47" s="974"/>
      <c r="BD47" s="963" t="s">
        <v>437</v>
      </c>
      <c r="BE47" s="964"/>
      <c r="BF47" s="964"/>
      <c r="BG47" s="965"/>
      <c r="BH47" s="966"/>
      <c r="BI47" s="966"/>
      <c r="BJ47" s="967"/>
      <c r="BK47" s="968">
        <v>63489</v>
      </c>
      <c r="BL47" s="969"/>
      <c r="BM47" s="968">
        <v>63464</v>
      </c>
      <c r="BN47" s="969"/>
      <c r="BO47" s="968">
        <v>63445</v>
      </c>
      <c r="BP47" s="969"/>
      <c r="BQ47" s="968">
        <v>63426</v>
      </c>
      <c r="BR47" s="969"/>
      <c r="BS47" s="968">
        <v>63413</v>
      </c>
      <c r="BT47" s="969"/>
      <c r="BU47" s="968">
        <v>63399</v>
      </c>
      <c r="BV47" s="969"/>
      <c r="BW47" s="968">
        <v>63507</v>
      </c>
      <c r="BX47" s="969"/>
      <c r="BY47" s="968">
        <v>63701</v>
      </c>
      <c r="BZ47" s="969"/>
      <c r="CA47" s="968">
        <v>65015</v>
      </c>
      <c r="CB47" s="969"/>
      <c r="CC47" s="968">
        <v>64877</v>
      </c>
      <c r="CD47" s="969"/>
      <c r="CE47" s="968">
        <v>64996</v>
      </c>
      <c r="CF47" s="969"/>
      <c r="CG47" s="968">
        <v>65085</v>
      </c>
      <c r="CH47" s="969"/>
      <c r="CI47" s="968">
        <v>65174</v>
      </c>
      <c r="CJ47" s="969"/>
      <c r="CK47" s="968">
        <v>65231</v>
      </c>
      <c r="CL47" s="969"/>
      <c r="CM47" s="968">
        <v>65223</v>
      </c>
      <c r="CN47" s="969"/>
      <c r="CO47" s="968">
        <v>65211</v>
      </c>
      <c r="CP47" s="969"/>
      <c r="CQ47" s="968">
        <v>65133</v>
      </c>
      <c r="CR47" s="969"/>
      <c r="CS47" s="968">
        <v>64982</v>
      </c>
      <c r="CT47" s="969"/>
      <c r="CU47" s="968">
        <v>64025</v>
      </c>
      <c r="CV47" s="969"/>
      <c r="CW47" s="968">
        <v>63865</v>
      </c>
      <c r="CX47" s="969"/>
      <c r="CY47" s="968">
        <v>63771</v>
      </c>
      <c r="CZ47" s="969"/>
      <c r="DA47" s="968">
        <v>63673</v>
      </c>
      <c r="DB47" s="970"/>
      <c r="DC47" s="971">
        <v>63572</v>
      </c>
      <c r="DD47" s="972"/>
      <c r="DE47" s="973">
        <v>63513</v>
      </c>
      <c r="DF47" s="974"/>
      <c r="DG47" s="963" t="s">
        <v>437</v>
      </c>
      <c r="DH47" s="964"/>
      <c r="DI47" s="964"/>
      <c r="DJ47" s="965"/>
      <c r="DK47" s="966"/>
      <c r="DL47" s="966"/>
      <c r="DM47" s="967"/>
      <c r="DN47" s="968">
        <v>63372</v>
      </c>
      <c r="DO47" s="969"/>
      <c r="DP47" s="968">
        <v>63372</v>
      </c>
      <c r="DQ47" s="969"/>
      <c r="DR47" s="968">
        <v>63372</v>
      </c>
      <c r="DS47" s="969"/>
      <c r="DT47" s="968">
        <v>63372</v>
      </c>
      <c r="DU47" s="969"/>
      <c r="DV47" s="968">
        <v>63372</v>
      </c>
      <c r="DW47" s="969"/>
      <c r="DX47" s="968">
        <v>63372</v>
      </c>
      <c r="DY47" s="969"/>
      <c r="DZ47" s="968">
        <v>63372</v>
      </c>
      <c r="EA47" s="969"/>
      <c r="EB47" s="968">
        <v>63372</v>
      </c>
      <c r="EC47" s="969"/>
      <c r="ED47" s="968">
        <v>64507</v>
      </c>
      <c r="EE47" s="969"/>
      <c r="EF47" s="968">
        <v>64281</v>
      </c>
      <c r="EG47" s="969"/>
      <c r="EH47" s="968">
        <v>64373</v>
      </c>
      <c r="EI47" s="969"/>
      <c r="EJ47" s="968">
        <v>64465</v>
      </c>
      <c r="EK47" s="969"/>
      <c r="EL47" s="968">
        <v>64506</v>
      </c>
      <c r="EM47" s="969"/>
      <c r="EN47" s="968">
        <v>64536</v>
      </c>
      <c r="EO47" s="969"/>
      <c r="EP47" s="968">
        <v>64530</v>
      </c>
      <c r="EQ47" s="969"/>
      <c r="ER47" s="968">
        <v>64457</v>
      </c>
      <c r="ES47" s="969"/>
      <c r="ET47" s="968">
        <v>64348</v>
      </c>
      <c r="EU47" s="969"/>
      <c r="EV47" s="968">
        <v>64318</v>
      </c>
      <c r="EW47" s="969"/>
      <c r="EX47" s="968">
        <v>63459</v>
      </c>
      <c r="EY47" s="969"/>
      <c r="EZ47" s="968">
        <v>63437</v>
      </c>
      <c r="FA47" s="969"/>
      <c r="FB47" s="968">
        <v>63413</v>
      </c>
      <c r="FC47" s="969"/>
      <c r="FD47" s="968">
        <v>63389</v>
      </c>
      <c r="FE47" s="970"/>
      <c r="FF47" s="971">
        <v>63372</v>
      </c>
      <c r="FG47" s="972"/>
      <c r="FH47" s="973">
        <v>63372</v>
      </c>
      <c r="FI47" s="974"/>
      <c r="FJ47" s="963" t="s">
        <v>437</v>
      </c>
      <c r="FK47" s="964"/>
      <c r="FL47" s="964"/>
      <c r="FM47" s="965"/>
      <c r="FN47" s="966"/>
      <c r="FO47" s="966"/>
      <c r="FP47" s="975"/>
      <c r="FQ47" s="976"/>
      <c r="FR47" s="968">
        <v>0</v>
      </c>
      <c r="FS47" s="977"/>
      <c r="FT47" s="976"/>
      <c r="FU47" s="978">
        <v>0</v>
      </c>
      <c r="FV47" s="979">
        <v>15</v>
      </c>
      <c r="FW47" s="968">
        <v>65145</v>
      </c>
      <c r="FX47" s="980">
        <v>14</v>
      </c>
      <c r="FY47" s="968">
        <v>65231</v>
      </c>
      <c r="FZ47" s="980">
        <v>14</v>
      </c>
      <c r="GA47" s="968">
        <v>64536</v>
      </c>
      <c r="GB47" s="981" t="s">
        <v>337</v>
      </c>
      <c r="GC47" s="968">
        <v>65231</v>
      </c>
      <c r="GD47" s="981" t="s">
        <v>339</v>
      </c>
      <c r="GE47" s="982">
        <v>0</v>
      </c>
      <c r="GF47" s="681"/>
      <c r="GG47" s="983"/>
      <c r="GH47" s="983"/>
      <c r="GI47" s="983"/>
      <c r="GJ47" s="886"/>
      <c r="GK47" s="410" t="s">
        <v>513</v>
      </c>
      <c r="GL47" s="886"/>
      <c r="GM47" s="523"/>
      <c r="GN47" s="886"/>
      <c r="GO47" s="523"/>
      <c r="GP47" s="523"/>
      <c r="GQ47" s="523"/>
      <c r="GR47" s="886"/>
      <c r="GS47" s="523"/>
      <c r="GT47" s="756"/>
      <c r="GU47" s="767" t="s">
        <v>514</v>
      </c>
      <c r="GV47" s="767"/>
      <c r="GW47" s="767"/>
      <c r="GX47" s="767"/>
      <c r="GY47" s="523"/>
      <c r="GZ47" s="410"/>
      <c r="HA47" s="771">
        <v>0.37</v>
      </c>
      <c r="HB47" s="410"/>
      <c r="HC47" s="974"/>
      <c r="HD47" s="412"/>
    </row>
    <row r="48" spans="1:219" ht="20.100000000000001" customHeight="1">
      <c r="A48" s="984" t="s">
        <v>438</v>
      </c>
      <c r="B48" s="985" t="s">
        <v>439</v>
      </c>
      <c r="C48" s="888"/>
      <c r="D48" s="818"/>
      <c r="E48" s="818"/>
      <c r="F48" s="819"/>
      <c r="G48" s="733" t="s">
        <v>441</v>
      </c>
      <c r="H48" s="656" t="s">
        <v>385</v>
      </c>
      <c r="I48" s="735" t="s">
        <v>441</v>
      </c>
      <c r="J48" s="986" t="s">
        <v>385</v>
      </c>
      <c r="K48" s="735" t="s">
        <v>440</v>
      </c>
      <c r="L48" s="986" t="s">
        <v>385</v>
      </c>
      <c r="M48" s="735" t="s">
        <v>440</v>
      </c>
      <c r="N48" s="986" t="s">
        <v>385</v>
      </c>
      <c r="O48" s="735" t="s">
        <v>440</v>
      </c>
      <c r="P48" s="986" t="s">
        <v>385</v>
      </c>
      <c r="Q48" s="735" t="s">
        <v>440</v>
      </c>
      <c r="R48" s="986" t="s">
        <v>385</v>
      </c>
      <c r="S48" s="735" t="s">
        <v>441</v>
      </c>
      <c r="T48" s="986" t="s">
        <v>388</v>
      </c>
      <c r="U48" s="735" t="s">
        <v>441</v>
      </c>
      <c r="V48" s="986" t="s">
        <v>388</v>
      </c>
      <c r="W48" s="735" t="s">
        <v>441</v>
      </c>
      <c r="X48" s="986" t="s">
        <v>385</v>
      </c>
      <c r="Y48" s="735" t="s">
        <v>441</v>
      </c>
      <c r="Z48" s="986" t="s">
        <v>388</v>
      </c>
      <c r="AA48" s="735" t="s">
        <v>440</v>
      </c>
      <c r="AB48" s="986" t="s">
        <v>388</v>
      </c>
      <c r="AC48" s="735" t="s">
        <v>441</v>
      </c>
      <c r="AD48" s="986" t="s">
        <v>385</v>
      </c>
      <c r="AE48" s="735" t="s">
        <v>441</v>
      </c>
      <c r="AF48" s="986" t="s">
        <v>388</v>
      </c>
      <c r="AG48" s="735" t="s">
        <v>440</v>
      </c>
      <c r="AH48" s="986" t="s">
        <v>385</v>
      </c>
      <c r="AI48" s="735" t="s">
        <v>440</v>
      </c>
      <c r="AJ48" s="986" t="s">
        <v>388</v>
      </c>
      <c r="AK48" s="735" t="s">
        <v>441</v>
      </c>
      <c r="AL48" s="986" t="s">
        <v>385</v>
      </c>
      <c r="AM48" s="735" t="s">
        <v>441</v>
      </c>
      <c r="AN48" s="986" t="s">
        <v>388</v>
      </c>
      <c r="AO48" s="735" t="s">
        <v>440</v>
      </c>
      <c r="AP48" s="986" t="s">
        <v>388</v>
      </c>
      <c r="AQ48" s="735" t="s">
        <v>441</v>
      </c>
      <c r="AR48" s="986" t="s">
        <v>385</v>
      </c>
      <c r="AS48" s="735" t="s">
        <v>440</v>
      </c>
      <c r="AT48" s="986" t="s">
        <v>385</v>
      </c>
      <c r="AU48" s="735" t="s">
        <v>441</v>
      </c>
      <c r="AV48" s="986" t="s">
        <v>385</v>
      </c>
      <c r="AW48" s="735" t="s">
        <v>440</v>
      </c>
      <c r="AX48" s="986" t="s">
        <v>388</v>
      </c>
      <c r="AY48" s="735" t="s">
        <v>440</v>
      </c>
      <c r="AZ48" s="987" t="s">
        <v>388</v>
      </c>
      <c r="BA48" s="988" t="s">
        <v>440</v>
      </c>
      <c r="BB48" s="989" t="s">
        <v>388</v>
      </c>
      <c r="BC48" s="925"/>
      <c r="BD48" s="984" t="s">
        <v>443</v>
      </c>
      <c r="BE48" s="985" t="s">
        <v>442</v>
      </c>
      <c r="BF48" s="888"/>
      <c r="BG48" s="818"/>
      <c r="BH48" s="818"/>
      <c r="BI48" s="819"/>
      <c r="BJ48" s="733" t="s">
        <v>440</v>
      </c>
      <c r="BK48" s="656" t="s">
        <v>385</v>
      </c>
      <c r="BL48" s="735" t="s">
        <v>441</v>
      </c>
      <c r="BM48" s="986" t="s">
        <v>388</v>
      </c>
      <c r="BN48" s="735" t="s">
        <v>440</v>
      </c>
      <c r="BO48" s="986" t="s">
        <v>385</v>
      </c>
      <c r="BP48" s="735" t="s">
        <v>440</v>
      </c>
      <c r="BQ48" s="986" t="s">
        <v>385</v>
      </c>
      <c r="BR48" s="735" t="s">
        <v>440</v>
      </c>
      <c r="BS48" s="986" t="s">
        <v>388</v>
      </c>
      <c r="BT48" s="735" t="s">
        <v>441</v>
      </c>
      <c r="BU48" s="986" t="s">
        <v>385</v>
      </c>
      <c r="BV48" s="735" t="s">
        <v>441</v>
      </c>
      <c r="BW48" s="986" t="s">
        <v>388</v>
      </c>
      <c r="BX48" s="735" t="s">
        <v>440</v>
      </c>
      <c r="BY48" s="986" t="s">
        <v>385</v>
      </c>
      <c r="BZ48" s="735" t="s">
        <v>440</v>
      </c>
      <c r="CA48" s="986" t="s">
        <v>388</v>
      </c>
      <c r="CB48" s="735" t="s">
        <v>440</v>
      </c>
      <c r="CC48" s="986" t="s">
        <v>385</v>
      </c>
      <c r="CD48" s="735" t="s">
        <v>440</v>
      </c>
      <c r="CE48" s="986" t="s">
        <v>385</v>
      </c>
      <c r="CF48" s="735" t="s">
        <v>441</v>
      </c>
      <c r="CG48" s="986" t="s">
        <v>388</v>
      </c>
      <c r="CH48" s="735" t="s">
        <v>441</v>
      </c>
      <c r="CI48" s="986" t="s">
        <v>388</v>
      </c>
      <c r="CJ48" s="735" t="s">
        <v>441</v>
      </c>
      <c r="CK48" s="986" t="s">
        <v>385</v>
      </c>
      <c r="CL48" s="735" t="s">
        <v>441</v>
      </c>
      <c r="CM48" s="986" t="s">
        <v>388</v>
      </c>
      <c r="CN48" s="735" t="s">
        <v>440</v>
      </c>
      <c r="CO48" s="986" t="s">
        <v>388</v>
      </c>
      <c r="CP48" s="735" t="s">
        <v>441</v>
      </c>
      <c r="CQ48" s="986" t="s">
        <v>385</v>
      </c>
      <c r="CR48" s="735" t="s">
        <v>441</v>
      </c>
      <c r="CS48" s="986" t="s">
        <v>388</v>
      </c>
      <c r="CT48" s="735" t="s">
        <v>440</v>
      </c>
      <c r="CU48" s="986" t="s">
        <v>385</v>
      </c>
      <c r="CV48" s="735" t="s">
        <v>440</v>
      </c>
      <c r="CW48" s="986" t="s">
        <v>388</v>
      </c>
      <c r="CX48" s="735" t="s">
        <v>441</v>
      </c>
      <c r="CY48" s="986" t="s">
        <v>385</v>
      </c>
      <c r="CZ48" s="735" t="s">
        <v>441</v>
      </c>
      <c r="DA48" s="986" t="s">
        <v>388</v>
      </c>
      <c r="DB48" s="735" t="s">
        <v>440</v>
      </c>
      <c r="DC48" s="987" t="s">
        <v>388</v>
      </c>
      <c r="DD48" s="988" t="s">
        <v>441</v>
      </c>
      <c r="DE48" s="989" t="s">
        <v>385</v>
      </c>
      <c r="DF48" s="925"/>
      <c r="DG48" s="984" t="s">
        <v>443</v>
      </c>
      <c r="DH48" s="985" t="s">
        <v>439</v>
      </c>
      <c r="DI48" s="888"/>
      <c r="DJ48" s="818"/>
      <c r="DK48" s="818"/>
      <c r="DL48" s="819"/>
      <c r="DM48" s="733" t="s">
        <v>440</v>
      </c>
      <c r="DN48" s="656" t="s">
        <v>385</v>
      </c>
      <c r="DO48" s="735" t="s">
        <v>440</v>
      </c>
      <c r="DP48" s="986" t="s">
        <v>388</v>
      </c>
      <c r="DQ48" s="735" t="s">
        <v>441</v>
      </c>
      <c r="DR48" s="986" t="s">
        <v>388</v>
      </c>
      <c r="DS48" s="735" t="s">
        <v>440</v>
      </c>
      <c r="DT48" s="986" t="s">
        <v>385</v>
      </c>
      <c r="DU48" s="735" t="s">
        <v>440</v>
      </c>
      <c r="DV48" s="986" t="s">
        <v>385</v>
      </c>
      <c r="DW48" s="735" t="s">
        <v>441</v>
      </c>
      <c r="DX48" s="986" t="s">
        <v>385</v>
      </c>
      <c r="DY48" s="735" t="s">
        <v>441</v>
      </c>
      <c r="DZ48" s="986" t="s">
        <v>388</v>
      </c>
      <c r="EA48" s="735" t="s">
        <v>440</v>
      </c>
      <c r="EB48" s="986" t="s">
        <v>385</v>
      </c>
      <c r="EC48" s="735" t="s">
        <v>440</v>
      </c>
      <c r="ED48" s="986" t="s">
        <v>388</v>
      </c>
      <c r="EE48" s="735" t="s">
        <v>440</v>
      </c>
      <c r="EF48" s="986" t="s">
        <v>388</v>
      </c>
      <c r="EG48" s="735" t="s">
        <v>441</v>
      </c>
      <c r="EH48" s="986" t="s">
        <v>385</v>
      </c>
      <c r="EI48" s="735" t="s">
        <v>441</v>
      </c>
      <c r="EJ48" s="986" t="s">
        <v>388</v>
      </c>
      <c r="EK48" s="735" t="s">
        <v>440</v>
      </c>
      <c r="EL48" s="986" t="s">
        <v>385</v>
      </c>
      <c r="EM48" s="735" t="s">
        <v>440</v>
      </c>
      <c r="EN48" s="986" t="s">
        <v>385</v>
      </c>
      <c r="EO48" s="735" t="s">
        <v>440</v>
      </c>
      <c r="EP48" s="986" t="s">
        <v>385</v>
      </c>
      <c r="EQ48" s="735" t="s">
        <v>440</v>
      </c>
      <c r="ER48" s="986" t="s">
        <v>385</v>
      </c>
      <c r="ES48" s="735" t="s">
        <v>441</v>
      </c>
      <c r="ET48" s="986" t="s">
        <v>388</v>
      </c>
      <c r="EU48" s="735" t="s">
        <v>441</v>
      </c>
      <c r="EV48" s="986" t="s">
        <v>388</v>
      </c>
      <c r="EW48" s="735" t="s">
        <v>441</v>
      </c>
      <c r="EX48" s="986" t="s">
        <v>385</v>
      </c>
      <c r="EY48" s="735" t="s">
        <v>441</v>
      </c>
      <c r="EZ48" s="986" t="s">
        <v>388</v>
      </c>
      <c r="FA48" s="735" t="s">
        <v>440</v>
      </c>
      <c r="FB48" s="986" t="s">
        <v>388</v>
      </c>
      <c r="FC48" s="735" t="s">
        <v>441</v>
      </c>
      <c r="FD48" s="986" t="s">
        <v>385</v>
      </c>
      <c r="FE48" s="735" t="s">
        <v>441</v>
      </c>
      <c r="FF48" s="987" t="s">
        <v>388</v>
      </c>
      <c r="FG48" s="988" t="s">
        <v>440</v>
      </c>
      <c r="FH48" s="989" t="s">
        <v>385</v>
      </c>
      <c r="FI48" s="925"/>
      <c r="FJ48" s="984" t="s">
        <v>438</v>
      </c>
      <c r="FK48" s="731" t="s">
        <v>442</v>
      </c>
      <c r="FL48" s="888"/>
      <c r="FM48" s="818"/>
      <c r="FN48" s="818"/>
      <c r="FO48" s="819"/>
      <c r="FP48" s="740" t="s">
        <v>390</v>
      </c>
      <c r="FQ48" s="666" t="s">
        <v>441</v>
      </c>
      <c r="FR48" s="656" t="s">
        <v>408</v>
      </c>
      <c r="FS48" s="990" t="s">
        <v>390</v>
      </c>
      <c r="FT48" s="666" t="s">
        <v>440</v>
      </c>
      <c r="FU48" s="991" t="s">
        <v>391</v>
      </c>
      <c r="FV48" s="992"/>
      <c r="FW48" s="986" t="s">
        <v>289</v>
      </c>
      <c r="FX48" s="990"/>
      <c r="FY48" s="986" t="s">
        <v>289</v>
      </c>
      <c r="FZ48" s="990"/>
      <c r="GA48" s="986" t="s">
        <v>289</v>
      </c>
      <c r="GB48" s="990"/>
      <c r="GC48" s="986" t="s">
        <v>289</v>
      </c>
      <c r="GD48" s="990"/>
      <c r="GE48" s="993" t="s">
        <v>290</v>
      </c>
      <c r="GF48" s="681"/>
      <c r="GG48" s="648"/>
      <c r="GH48" s="648"/>
      <c r="GI48" s="648"/>
      <c r="GJ48" s="523"/>
      <c r="GK48" s="608" t="s">
        <v>515</v>
      </c>
      <c r="GL48" s="523"/>
      <c r="GM48" s="608"/>
      <c r="GN48" s="523"/>
      <c r="GO48" s="608"/>
      <c r="GP48" s="608"/>
      <c r="GQ48" s="608"/>
      <c r="GR48" s="523"/>
      <c r="GS48" s="523"/>
      <c r="GT48" s="493"/>
      <c r="GU48" s="493"/>
      <c r="GV48" s="493"/>
      <c r="GW48" s="572"/>
      <c r="GX48" s="572"/>
      <c r="GY48" s="572"/>
      <c r="GZ48" s="571"/>
      <c r="HA48" s="493"/>
      <c r="HB48" s="493"/>
      <c r="HC48" s="974"/>
      <c r="HD48" s="412"/>
    </row>
    <row r="49" spans="1:212" ht="20.100000000000001" customHeight="1">
      <c r="A49" s="994"/>
      <c r="B49" s="745" t="s">
        <v>392</v>
      </c>
      <c r="C49" s="995"/>
      <c r="D49" s="747">
        <v>40</v>
      </c>
      <c r="E49" s="748">
        <v>2</v>
      </c>
      <c r="F49" s="996" t="s">
        <v>393</v>
      </c>
      <c r="G49" s="750">
        <v>1</v>
      </c>
      <c r="H49" s="552">
        <v>80</v>
      </c>
      <c r="I49" s="751">
        <v>1</v>
      </c>
      <c r="J49" s="552">
        <v>80</v>
      </c>
      <c r="K49" s="751">
        <v>1</v>
      </c>
      <c r="L49" s="552">
        <v>80</v>
      </c>
      <c r="M49" s="751">
        <v>1</v>
      </c>
      <c r="N49" s="552">
        <v>80</v>
      </c>
      <c r="O49" s="751">
        <v>1</v>
      </c>
      <c r="P49" s="552">
        <v>80</v>
      </c>
      <c r="Q49" s="751">
        <v>1</v>
      </c>
      <c r="R49" s="552">
        <v>80</v>
      </c>
      <c r="S49" s="751">
        <v>1</v>
      </c>
      <c r="T49" s="552">
        <v>80</v>
      </c>
      <c r="U49" s="751">
        <v>1</v>
      </c>
      <c r="V49" s="552">
        <v>80</v>
      </c>
      <c r="W49" s="751">
        <v>1</v>
      </c>
      <c r="X49" s="552">
        <v>80</v>
      </c>
      <c r="Y49" s="751">
        <v>1</v>
      </c>
      <c r="Z49" s="552">
        <v>80</v>
      </c>
      <c r="AA49" s="751">
        <v>1</v>
      </c>
      <c r="AB49" s="552">
        <v>80</v>
      </c>
      <c r="AC49" s="751">
        <v>1</v>
      </c>
      <c r="AD49" s="552">
        <v>80</v>
      </c>
      <c r="AE49" s="751">
        <v>1</v>
      </c>
      <c r="AF49" s="552">
        <v>80</v>
      </c>
      <c r="AG49" s="751">
        <v>1</v>
      </c>
      <c r="AH49" s="552">
        <v>80</v>
      </c>
      <c r="AI49" s="751">
        <v>1</v>
      </c>
      <c r="AJ49" s="552">
        <v>80</v>
      </c>
      <c r="AK49" s="751">
        <v>1</v>
      </c>
      <c r="AL49" s="552">
        <v>80</v>
      </c>
      <c r="AM49" s="751">
        <v>1</v>
      </c>
      <c r="AN49" s="552">
        <v>80</v>
      </c>
      <c r="AO49" s="751">
        <v>1</v>
      </c>
      <c r="AP49" s="552">
        <v>80</v>
      </c>
      <c r="AQ49" s="751">
        <v>1</v>
      </c>
      <c r="AR49" s="552">
        <v>80</v>
      </c>
      <c r="AS49" s="751">
        <v>1</v>
      </c>
      <c r="AT49" s="552">
        <v>80</v>
      </c>
      <c r="AU49" s="751">
        <v>1</v>
      </c>
      <c r="AV49" s="552">
        <v>80</v>
      </c>
      <c r="AW49" s="751">
        <v>1</v>
      </c>
      <c r="AX49" s="552">
        <v>80</v>
      </c>
      <c r="AY49" s="997">
        <v>1</v>
      </c>
      <c r="AZ49" s="998">
        <v>80</v>
      </c>
      <c r="BA49" s="999">
        <v>1</v>
      </c>
      <c r="BB49" s="1000">
        <v>80</v>
      </c>
      <c r="BC49" s="931"/>
      <c r="BD49" s="994"/>
      <c r="BE49" s="745" t="s">
        <v>392</v>
      </c>
      <c r="BF49" s="995"/>
      <c r="BG49" s="747"/>
      <c r="BH49" s="748">
        <v>2</v>
      </c>
      <c r="BI49" s="996" t="s">
        <v>393</v>
      </c>
      <c r="BJ49" s="750">
        <v>1</v>
      </c>
      <c r="BK49" s="552">
        <v>80</v>
      </c>
      <c r="BL49" s="751">
        <v>1</v>
      </c>
      <c r="BM49" s="552">
        <v>80</v>
      </c>
      <c r="BN49" s="751">
        <v>1</v>
      </c>
      <c r="BO49" s="552">
        <v>80</v>
      </c>
      <c r="BP49" s="751">
        <v>1</v>
      </c>
      <c r="BQ49" s="552">
        <v>80</v>
      </c>
      <c r="BR49" s="751">
        <v>1</v>
      </c>
      <c r="BS49" s="552">
        <v>80</v>
      </c>
      <c r="BT49" s="751">
        <v>1</v>
      </c>
      <c r="BU49" s="552">
        <v>80</v>
      </c>
      <c r="BV49" s="751">
        <v>1</v>
      </c>
      <c r="BW49" s="552">
        <v>80</v>
      </c>
      <c r="BX49" s="751">
        <v>1</v>
      </c>
      <c r="BY49" s="552">
        <v>80</v>
      </c>
      <c r="BZ49" s="751">
        <v>1</v>
      </c>
      <c r="CA49" s="552">
        <v>80</v>
      </c>
      <c r="CB49" s="751">
        <v>1</v>
      </c>
      <c r="CC49" s="552">
        <v>80</v>
      </c>
      <c r="CD49" s="751">
        <v>1</v>
      </c>
      <c r="CE49" s="552">
        <v>80</v>
      </c>
      <c r="CF49" s="751">
        <v>1</v>
      </c>
      <c r="CG49" s="552">
        <v>80</v>
      </c>
      <c r="CH49" s="751">
        <v>1</v>
      </c>
      <c r="CI49" s="552">
        <v>80</v>
      </c>
      <c r="CJ49" s="751">
        <v>1</v>
      </c>
      <c r="CK49" s="552">
        <v>80</v>
      </c>
      <c r="CL49" s="751">
        <v>1</v>
      </c>
      <c r="CM49" s="552">
        <v>80</v>
      </c>
      <c r="CN49" s="751">
        <v>1</v>
      </c>
      <c r="CO49" s="552">
        <v>80</v>
      </c>
      <c r="CP49" s="751">
        <v>1</v>
      </c>
      <c r="CQ49" s="552">
        <v>80</v>
      </c>
      <c r="CR49" s="751">
        <v>1</v>
      </c>
      <c r="CS49" s="552">
        <v>80</v>
      </c>
      <c r="CT49" s="751">
        <v>1</v>
      </c>
      <c r="CU49" s="552">
        <v>80</v>
      </c>
      <c r="CV49" s="751">
        <v>1</v>
      </c>
      <c r="CW49" s="552">
        <v>80</v>
      </c>
      <c r="CX49" s="751">
        <v>1</v>
      </c>
      <c r="CY49" s="552">
        <v>80</v>
      </c>
      <c r="CZ49" s="751">
        <v>1</v>
      </c>
      <c r="DA49" s="552">
        <v>80</v>
      </c>
      <c r="DB49" s="997">
        <v>1</v>
      </c>
      <c r="DC49" s="998">
        <v>80</v>
      </c>
      <c r="DD49" s="999">
        <v>1</v>
      </c>
      <c r="DE49" s="1000">
        <v>80</v>
      </c>
      <c r="DF49" s="931"/>
      <c r="DG49" s="994"/>
      <c r="DH49" s="745" t="s">
        <v>394</v>
      </c>
      <c r="DI49" s="995"/>
      <c r="DJ49" s="747"/>
      <c r="DK49" s="748">
        <v>2</v>
      </c>
      <c r="DL49" s="996" t="s">
        <v>393</v>
      </c>
      <c r="DM49" s="750">
        <v>1</v>
      </c>
      <c r="DN49" s="552">
        <v>80</v>
      </c>
      <c r="DO49" s="751">
        <v>1</v>
      </c>
      <c r="DP49" s="552">
        <v>80</v>
      </c>
      <c r="DQ49" s="751">
        <v>1</v>
      </c>
      <c r="DR49" s="552">
        <v>80</v>
      </c>
      <c r="DS49" s="751">
        <v>1</v>
      </c>
      <c r="DT49" s="552">
        <v>80</v>
      </c>
      <c r="DU49" s="751">
        <v>1</v>
      </c>
      <c r="DV49" s="552">
        <v>80</v>
      </c>
      <c r="DW49" s="751">
        <v>1</v>
      </c>
      <c r="DX49" s="552">
        <v>80</v>
      </c>
      <c r="DY49" s="751">
        <v>1</v>
      </c>
      <c r="DZ49" s="552">
        <v>80</v>
      </c>
      <c r="EA49" s="751">
        <v>1</v>
      </c>
      <c r="EB49" s="552">
        <v>80</v>
      </c>
      <c r="EC49" s="751">
        <v>1</v>
      </c>
      <c r="ED49" s="552">
        <v>80</v>
      </c>
      <c r="EE49" s="751">
        <v>1</v>
      </c>
      <c r="EF49" s="552">
        <v>80</v>
      </c>
      <c r="EG49" s="751">
        <v>1</v>
      </c>
      <c r="EH49" s="552">
        <v>80</v>
      </c>
      <c r="EI49" s="751">
        <v>1</v>
      </c>
      <c r="EJ49" s="552">
        <v>80</v>
      </c>
      <c r="EK49" s="751">
        <v>1</v>
      </c>
      <c r="EL49" s="552">
        <v>80</v>
      </c>
      <c r="EM49" s="751">
        <v>1</v>
      </c>
      <c r="EN49" s="552">
        <v>80</v>
      </c>
      <c r="EO49" s="751">
        <v>1</v>
      </c>
      <c r="EP49" s="552">
        <v>80</v>
      </c>
      <c r="EQ49" s="751">
        <v>1</v>
      </c>
      <c r="ER49" s="552">
        <v>80</v>
      </c>
      <c r="ES49" s="751">
        <v>1</v>
      </c>
      <c r="ET49" s="552">
        <v>80</v>
      </c>
      <c r="EU49" s="751">
        <v>1</v>
      </c>
      <c r="EV49" s="552">
        <v>80</v>
      </c>
      <c r="EW49" s="751">
        <v>1</v>
      </c>
      <c r="EX49" s="552">
        <v>80</v>
      </c>
      <c r="EY49" s="751">
        <v>1</v>
      </c>
      <c r="EZ49" s="552">
        <v>80</v>
      </c>
      <c r="FA49" s="751">
        <v>1</v>
      </c>
      <c r="FB49" s="552">
        <v>80</v>
      </c>
      <c r="FC49" s="751">
        <v>1</v>
      </c>
      <c r="FD49" s="552">
        <v>80</v>
      </c>
      <c r="FE49" s="997">
        <v>1</v>
      </c>
      <c r="FF49" s="998">
        <v>80</v>
      </c>
      <c r="FG49" s="999">
        <v>1</v>
      </c>
      <c r="FH49" s="1000">
        <v>80</v>
      </c>
      <c r="FI49" s="931"/>
      <c r="FJ49" s="994"/>
      <c r="FK49" s="745" t="s">
        <v>394</v>
      </c>
      <c r="FL49" s="995"/>
      <c r="FM49" s="752"/>
      <c r="FN49" s="748">
        <v>0</v>
      </c>
      <c r="FO49" s="996"/>
      <c r="FP49" s="678"/>
      <c r="FQ49" s="753"/>
      <c r="FR49" s="580">
        <v>0</v>
      </c>
      <c r="FS49" s="754"/>
      <c r="FT49" s="753"/>
      <c r="FU49" s="560">
        <v>0</v>
      </c>
      <c r="FV49" s="1001" t="s">
        <v>308</v>
      </c>
      <c r="FW49" s="1002"/>
      <c r="FX49" s="1003" t="s">
        <v>309</v>
      </c>
      <c r="FY49" s="1004"/>
      <c r="FZ49" s="1005" t="s">
        <v>310</v>
      </c>
      <c r="GA49" s="1006"/>
      <c r="GB49" s="1007" t="s">
        <v>311</v>
      </c>
      <c r="GC49" s="1008"/>
      <c r="GD49" s="1007" t="s">
        <v>312</v>
      </c>
      <c r="GE49" s="1009"/>
      <c r="GF49" s="681"/>
      <c r="GG49" s="595"/>
      <c r="GH49" s="595"/>
      <c r="GI49" s="595"/>
      <c r="GJ49" s="573"/>
      <c r="GK49" s="410" t="s">
        <v>516</v>
      </c>
      <c r="GL49" s="573"/>
      <c r="GM49" s="410"/>
      <c r="GN49" s="573"/>
      <c r="GO49" s="410"/>
      <c r="GP49" s="410"/>
      <c r="GQ49" s="410"/>
      <c r="GR49" s="573"/>
      <c r="GS49" s="523"/>
      <c r="GT49" s="854"/>
      <c r="GU49" s="523" t="s">
        <v>497</v>
      </c>
      <c r="GV49" s="608"/>
      <c r="GW49" s="523"/>
      <c r="GX49" s="608"/>
      <c r="GY49" s="523"/>
      <c r="GZ49" s="388"/>
      <c r="HA49" s="573"/>
      <c r="HB49" s="388"/>
      <c r="HC49" s="1010"/>
      <c r="HD49" s="412"/>
    </row>
    <row r="50" spans="1:212" ht="20.100000000000001" customHeight="1">
      <c r="A50" s="994"/>
      <c r="B50" s="757" t="s">
        <v>403</v>
      </c>
      <c r="C50" s="1011"/>
      <c r="D50" s="1012">
        <v>0</v>
      </c>
      <c r="E50" s="1013">
        <v>0</v>
      </c>
      <c r="F50" s="1014"/>
      <c r="G50" s="1015"/>
      <c r="H50" s="580">
        <v>0</v>
      </c>
      <c r="I50" s="1016"/>
      <c r="J50" s="580">
        <v>0</v>
      </c>
      <c r="K50" s="1016"/>
      <c r="L50" s="580">
        <v>0</v>
      </c>
      <c r="M50" s="1016"/>
      <c r="N50" s="580">
        <v>0</v>
      </c>
      <c r="O50" s="1016"/>
      <c r="P50" s="580">
        <v>0</v>
      </c>
      <c r="Q50" s="1016"/>
      <c r="R50" s="580">
        <v>0</v>
      </c>
      <c r="S50" s="1016"/>
      <c r="T50" s="580">
        <v>0</v>
      </c>
      <c r="U50" s="1016"/>
      <c r="V50" s="580">
        <v>0</v>
      </c>
      <c r="W50" s="1016"/>
      <c r="X50" s="580">
        <v>0</v>
      </c>
      <c r="Y50" s="1016"/>
      <c r="Z50" s="580">
        <v>0</v>
      </c>
      <c r="AA50" s="1016"/>
      <c r="AB50" s="580">
        <v>0</v>
      </c>
      <c r="AC50" s="1016"/>
      <c r="AD50" s="580">
        <v>0</v>
      </c>
      <c r="AE50" s="1016"/>
      <c r="AF50" s="580">
        <v>0</v>
      </c>
      <c r="AG50" s="1016"/>
      <c r="AH50" s="580">
        <v>0</v>
      </c>
      <c r="AI50" s="1016"/>
      <c r="AJ50" s="580">
        <v>0</v>
      </c>
      <c r="AK50" s="1016"/>
      <c r="AL50" s="580">
        <v>0</v>
      </c>
      <c r="AM50" s="1016"/>
      <c r="AN50" s="580">
        <v>0</v>
      </c>
      <c r="AO50" s="1016"/>
      <c r="AP50" s="580">
        <v>0</v>
      </c>
      <c r="AQ50" s="1016"/>
      <c r="AR50" s="580">
        <v>0</v>
      </c>
      <c r="AS50" s="1016"/>
      <c r="AT50" s="580">
        <v>0</v>
      </c>
      <c r="AU50" s="1016"/>
      <c r="AV50" s="580">
        <v>0</v>
      </c>
      <c r="AW50" s="1016"/>
      <c r="AX50" s="580">
        <v>0</v>
      </c>
      <c r="AY50" s="1017"/>
      <c r="AZ50" s="1018">
        <v>0</v>
      </c>
      <c r="BA50" s="1019"/>
      <c r="BB50" s="1020">
        <v>0</v>
      </c>
      <c r="BC50" s="931"/>
      <c r="BD50" s="994"/>
      <c r="BE50" s="757" t="s">
        <v>403</v>
      </c>
      <c r="BF50" s="1011"/>
      <c r="BG50" s="1012">
        <v>0</v>
      </c>
      <c r="BH50" s="1013">
        <v>0</v>
      </c>
      <c r="BI50" s="1014"/>
      <c r="BJ50" s="1015"/>
      <c r="BK50" s="580">
        <v>0</v>
      </c>
      <c r="BL50" s="1016"/>
      <c r="BM50" s="580">
        <v>0</v>
      </c>
      <c r="BN50" s="1016"/>
      <c r="BO50" s="580">
        <v>0</v>
      </c>
      <c r="BP50" s="1016"/>
      <c r="BQ50" s="580">
        <v>0</v>
      </c>
      <c r="BR50" s="1016"/>
      <c r="BS50" s="580">
        <v>0</v>
      </c>
      <c r="BT50" s="1016"/>
      <c r="BU50" s="580">
        <v>0</v>
      </c>
      <c r="BV50" s="1016"/>
      <c r="BW50" s="580">
        <v>0</v>
      </c>
      <c r="BX50" s="1016"/>
      <c r="BY50" s="580">
        <v>0</v>
      </c>
      <c r="BZ50" s="1016"/>
      <c r="CA50" s="580">
        <v>0</v>
      </c>
      <c r="CB50" s="1016"/>
      <c r="CC50" s="580">
        <v>0</v>
      </c>
      <c r="CD50" s="1016"/>
      <c r="CE50" s="580">
        <v>0</v>
      </c>
      <c r="CF50" s="1016"/>
      <c r="CG50" s="580">
        <v>0</v>
      </c>
      <c r="CH50" s="1016"/>
      <c r="CI50" s="580">
        <v>0</v>
      </c>
      <c r="CJ50" s="1016"/>
      <c r="CK50" s="580">
        <v>0</v>
      </c>
      <c r="CL50" s="1016"/>
      <c r="CM50" s="580">
        <v>0</v>
      </c>
      <c r="CN50" s="1016"/>
      <c r="CO50" s="580">
        <v>0</v>
      </c>
      <c r="CP50" s="1016"/>
      <c r="CQ50" s="580">
        <v>0</v>
      </c>
      <c r="CR50" s="1016"/>
      <c r="CS50" s="580">
        <v>0</v>
      </c>
      <c r="CT50" s="1016"/>
      <c r="CU50" s="580">
        <v>0</v>
      </c>
      <c r="CV50" s="1016"/>
      <c r="CW50" s="580">
        <v>0</v>
      </c>
      <c r="CX50" s="1016"/>
      <c r="CY50" s="580">
        <v>0</v>
      </c>
      <c r="CZ50" s="1016"/>
      <c r="DA50" s="580">
        <v>0</v>
      </c>
      <c r="DB50" s="1017"/>
      <c r="DC50" s="1018">
        <v>0</v>
      </c>
      <c r="DD50" s="1019"/>
      <c r="DE50" s="1020">
        <v>0</v>
      </c>
      <c r="DF50" s="931"/>
      <c r="DG50" s="994"/>
      <c r="DH50" s="757" t="s">
        <v>403</v>
      </c>
      <c r="DI50" s="1011"/>
      <c r="DJ50" s="1012">
        <v>0</v>
      </c>
      <c r="DK50" s="1013">
        <v>0</v>
      </c>
      <c r="DL50" s="1014"/>
      <c r="DM50" s="1015"/>
      <c r="DN50" s="580">
        <v>0</v>
      </c>
      <c r="DO50" s="1016"/>
      <c r="DP50" s="580">
        <v>0</v>
      </c>
      <c r="DQ50" s="1016"/>
      <c r="DR50" s="580">
        <v>0</v>
      </c>
      <c r="DS50" s="1016"/>
      <c r="DT50" s="580">
        <v>0</v>
      </c>
      <c r="DU50" s="1016"/>
      <c r="DV50" s="580">
        <v>0</v>
      </c>
      <c r="DW50" s="1016"/>
      <c r="DX50" s="580">
        <v>0</v>
      </c>
      <c r="DY50" s="1016"/>
      <c r="DZ50" s="580">
        <v>0</v>
      </c>
      <c r="EA50" s="1016"/>
      <c r="EB50" s="580">
        <v>0</v>
      </c>
      <c r="EC50" s="1016"/>
      <c r="ED50" s="580">
        <v>0</v>
      </c>
      <c r="EE50" s="1016"/>
      <c r="EF50" s="580">
        <v>0</v>
      </c>
      <c r="EG50" s="1016"/>
      <c r="EH50" s="580">
        <v>0</v>
      </c>
      <c r="EI50" s="1016"/>
      <c r="EJ50" s="580">
        <v>0</v>
      </c>
      <c r="EK50" s="1016"/>
      <c r="EL50" s="580">
        <v>0</v>
      </c>
      <c r="EM50" s="1016"/>
      <c r="EN50" s="580">
        <v>0</v>
      </c>
      <c r="EO50" s="1016"/>
      <c r="EP50" s="580">
        <v>0</v>
      </c>
      <c r="EQ50" s="1016"/>
      <c r="ER50" s="580">
        <v>0</v>
      </c>
      <c r="ES50" s="1016"/>
      <c r="ET50" s="580">
        <v>0</v>
      </c>
      <c r="EU50" s="1016"/>
      <c r="EV50" s="580">
        <v>0</v>
      </c>
      <c r="EW50" s="1016"/>
      <c r="EX50" s="580">
        <v>0</v>
      </c>
      <c r="EY50" s="1016"/>
      <c r="EZ50" s="580">
        <v>0</v>
      </c>
      <c r="FA50" s="1016"/>
      <c r="FB50" s="580">
        <v>0</v>
      </c>
      <c r="FC50" s="1016"/>
      <c r="FD50" s="580">
        <v>0</v>
      </c>
      <c r="FE50" s="1017"/>
      <c r="FF50" s="1018">
        <v>0</v>
      </c>
      <c r="FG50" s="1019"/>
      <c r="FH50" s="1020">
        <v>0</v>
      </c>
      <c r="FI50" s="931"/>
      <c r="FJ50" s="994"/>
      <c r="FK50" s="757" t="s">
        <v>406</v>
      </c>
      <c r="FL50" s="1011"/>
      <c r="FM50" s="1012">
        <v>0</v>
      </c>
      <c r="FN50" s="1013">
        <v>0</v>
      </c>
      <c r="FO50" s="1014"/>
      <c r="FP50" s="689"/>
      <c r="FQ50" s="1021"/>
      <c r="FR50" s="580">
        <v>0</v>
      </c>
      <c r="FS50" s="766"/>
      <c r="FT50" s="1021"/>
      <c r="FU50" s="585">
        <v>0</v>
      </c>
      <c r="FV50" s="1022"/>
      <c r="FW50" s="1023"/>
      <c r="FX50" s="1024"/>
      <c r="FY50" s="1025"/>
      <c r="FZ50" s="1026"/>
      <c r="GA50" s="1027"/>
      <c r="GB50" s="1028"/>
      <c r="GC50" s="1029"/>
      <c r="GD50" s="1028"/>
      <c r="GE50" s="1030"/>
      <c r="GF50" s="681"/>
      <c r="GG50" s="595"/>
      <c r="GH50" s="595"/>
      <c r="GI50" s="595"/>
      <c r="GJ50" s="573"/>
      <c r="GK50" s="410" t="s">
        <v>517</v>
      </c>
      <c r="GL50" s="573"/>
      <c r="GM50" s="410"/>
      <c r="GN50" s="573"/>
      <c r="GO50" s="410"/>
      <c r="GP50" s="410"/>
      <c r="GQ50" s="410"/>
      <c r="GR50" s="573"/>
      <c r="GS50" s="946"/>
      <c r="GT50" s="930"/>
      <c r="GU50" s="573" t="s">
        <v>498</v>
      </c>
      <c r="GV50" s="573"/>
      <c r="GW50" s="573"/>
      <c r="GX50" s="573"/>
      <c r="GY50" s="608"/>
      <c r="GZ50" s="572"/>
      <c r="HA50" s="608">
        <v>0</v>
      </c>
      <c r="HB50" s="572" t="s">
        <v>293</v>
      </c>
      <c r="HC50" s="1031"/>
      <c r="HD50" s="412"/>
    </row>
    <row r="51" spans="1:212" ht="20.100000000000001" customHeight="1" thickBot="1">
      <c r="A51" s="1032"/>
      <c r="B51" s="459" t="s">
        <v>445</v>
      </c>
      <c r="C51" s="1033"/>
      <c r="D51" s="778"/>
      <c r="E51" s="789"/>
      <c r="F51" s="1034"/>
      <c r="G51" s="791"/>
      <c r="H51" s="792">
        <v>0</v>
      </c>
      <c r="I51" s="793"/>
      <c r="J51" s="792">
        <v>0</v>
      </c>
      <c r="K51" s="793"/>
      <c r="L51" s="792">
        <v>0</v>
      </c>
      <c r="M51" s="793"/>
      <c r="N51" s="792">
        <v>0</v>
      </c>
      <c r="O51" s="793"/>
      <c r="P51" s="792">
        <v>0</v>
      </c>
      <c r="Q51" s="793"/>
      <c r="R51" s="792">
        <v>0</v>
      </c>
      <c r="S51" s="793"/>
      <c r="T51" s="792">
        <v>0</v>
      </c>
      <c r="U51" s="793"/>
      <c r="V51" s="792">
        <v>0</v>
      </c>
      <c r="W51" s="793"/>
      <c r="X51" s="792">
        <v>0</v>
      </c>
      <c r="Y51" s="793"/>
      <c r="Z51" s="792">
        <v>0</v>
      </c>
      <c r="AA51" s="793"/>
      <c r="AB51" s="792">
        <v>0</v>
      </c>
      <c r="AC51" s="793"/>
      <c r="AD51" s="792">
        <v>0</v>
      </c>
      <c r="AE51" s="793"/>
      <c r="AF51" s="792">
        <v>0</v>
      </c>
      <c r="AG51" s="793"/>
      <c r="AH51" s="792">
        <v>0</v>
      </c>
      <c r="AI51" s="793"/>
      <c r="AJ51" s="792">
        <v>0</v>
      </c>
      <c r="AK51" s="793"/>
      <c r="AL51" s="792">
        <v>0</v>
      </c>
      <c r="AM51" s="793"/>
      <c r="AN51" s="792">
        <v>0</v>
      </c>
      <c r="AO51" s="793"/>
      <c r="AP51" s="792">
        <v>0</v>
      </c>
      <c r="AQ51" s="793"/>
      <c r="AR51" s="792">
        <v>0</v>
      </c>
      <c r="AS51" s="793"/>
      <c r="AT51" s="792">
        <v>0</v>
      </c>
      <c r="AU51" s="793"/>
      <c r="AV51" s="792">
        <v>0</v>
      </c>
      <c r="AW51" s="793"/>
      <c r="AX51" s="792">
        <v>0</v>
      </c>
      <c r="AY51" s="1035"/>
      <c r="AZ51" s="1036">
        <v>0</v>
      </c>
      <c r="BA51" s="1037"/>
      <c r="BB51" s="1038">
        <v>0</v>
      </c>
      <c r="BC51" s="931"/>
      <c r="BD51" s="1032"/>
      <c r="BE51" s="459" t="s">
        <v>444</v>
      </c>
      <c r="BF51" s="1033"/>
      <c r="BG51" s="778"/>
      <c r="BH51" s="789"/>
      <c r="BI51" s="1034"/>
      <c r="BJ51" s="791"/>
      <c r="BK51" s="792">
        <v>0</v>
      </c>
      <c r="BL51" s="793"/>
      <c r="BM51" s="792">
        <v>0</v>
      </c>
      <c r="BN51" s="793"/>
      <c r="BO51" s="792">
        <v>0</v>
      </c>
      <c r="BP51" s="793"/>
      <c r="BQ51" s="792">
        <v>0</v>
      </c>
      <c r="BR51" s="793"/>
      <c r="BS51" s="792">
        <v>0</v>
      </c>
      <c r="BT51" s="793"/>
      <c r="BU51" s="792">
        <v>0</v>
      </c>
      <c r="BV51" s="793"/>
      <c r="BW51" s="792">
        <v>0</v>
      </c>
      <c r="BX51" s="793"/>
      <c r="BY51" s="792">
        <v>0</v>
      </c>
      <c r="BZ51" s="793"/>
      <c r="CA51" s="792">
        <v>0</v>
      </c>
      <c r="CB51" s="793"/>
      <c r="CC51" s="792">
        <v>0</v>
      </c>
      <c r="CD51" s="793"/>
      <c r="CE51" s="792">
        <v>0</v>
      </c>
      <c r="CF51" s="793"/>
      <c r="CG51" s="792">
        <v>0</v>
      </c>
      <c r="CH51" s="793"/>
      <c r="CI51" s="792">
        <v>0</v>
      </c>
      <c r="CJ51" s="793"/>
      <c r="CK51" s="792">
        <v>0</v>
      </c>
      <c r="CL51" s="793"/>
      <c r="CM51" s="792">
        <v>0</v>
      </c>
      <c r="CN51" s="793"/>
      <c r="CO51" s="792">
        <v>0</v>
      </c>
      <c r="CP51" s="793"/>
      <c r="CQ51" s="792">
        <v>0</v>
      </c>
      <c r="CR51" s="793"/>
      <c r="CS51" s="792">
        <v>0</v>
      </c>
      <c r="CT51" s="793"/>
      <c r="CU51" s="792">
        <v>0</v>
      </c>
      <c r="CV51" s="793"/>
      <c r="CW51" s="792">
        <v>0</v>
      </c>
      <c r="CX51" s="793"/>
      <c r="CY51" s="792">
        <v>0</v>
      </c>
      <c r="CZ51" s="793"/>
      <c r="DA51" s="792">
        <v>0</v>
      </c>
      <c r="DB51" s="1035"/>
      <c r="DC51" s="1036">
        <v>0</v>
      </c>
      <c r="DD51" s="1037"/>
      <c r="DE51" s="1038">
        <v>0</v>
      </c>
      <c r="DF51" s="931"/>
      <c r="DG51" s="1032"/>
      <c r="DH51" s="459" t="s">
        <v>445</v>
      </c>
      <c r="DI51" s="1033"/>
      <c r="DJ51" s="778"/>
      <c r="DK51" s="789"/>
      <c r="DL51" s="1034"/>
      <c r="DM51" s="791"/>
      <c r="DN51" s="792">
        <v>0</v>
      </c>
      <c r="DO51" s="793"/>
      <c r="DP51" s="792">
        <v>0</v>
      </c>
      <c r="DQ51" s="793"/>
      <c r="DR51" s="792">
        <v>0</v>
      </c>
      <c r="DS51" s="793"/>
      <c r="DT51" s="792">
        <v>0</v>
      </c>
      <c r="DU51" s="793"/>
      <c r="DV51" s="792">
        <v>0</v>
      </c>
      <c r="DW51" s="793"/>
      <c r="DX51" s="792">
        <v>0</v>
      </c>
      <c r="DY51" s="793"/>
      <c r="DZ51" s="792">
        <v>0</v>
      </c>
      <c r="EA51" s="793"/>
      <c r="EB51" s="792">
        <v>0</v>
      </c>
      <c r="EC51" s="793"/>
      <c r="ED51" s="792">
        <v>0</v>
      </c>
      <c r="EE51" s="793"/>
      <c r="EF51" s="792">
        <v>0</v>
      </c>
      <c r="EG51" s="793"/>
      <c r="EH51" s="792">
        <v>0</v>
      </c>
      <c r="EI51" s="793"/>
      <c r="EJ51" s="792">
        <v>0</v>
      </c>
      <c r="EK51" s="793"/>
      <c r="EL51" s="792">
        <v>0</v>
      </c>
      <c r="EM51" s="793"/>
      <c r="EN51" s="792">
        <v>0</v>
      </c>
      <c r="EO51" s="793"/>
      <c r="EP51" s="792">
        <v>0</v>
      </c>
      <c r="EQ51" s="793"/>
      <c r="ER51" s="792">
        <v>0</v>
      </c>
      <c r="ES51" s="793"/>
      <c r="ET51" s="792">
        <v>0</v>
      </c>
      <c r="EU51" s="793"/>
      <c r="EV51" s="792">
        <v>0</v>
      </c>
      <c r="EW51" s="793"/>
      <c r="EX51" s="792">
        <v>0</v>
      </c>
      <c r="EY51" s="793"/>
      <c r="EZ51" s="792">
        <v>0</v>
      </c>
      <c r="FA51" s="793"/>
      <c r="FB51" s="792">
        <v>0</v>
      </c>
      <c r="FC51" s="793"/>
      <c r="FD51" s="792">
        <v>0</v>
      </c>
      <c r="FE51" s="1035"/>
      <c r="FF51" s="1036">
        <v>0</v>
      </c>
      <c r="FG51" s="1037"/>
      <c r="FH51" s="1038">
        <v>0</v>
      </c>
      <c r="FI51" s="931"/>
      <c r="FJ51" s="1032"/>
      <c r="FK51" s="459" t="s">
        <v>445</v>
      </c>
      <c r="FL51" s="1033"/>
      <c r="FM51" s="781"/>
      <c r="FN51" s="789">
        <v>0</v>
      </c>
      <c r="FO51" s="1034"/>
      <c r="FP51" s="795"/>
      <c r="FQ51" s="796"/>
      <c r="FR51" s="792">
        <v>0</v>
      </c>
      <c r="FS51" s="797"/>
      <c r="FT51" s="796"/>
      <c r="FU51" s="798">
        <v>0</v>
      </c>
      <c r="FV51" s="1022"/>
      <c r="FW51" s="1023"/>
      <c r="FX51" s="1024"/>
      <c r="FY51" s="1025"/>
      <c r="FZ51" s="1026"/>
      <c r="GA51" s="1027"/>
      <c r="GB51" s="1028"/>
      <c r="GC51" s="1029"/>
      <c r="GD51" s="1028"/>
      <c r="GE51" s="1030"/>
      <c r="GF51" s="681"/>
      <c r="GG51" s="595"/>
      <c r="GH51" s="595"/>
      <c r="GI51" s="595"/>
      <c r="GJ51" s="929"/>
      <c r="GK51" s="726"/>
      <c r="GL51" s="1039" t="s">
        <v>390</v>
      </c>
      <c r="GM51" s="1040" t="s">
        <v>596</v>
      </c>
      <c r="GN51" s="1041" t="s">
        <v>313</v>
      </c>
      <c r="GO51" s="1042" t="s">
        <v>520</v>
      </c>
      <c r="GP51" s="1042" t="s">
        <v>503</v>
      </c>
      <c r="GQ51" s="1043" t="s">
        <v>521</v>
      </c>
      <c r="GR51" s="726"/>
      <c r="GS51" s="946"/>
      <c r="GT51" s="756"/>
      <c r="GU51" s="573"/>
      <c r="GV51" s="573"/>
      <c r="GW51" s="573"/>
      <c r="GX51" s="573"/>
      <c r="GY51" s="410"/>
      <c r="GZ51" s="1044"/>
      <c r="HA51" s="608">
        <v>0</v>
      </c>
      <c r="HB51" s="572" t="s">
        <v>479</v>
      </c>
      <c r="HC51" s="1045"/>
      <c r="HD51" s="412"/>
    </row>
    <row r="52" spans="1:212" ht="20.100000000000001" customHeight="1" thickBot="1">
      <c r="A52" s="1046" t="s">
        <v>314</v>
      </c>
      <c r="B52" s="1047"/>
      <c r="C52" s="1048"/>
      <c r="D52" s="1048"/>
      <c r="E52" s="1049"/>
      <c r="F52" s="1048"/>
      <c r="G52" s="1050"/>
      <c r="H52" s="1051">
        <v>80</v>
      </c>
      <c r="I52" s="1052"/>
      <c r="J52" s="1051">
        <v>80</v>
      </c>
      <c r="K52" s="1052"/>
      <c r="L52" s="1051">
        <v>80</v>
      </c>
      <c r="M52" s="1052"/>
      <c r="N52" s="1051">
        <v>80</v>
      </c>
      <c r="O52" s="1052"/>
      <c r="P52" s="1051">
        <v>80</v>
      </c>
      <c r="Q52" s="1052"/>
      <c r="R52" s="1051">
        <v>80</v>
      </c>
      <c r="S52" s="1052"/>
      <c r="T52" s="1051">
        <v>80</v>
      </c>
      <c r="U52" s="1052"/>
      <c r="V52" s="1051">
        <v>80</v>
      </c>
      <c r="W52" s="1052"/>
      <c r="X52" s="1051">
        <v>80</v>
      </c>
      <c r="Y52" s="1052"/>
      <c r="Z52" s="1051">
        <v>80</v>
      </c>
      <c r="AA52" s="1052"/>
      <c r="AB52" s="1051">
        <v>80</v>
      </c>
      <c r="AC52" s="1052"/>
      <c r="AD52" s="1051">
        <v>80</v>
      </c>
      <c r="AE52" s="1052"/>
      <c r="AF52" s="1051">
        <v>80</v>
      </c>
      <c r="AG52" s="1052"/>
      <c r="AH52" s="1051">
        <v>80</v>
      </c>
      <c r="AI52" s="1052"/>
      <c r="AJ52" s="1051">
        <v>80</v>
      </c>
      <c r="AK52" s="1052"/>
      <c r="AL52" s="1051">
        <v>80</v>
      </c>
      <c r="AM52" s="1052"/>
      <c r="AN52" s="1051">
        <v>80</v>
      </c>
      <c r="AO52" s="1052"/>
      <c r="AP52" s="1051">
        <v>80</v>
      </c>
      <c r="AQ52" s="1052"/>
      <c r="AR52" s="1051">
        <v>80</v>
      </c>
      <c r="AS52" s="1052"/>
      <c r="AT52" s="1051">
        <v>80</v>
      </c>
      <c r="AU52" s="1052"/>
      <c r="AV52" s="1051">
        <v>80</v>
      </c>
      <c r="AW52" s="1052"/>
      <c r="AX52" s="1051">
        <v>80</v>
      </c>
      <c r="AY52" s="1053"/>
      <c r="AZ52" s="1054">
        <v>80</v>
      </c>
      <c r="BA52" s="1055"/>
      <c r="BB52" s="1056">
        <v>80</v>
      </c>
      <c r="BC52" s="974"/>
      <c r="BD52" s="1046" t="s">
        <v>314</v>
      </c>
      <c r="BE52" s="1047"/>
      <c r="BF52" s="1048"/>
      <c r="BG52" s="1048"/>
      <c r="BH52" s="1049"/>
      <c r="BI52" s="1048"/>
      <c r="BJ52" s="1050"/>
      <c r="BK52" s="1051">
        <v>80</v>
      </c>
      <c r="BL52" s="1052"/>
      <c r="BM52" s="1051">
        <v>80</v>
      </c>
      <c r="BN52" s="1052"/>
      <c r="BO52" s="1051">
        <v>80</v>
      </c>
      <c r="BP52" s="1052"/>
      <c r="BQ52" s="1051">
        <v>80</v>
      </c>
      <c r="BR52" s="1052"/>
      <c r="BS52" s="1051">
        <v>80</v>
      </c>
      <c r="BT52" s="1052"/>
      <c r="BU52" s="1051">
        <v>80</v>
      </c>
      <c r="BV52" s="1052"/>
      <c r="BW52" s="1051">
        <v>80</v>
      </c>
      <c r="BX52" s="1052"/>
      <c r="BY52" s="1051">
        <v>80</v>
      </c>
      <c r="BZ52" s="1052"/>
      <c r="CA52" s="1051">
        <v>80</v>
      </c>
      <c r="CB52" s="1052"/>
      <c r="CC52" s="1051">
        <v>80</v>
      </c>
      <c r="CD52" s="1052"/>
      <c r="CE52" s="1051">
        <v>80</v>
      </c>
      <c r="CF52" s="1052"/>
      <c r="CG52" s="1051">
        <v>80</v>
      </c>
      <c r="CH52" s="1052"/>
      <c r="CI52" s="1051">
        <v>80</v>
      </c>
      <c r="CJ52" s="1052"/>
      <c r="CK52" s="1051">
        <v>80</v>
      </c>
      <c r="CL52" s="1052"/>
      <c r="CM52" s="1051">
        <v>80</v>
      </c>
      <c r="CN52" s="1052"/>
      <c r="CO52" s="1051">
        <v>80</v>
      </c>
      <c r="CP52" s="1052"/>
      <c r="CQ52" s="1051">
        <v>80</v>
      </c>
      <c r="CR52" s="1052"/>
      <c r="CS52" s="1051">
        <v>80</v>
      </c>
      <c r="CT52" s="1052"/>
      <c r="CU52" s="1051">
        <v>80</v>
      </c>
      <c r="CV52" s="1052"/>
      <c r="CW52" s="1051">
        <v>80</v>
      </c>
      <c r="CX52" s="1052"/>
      <c r="CY52" s="1051">
        <v>80</v>
      </c>
      <c r="CZ52" s="1052"/>
      <c r="DA52" s="1051">
        <v>80</v>
      </c>
      <c r="DB52" s="1053"/>
      <c r="DC52" s="1054">
        <v>80</v>
      </c>
      <c r="DD52" s="1055"/>
      <c r="DE52" s="1056">
        <v>80</v>
      </c>
      <c r="DF52" s="974"/>
      <c r="DG52" s="1046" t="s">
        <v>314</v>
      </c>
      <c r="DH52" s="1047"/>
      <c r="DI52" s="1048"/>
      <c r="DJ52" s="1048"/>
      <c r="DK52" s="1049"/>
      <c r="DL52" s="1048"/>
      <c r="DM52" s="1050"/>
      <c r="DN52" s="1051">
        <v>80</v>
      </c>
      <c r="DO52" s="1052"/>
      <c r="DP52" s="1051">
        <v>80</v>
      </c>
      <c r="DQ52" s="1052"/>
      <c r="DR52" s="1051">
        <v>80</v>
      </c>
      <c r="DS52" s="1052"/>
      <c r="DT52" s="1051">
        <v>80</v>
      </c>
      <c r="DU52" s="1052"/>
      <c r="DV52" s="1051">
        <v>80</v>
      </c>
      <c r="DW52" s="1052"/>
      <c r="DX52" s="1051">
        <v>80</v>
      </c>
      <c r="DY52" s="1052"/>
      <c r="DZ52" s="1051">
        <v>80</v>
      </c>
      <c r="EA52" s="1052"/>
      <c r="EB52" s="1051">
        <v>80</v>
      </c>
      <c r="EC52" s="1052"/>
      <c r="ED52" s="1051">
        <v>80</v>
      </c>
      <c r="EE52" s="1052"/>
      <c r="EF52" s="1051">
        <v>80</v>
      </c>
      <c r="EG52" s="1052"/>
      <c r="EH52" s="1051">
        <v>80</v>
      </c>
      <c r="EI52" s="1052"/>
      <c r="EJ52" s="1051">
        <v>80</v>
      </c>
      <c r="EK52" s="1052"/>
      <c r="EL52" s="1051">
        <v>80</v>
      </c>
      <c r="EM52" s="1052"/>
      <c r="EN52" s="1051">
        <v>80</v>
      </c>
      <c r="EO52" s="1052"/>
      <c r="EP52" s="1051">
        <v>80</v>
      </c>
      <c r="EQ52" s="1052"/>
      <c r="ER52" s="1051">
        <v>80</v>
      </c>
      <c r="ES52" s="1052"/>
      <c r="ET52" s="1051">
        <v>80</v>
      </c>
      <c r="EU52" s="1052"/>
      <c r="EV52" s="1051">
        <v>80</v>
      </c>
      <c r="EW52" s="1052"/>
      <c r="EX52" s="1051">
        <v>80</v>
      </c>
      <c r="EY52" s="1052"/>
      <c r="EZ52" s="1051">
        <v>80</v>
      </c>
      <c r="FA52" s="1052"/>
      <c r="FB52" s="1051">
        <v>80</v>
      </c>
      <c r="FC52" s="1052"/>
      <c r="FD52" s="1051">
        <v>80</v>
      </c>
      <c r="FE52" s="1053"/>
      <c r="FF52" s="1054">
        <v>80</v>
      </c>
      <c r="FG52" s="1055"/>
      <c r="FH52" s="1056">
        <v>80</v>
      </c>
      <c r="FI52" s="974"/>
      <c r="FJ52" s="1046" t="s">
        <v>314</v>
      </c>
      <c r="FK52" s="1047"/>
      <c r="FL52" s="1048"/>
      <c r="FM52" s="1048"/>
      <c r="FN52" s="1049"/>
      <c r="FO52" s="1048"/>
      <c r="FP52" s="1057"/>
      <c r="FQ52" s="1058"/>
      <c r="FR52" s="1051">
        <v>0</v>
      </c>
      <c r="FS52" s="1059"/>
      <c r="FT52" s="1058"/>
      <c r="FU52" s="1060">
        <v>0</v>
      </c>
      <c r="FV52" s="1061">
        <v>15</v>
      </c>
      <c r="FW52" s="1062">
        <v>80</v>
      </c>
      <c r="FX52" s="1063">
        <v>14</v>
      </c>
      <c r="FY52" s="1062">
        <v>80</v>
      </c>
      <c r="FZ52" s="1063">
        <v>14</v>
      </c>
      <c r="GA52" s="1062">
        <v>80</v>
      </c>
      <c r="GB52" s="1064" t="s">
        <v>337</v>
      </c>
      <c r="GC52" s="1065">
        <v>80</v>
      </c>
      <c r="GD52" s="1064" t="s">
        <v>339</v>
      </c>
      <c r="GE52" s="1066">
        <v>0</v>
      </c>
      <c r="GF52" s="681"/>
      <c r="GG52" s="983"/>
      <c r="GH52" s="983"/>
      <c r="GI52" s="983"/>
      <c r="GJ52" s="929"/>
      <c r="GK52" s="726"/>
      <c r="GL52" s="1067"/>
      <c r="GM52" s="1068"/>
      <c r="GN52" s="1068"/>
      <c r="GO52" s="1069"/>
      <c r="GP52" s="1069"/>
      <c r="GQ52" s="1070"/>
      <c r="GR52" s="946"/>
      <c r="GS52" s="886"/>
      <c r="GT52" s="854"/>
      <c r="GU52" s="523" t="s">
        <v>522</v>
      </c>
      <c r="GV52" s="726"/>
      <c r="GW52" s="929"/>
      <c r="GX52" s="726"/>
      <c r="GY52" s="410"/>
      <c r="GZ52" s="1071"/>
      <c r="HA52" s="946"/>
      <c r="HB52" s="1071"/>
      <c r="HC52" s="555"/>
      <c r="HD52" s="412"/>
    </row>
    <row r="53" spans="1:212" ht="20.100000000000001" customHeight="1" thickTop="1">
      <c r="A53" s="1072" t="s">
        <v>447</v>
      </c>
      <c r="B53" s="1073"/>
      <c r="C53" s="1074"/>
      <c r="D53" s="1074"/>
      <c r="E53" s="1075"/>
      <c r="F53" s="1076"/>
      <c r="G53" s="1077"/>
      <c r="H53" s="1078">
        <v>63566</v>
      </c>
      <c r="I53" s="1079"/>
      <c r="J53" s="1078">
        <v>63547</v>
      </c>
      <c r="K53" s="1079"/>
      <c r="L53" s="1078">
        <v>63528</v>
      </c>
      <c r="M53" s="1079"/>
      <c r="N53" s="1078">
        <v>63515</v>
      </c>
      <c r="O53" s="1079"/>
      <c r="P53" s="1078">
        <v>63498</v>
      </c>
      <c r="Q53" s="1079"/>
      <c r="R53" s="1078">
        <v>63487</v>
      </c>
      <c r="S53" s="1079"/>
      <c r="T53" s="1078">
        <v>63558</v>
      </c>
      <c r="U53" s="1079"/>
      <c r="V53" s="1078">
        <v>63709</v>
      </c>
      <c r="W53" s="1079"/>
      <c r="X53" s="1078">
        <v>64989</v>
      </c>
      <c r="Y53" s="1079"/>
      <c r="Z53" s="1078">
        <v>64850</v>
      </c>
      <c r="AA53" s="1079"/>
      <c r="AB53" s="1078">
        <v>64966</v>
      </c>
      <c r="AC53" s="1079"/>
      <c r="AD53" s="1078">
        <v>65054</v>
      </c>
      <c r="AE53" s="1079"/>
      <c r="AF53" s="1078">
        <v>65174</v>
      </c>
      <c r="AG53" s="1079"/>
      <c r="AH53" s="1078">
        <v>65201</v>
      </c>
      <c r="AI53" s="1079"/>
      <c r="AJ53" s="1078">
        <v>65225</v>
      </c>
      <c r="AK53" s="1079"/>
      <c r="AL53" s="1078">
        <v>65185</v>
      </c>
      <c r="AM53" s="1079"/>
      <c r="AN53" s="1078">
        <v>65074</v>
      </c>
      <c r="AO53" s="1079"/>
      <c r="AP53" s="1078">
        <v>64986</v>
      </c>
      <c r="AQ53" s="1079"/>
      <c r="AR53" s="1078">
        <v>64050</v>
      </c>
      <c r="AS53" s="1079"/>
      <c r="AT53" s="1078">
        <v>63963</v>
      </c>
      <c r="AU53" s="1079"/>
      <c r="AV53" s="1078">
        <v>63870</v>
      </c>
      <c r="AW53" s="1079"/>
      <c r="AX53" s="1078">
        <v>63774</v>
      </c>
      <c r="AY53" s="1080"/>
      <c r="AZ53" s="1081">
        <v>63680</v>
      </c>
      <c r="BA53" s="1082"/>
      <c r="BB53" s="1083">
        <v>63623</v>
      </c>
      <c r="BC53" s="974"/>
      <c r="BD53" s="1072" t="s">
        <v>315</v>
      </c>
      <c r="BE53" s="1073"/>
      <c r="BF53" s="1074"/>
      <c r="BG53" s="1074"/>
      <c r="BH53" s="1075"/>
      <c r="BI53" s="1076"/>
      <c r="BJ53" s="1077"/>
      <c r="BK53" s="1078">
        <v>63569</v>
      </c>
      <c r="BL53" s="1079"/>
      <c r="BM53" s="1078">
        <v>63544</v>
      </c>
      <c r="BN53" s="1079"/>
      <c r="BO53" s="1078">
        <v>63525</v>
      </c>
      <c r="BP53" s="1079"/>
      <c r="BQ53" s="1078">
        <v>63506</v>
      </c>
      <c r="BR53" s="1079"/>
      <c r="BS53" s="1078">
        <v>63493</v>
      </c>
      <c r="BT53" s="1079"/>
      <c r="BU53" s="1078">
        <v>63479</v>
      </c>
      <c r="BV53" s="1079"/>
      <c r="BW53" s="1078">
        <v>63587</v>
      </c>
      <c r="BX53" s="1079"/>
      <c r="BY53" s="1078">
        <v>63781</v>
      </c>
      <c r="BZ53" s="1079"/>
      <c r="CA53" s="1078">
        <v>65095</v>
      </c>
      <c r="CB53" s="1079"/>
      <c r="CC53" s="1078">
        <v>64957</v>
      </c>
      <c r="CD53" s="1079"/>
      <c r="CE53" s="1078">
        <v>65076</v>
      </c>
      <c r="CF53" s="1079"/>
      <c r="CG53" s="1078">
        <v>65165</v>
      </c>
      <c r="CH53" s="1079"/>
      <c r="CI53" s="1078">
        <v>65254</v>
      </c>
      <c r="CJ53" s="1079"/>
      <c r="CK53" s="1078">
        <v>65311</v>
      </c>
      <c r="CL53" s="1079"/>
      <c r="CM53" s="1078">
        <v>65303</v>
      </c>
      <c r="CN53" s="1079"/>
      <c r="CO53" s="1078">
        <v>65291</v>
      </c>
      <c r="CP53" s="1079"/>
      <c r="CQ53" s="1078">
        <v>65213</v>
      </c>
      <c r="CR53" s="1079"/>
      <c r="CS53" s="1078">
        <v>65062</v>
      </c>
      <c r="CT53" s="1079"/>
      <c r="CU53" s="1078">
        <v>64105</v>
      </c>
      <c r="CV53" s="1079"/>
      <c r="CW53" s="1078">
        <v>63945</v>
      </c>
      <c r="CX53" s="1079"/>
      <c r="CY53" s="1078">
        <v>63851</v>
      </c>
      <c r="CZ53" s="1079"/>
      <c r="DA53" s="1078">
        <v>63753</v>
      </c>
      <c r="DB53" s="1080"/>
      <c r="DC53" s="1081">
        <v>63652</v>
      </c>
      <c r="DD53" s="1082"/>
      <c r="DE53" s="1083">
        <v>63593</v>
      </c>
      <c r="DF53" s="974"/>
      <c r="DG53" s="1072" t="s">
        <v>315</v>
      </c>
      <c r="DH53" s="1073"/>
      <c r="DI53" s="1074"/>
      <c r="DJ53" s="1074"/>
      <c r="DK53" s="1075"/>
      <c r="DL53" s="1076"/>
      <c r="DM53" s="1077"/>
      <c r="DN53" s="1078">
        <v>63452</v>
      </c>
      <c r="DO53" s="1079"/>
      <c r="DP53" s="1078">
        <v>63452</v>
      </c>
      <c r="DQ53" s="1079"/>
      <c r="DR53" s="1078">
        <v>63452</v>
      </c>
      <c r="DS53" s="1079"/>
      <c r="DT53" s="1078">
        <v>63452</v>
      </c>
      <c r="DU53" s="1079"/>
      <c r="DV53" s="1078">
        <v>63452</v>
      </c>
      <c r="DW53" s="1079"/>
      <c r="DX53" s="1078">
        <v>63452</v>
      </c>
      <c r="DY53" s="1079"/>
      <c r="DZ53" s="1078">
        <v>63452</v>
      </c>
      <c r="EA53" s="1079"/>
      <c r="EB53" s="1078">
        <v>63452</v>
      </c>
      <c r="EC53" s="1079"/>
      <c r="ED53" s="1078">
        <v>64587</v>
      </c>
      <c r="EE53" s="1079"/>
      <c r="EF53" s="1078">
        <v>64361</v>
      </c>
      <c r="EG53" s="1079"/>
      <c r="EH53" s="1078">
        <v>64453</v>
      </c>
      <c r="EI53" s="1079"/>
      <c r="EJ53" s="1078">
        <v>64545</v>
      </c>
      <c r="EK53" s="1079"/>
      <c r="EL53" s="1078">
        <v>64586</v>
      </c>
      <c r="EM53" s="1079"/>
      <c r="EN53" s="1078">
        <v>64616</v>
      </c>
      <c r="EO53" s="1079"/>
      <c r="EP53" s="1078">
        <v>64610</v>
      </c>
      <c r="EQ53" s="1079"/>
      <c r="ER53" s="1078">
        <v>64537</v>
      </c>
      <c r="ES53" s="1079"/>
      <c r="ET53" s="1078">
        <v>64428</v>
      </c>
      <c r="EU53" s="1079"/>
      <c r="EV53" s="1078">
        <v>64398</v>
      </c>
      <c r="EW53" s="1079"/>
      <c r="EX53" s="1078">
        <v>63539</v>
      </c>
      <c r="EY53" s="1079"/>
      <c r="EZ53" s="1078">
        <v>63517</v>
      </c>
      <c r="FA53" s="1079"/>
      <c r="FB53" s="1078">
        <v>63493</v>
      </c>
      <c r="FC53" s="1079"/>
      <c r="FD53" s="1078">
        <v>63469</v>
      </c>
      <c r="FE53" s="1080"/>
      <c r="FF53" s="1081">
        <v>63452</v>
      </c>
      <c r="FG53" s="1082"/>
      <c r="FH53" s="1083">
        <v>63452</v>
      </c>
      <c r="FI53" s="974"/>
      <c r="FJ53" s="1072" t="s">
        <v>447</v>
      </c>
      <c r="FK53" s="1073"/>
      <c r="FL53" s="1074"/>
      <c r="FM53" s="1074"/>
      <c r="FN53" s="1075"/>
      <c r="FO53" s="1076"/>
      <c r="FP53" s="1084"/>
      <c r="FQ53" s="1085"/>
      <c r="FR53" s="1078">
        <v>0</v>
      </c>
      <c r="FS53" s="1086"/>
      <c r="FT53" s="1085"/>
      <c r="FU53" s="1087">
        <v>0</v>
      </c>
      <c r="FV53" s="1088">
        <v>15</v>
      </c>
      <c r="FW53" s="1089">
        <v>65225</v>
      </c>
      <c r="FX53" s="1090">
        <v>14</v>
      </c>
      <c r="FY53" s="1089">
        <v>65311</v>
      </c>
      <c r="FZ53" s="1090">
        <v>14</v>
      </c>
      <c r="GA53" s="1089">
        <v>64616</v>
      </c>
      <c r="GB53" s="1091" t="s">
        <v>337</v>
      </c>
      <c r="GC53" s="1089">
        <v>65311</v>
      </c>
      <c r="GD53" s="1091" t="s">
        <v>339</v>
      </c>
      <c r="GE53" s="1092">
        <v>0</v>
      </c>
      <c r="GF53" s="681"/>
      <c r="GG53" s="983"/>
      <c r="GH53" s="983"/>
      <c r="GI53" s="983"/>
      <c r="GJ53" s="946"/>
      <c r="GK53" s="410"/>
      <c r="GL53" s="1093">
        <v>10</v>
      </c>
      <c r="GM53" s="1094">
        <v>1</v>
      </c>
      <c r="GN53" s="1095">
        <v>0.92</v>
      </c>
      <c r="GO53" s="1096">
        <v>0</v>
      </c>
      <c r="GP53" s="1096">
        <v>7</v>
      </c>
      <c r="GQ53" s="1097">
        <v>7</v>
      </c>
      <c r="GR53" s="573"/>
      <c r="GS53" s="476"/>
      <c r="GT53" s="854"/>
      <c r="GU53" s="573" t="s">
        <v>597</v>
      </c>
      <c r="GV53" s="573"/>
      <c r="GW53" s="573"/>
      <c r="GX53" s="573"/>
      <c r="GY53" s="410"/>
      <c r="GZ53" s="406"/>
      <c r="HA53" s="608">
        <v>44.5</v>
      </c>
      <c r="HB53" s="572" t="s">
        <v>293</v>
      </c>
      <c r="HC53" s="792"/>
      <c r="HD53" s="412"/>
    </row>
    <row r="54" spans="1:212" ht="20.100000000000001" customHeight="1">
      <c r="A54" s="1098" t="s">
        <v>316</v>
      </c>
      <c r="B54" s="1099"/>
      <c r="C54" s="1100"/>
      <c r="D54" s="1101"/>
      <c r="E54" s="1102"/>
      <c r="F54" s="1103"/>
      <c r="G54" s="1104"/>
      <c r="H54" s="1105">
        <v>698.5</v>
      </c>
      <c r="I54" s="1106"/>
      <c r="J54" s="1105">
        <v>698.3</v>
      </c>
      <c r="K54" s="1106"/>
      <c r="L54" s="1105">
        <v>698.1</v>
      </c>
      <c r="M54" s="1106"/>
      <c r="N54" s="1105">
        <v>698</v>
      </c>
      <c r="O54" s="1106"/>
      <c r="P54" s="1105">
        <v>697.8</v>
      </c>
      <c r="Q54" s="1106"/>
      <c r="R54" s="1105">
        <v>697.7</v>
      </c>
      <c r="S54" s="1106"/>
      <c r="T54" s="1105">
        <v>698.4</v>
      </c>
      <c r="U54" s="1106"/>
      <c r="V54" s="1105">
        <v>700.1</v>
      </c>
      <c r="W54" s="1106"/>
      <c r="X54" s="1105">
        <v>714.2</v>
      </c>
      <c r="Y54" s="1106"/>
      <c r="Z54" s="1105">
        <v>712.6</v>
      </c>
      <c r="AA54" s="1106"/>
      <c r="AB54" s="1105">
        <v>713.9</v>
      </c>
      <c r="AC54" s="1106"/>
      <c r="AD54" s="1105">
        <v>714.9</v>
      </c>
      <c r="AE54" s="1106"/>
      <c r="AF54" s="1105">
        <v>716.2</v>
      </c>
      <c r="AG54" s="1106"/>
      <c r="AH54" s="1105">
        <v>716.5</v>
      </c>
      <c r="AI54" s="1106"/>
      <c r="AJ54" s="1105">
        <v>716.8</v>
      </c>
      <c r="AK54" s="1106"/>
      <c r="AL54" s="1105">
        <v>716.3</v>
      </c>
      <c r="AM54" s="1106"/>
      <c r="AN54" s="1105">
        <v>715.1</v>
      </c>
      <c r="AO54" s="1106"/>
      <c r="AP54" s="1105">
        <v>714.1</v>
      </c>
      <c r="AQ54" s="1106"/>
      <c r="AR54" s="1105">
        <v>703.8</v>
      </c>
      <c r="AS54" s="1106"/>
      <c r="AT54" s="1105">
        <v>702.9</v>
      </c>
      <c r="AU54" s="1106"/>
      <c r="AV54" s="1105">
        <v>701.9</v>
      </c>
      <c r="AW54" s="1106"/>
      <c r="AX54" s="1105">
        <v>700.8</v>
      </c>
      <c r="AY54" s="1106"/>
      <c r="AZ54" s="1105">
        <v>699.8</v>
      </c>
      <c r="BA54" s="1106"/>
      <c r="BB54" s="1107">
        <v>699.2</v>
      </c>
      <c r="BC54" s="1010"/>
      <c r="BD54" s="1098" t="s">
        <v>316</v>
      </c>
      <c r="BE54" s="1099"/>
      <c r="BF54" s="1100"/>
      <c r="BG54" s="1101"/>
      <c r="BH54" s="1102"/>
      <c r="BI54" s="1103"/>
      <c r="BJ54" s="1104"/>
      <c r="BK54" s="1105">
        <v>698.6</v>
      </c>
      <c r="BL54" s="1106"/>
      <c r="BM54" s="1105">
        <v>698.3</v>
      </c>
      <c r="BN54" s="1106"/>
      <c r="BO54" s="1105">
        <v>698.1</v>
      </c>
      <c r="BP54" s="1106"/>
      <c r="BQ54" s="1105">
        <v>697.9</v>
      </c>
      <c r="BR54" s="1106"/>
      <c r="BS54" s="1105">
        <v>697.7</v>
      </c>
      <c r="BT54" s="1106"/>
      <c r="BU54" s="1105">
        <v>697.6</v>
      </c>
      <c r="BV54" s="1106"/>
      <c r="BW54" s="1105">
        <v>698.8</v>
      </c>
      <c r="BX54" s="1106"/>
      <c r="BY54" s="1105">
        <v>700.9</v>
      </c>
      <c r="BZ54" s="1106"/>
      <c r="CA54" s="1105">
        <v>715.3</v>
      </c>
      <c r="CB54" s="1106"/>
      <c r="CC54" s="1105">
        <v>713.8</v>
      </c>
      <c r="CD54" s="1106"/>
      <c r="CE54" s="1105">
        <v>715.1</v>
      </c>
      <c r="CF54" s="1106"/>
      <c r="CG54" s="1105">
        <v>716.1</v>
      </c>
      <c r="CH54" s="1106"/>
      <c r="CI54" s="1105">
        <v>717.1</v>
      </c>
      <c r="CJ54" s="1106"/>
      <c r="CK54" s="1105">
        <v>717.7</v>
      </c>
      <c r="CL54" s="1106"/>
      <c r="CM54" s="1105">
        <v>717.6</v>
      </c>
      <c r="CN54" s="1106"/>
      <c r="CO54" s="1105">
        <v>717.5</v>
      </c>
      <c r="CP54" s="1106"/>
      <c r="CQ54" s="1105">
        <v>716.6</v>
      </c>
      <c r="CR54" s="1106"/>
      <c r="CS54" s="1105">
        <v>715</v>
      </c>
      <c r="CT54" s="1106"/>
      <c r="CU54" s="1105">
        <v>704.5</v>
      </c>
      <c r="CV54" s="1106"/>
      <c r="CW54" s="1105">
        <v>702.7</v>
      </c>
      <c r="CX54" s="1106"/>
      <c r="CY54" s="1105">
        <v>701.7</v>
      </c>
      <c r="CZ54" s="1106"/>
      <c r="DA54" s="1105">
        <v>700.6</v>
      </c>
      <c r="DB54" s="1106"/>
      <c r="DC54" s="1105">
        <v>699.5</v>
      </c>
      <c r="DD54" s="1106"/>
      <c r="DE54" s="1107">
        <v>698.8</v>
      </c>
      <c r="DF54" s="1010"/>
      <c r="DG54" s="1098" t="s">
        <v>316</v>
      </c>
      <c r="DH54" s="1099"/>
      <c r="DI54" s="1100"/>
      <c r="DJ54" s="1101"/>
      <c r="DK54" s="1102"/>
      <c r="DL54" s="1103"/>
      <c r="DM54" s="1104"/>
      <c r="DN54" s="1105">
        <v>697.3</v>
      </c>
      <c r="DO54" s="1106"/>
      <c r="DP54" s="1105">
        <v>697.3</v>
      </c>
      <c r="DQ54" s="1106"/>
      <c r="DR54" s="1105">
        <v>697.3</v>
      </c>
      <c r="DS54" s="1106"/>
      <c r="DT54" s="1105">
        <v>697.3</v>
      </c>
      <c r="DU54" s="1106"/>
      <c r="DV54" s="1105">
        <v>697.3</v>
      </c>
      <c r="DW54" s="1106"/>
      <c r="DX54" s="1105">
        <v>697.3</v>
      </c>
      <c r="DY54" s="1106"/>
      <c r="DZ54" s="1105">
        <v>697.3</v>
      </c>
      <c r="EA54" s="1106"/>
      <c r="EB54" s="1105">
        <v>697.3</v>
      </c>
      <c r="EC54" s="1106"/>
      <c r="ED54" s="1105">
        <v>709.7</v>
      </c>
      <c r="EE54" s="1106"/>
      <c r="EF54" s="1105">
        <v>707.3</v>
      </c>
      <c r="EG54" s="1106"/>
      <c r="EH54" s="1105">
        <v>708.3</v>
      </c>
      <c r="EI54" s="1106"/>
      <c r="EJ54" s="1105">
        <v>709.3</v>
      </c>
      <c r="EK54" s="1106"/>
      <c r="EL54" s="1105">
        <v>709.7</v>
      </c>
      <c r="EM54" s="1106"/>
      <c r="EN54" s="1105">
        <v>710.1</v>
      </c>
      <c r="EO54" s="1106"/>
      <c r="EP54" s="1105">
        <v>710</v>
      </c>
      <c r="EQ54" s="1106"/>
      <c r="ER54" s="1105">
        <v>709.2</v>
      </c>
      <c r="ES54" s="1106"/>
      <c r="ET54" s="1105">
        <v>708</v>
      </c>
      <c r="EU54" s="1106"/>
      <c r="EV54" s="1105">
        <v>707.7</v>
      </c>
      <c r="EW54" s="1106"/>
      <c r="EX54" s="1105">
        <v>698.2</v>
      </c>
      <c r="EY54" s="1106"/>
      <c r="EZ54" s="1105">
        <v>698</v>
      </c>
      <c r="FA54" s="1106"/>
      <c r="FB54" s="1105">
        <v>697.7</v>
      </c>
      <c r="FC54" s="1106"/>
      <c r="FD54" s="1105">
        <v>697.5</v>
      </c>
      <c r="FE54" s="1106"/>
      <c r="FF54" s="1105">
        <v>697.3</v>
      </c>
      <c r="FG54" s="1106"/>
      <c r="FH54" s="1107">
        <v>697.3</v>
      </c>
      <c r="FI54" s="1010"/>
      <c r="FJ54" s="1098" t="s">
        <v>569</v>
      </c>
      <c r="FK54" s="1099"/>
      <c r="FL54" s="1100"/>
      <c r="FM54" s="1101"/>
      <c r="FN54" s="1102"/>
      <c r="FO54" s="1103"/>
      <c r="FP54" s="1108"/>
      <c r="FQ54" s="1106"/>
      <c r="FR54" s="1105">
        <v>0</v>
      </c>
      <c r="FS54" s="1109"/>
      <c r="FT54" s="1106"/>
      <c r="FU54" s="1110">
        <v>0</v>
      </c>
      <c r="FV54" s="1109"/>
      <c r="FW54" s="1105">
        <f>IF(面積=0,0,ROUND(FW53/面積,1))</f>
        <v>716.8</v>
      </c>
      <c r="FX54" s="1109"/>
      <c r="FY54" s="1105">
        <f>IF(面積=0,0,ROUND(FY53/面積,1))</f>
        <v>717.7</v>
      </c>
      <c r="FZ54" s="1109"/>
      <c r="GA54" s="1105">
        <f>IF(面積=0,0,ROUND(GA53/面積,1))</f>
        <v>710.1</v>
      </c>
      <c r="GB54" s="1109"/>
      <c r="GC54" s="1105">
        <f>IF(面積=0,0,ROUND(GC53/面積,1))</f>
        <v>717.7</v>
      </c>
      <c r="GD54" s="1109"/>
      <c r="GE54" s="1107">
        <f>IF(面積=0,0,ROUND(GE53/面積,1))</f>
        <v>0</v>
      </c>
      <c r="GF54" s="681"/>
      <c r="GG54" s="930"/>
      <c r="GH54" s="930"/>
      <c r="GI54" s="930"/>
      <c r="GJ54" s="573"/>
      <c r="GK54" s="572"/>
      <c r="GL54" s="1093">
        <v>11</v>
      </c>
      <c r="GM54" s="1094">
        <v>2</v>
      </c>
      <c r="GN54" s="1095">
        <v>0.85</v>
      </c>
      <c r="GO54" s="1096">
        <v>0</v>
      </c>
      <c r="GP54" s="1096">
        <v>7</v>
      </c>
      <c r="GQ54" s="1097">
        <v>7</v>
      </c>
      <c r="GR54" s="523"/>
      <c r="GS54" s="573"/>
      <c r="GT54" s="854"/>
      <c r="GU54" s="1111" t="s">
        <v>524</v>
      </c>
      <c r="GV54" s="1111"/>
      <c r="GW54" s="1111"/>
      <c r="GX54" s="1111"/>
      <c r="GY54" s="768"/>
      <c r="GZ54" s="1112"/>
      <c r="HA54" s="1113">
        <v>44.5</v>
      </c>
      <c r="HB54" s="1114" t="s">
        <v>479</v>
      </c>
      <c r="HC54" s="522"/>
      <c r="HD54" s="412"/>
    </row>
    <row r="55" spans="1:212" ht="20.100000000000001" customHeight="1" thickBot="1">
      <c r="A55" s="383"/>
      <c r="B55" s="383"/>
      <c r="C55" s="383"/>
      <c r="D55" s="383"/>
      <c r="E55" s="384"/>
      <c r="F55" s="384"/>
      <c r="G55" s="384"/>
      <c r="H55" s="1115"/>
      <c r="I55" s="412"/>
      <c r="J55" s="412"/>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c r="AN55" s="384"/>
      <c r="AO55" s="384"/>
      <c r="AP55" s="384"/>
      <c r="AQ55" s="384"/>
      <c r="AR55" s="384"/>
      <c r="AS55" s="384"/>
      <c r="AT55" s="384"/>
      <c r="AU55" s="384"/>
      <c r="AV55" s="384"/>
      <c r="AW55" s="384"/>
      <c r="AX55" s="384"/>
      <c r="AY55" s="384"/>
      <c r="AZ55" s="384"/>
      <c r="BA55" s="384"/>
      <c r="BB55" s="384"/>
      <c r="BC55" s="386"/>
      <c r="BD55" s="383"/>
      <c r="BE55" s="383"/>
      <c r="BF55" s="383"/>
      <c r="BG55" s="383"/>
      <c r="BH55" s="384"/>
      <c r="BI55" s="384"/>
      <c r="BJ55" s="384"/>
      <c r="BK55" s="1115"/>
      <c r="BL55" s="412"/>
      <c r="BM55" s="412"/>
      <c r="BN55" s="384"/>
      <c r="BO55" s="384"/>
      <c r="BP55" s="384"/>
      <c r="BQ55" s="384"/>
      <c r="BR55" s="384"/>
      <c r="BS55" s="384"/>
      <c r="BT55" s="384"/>
      <c r="BU55" s="384"/>
      <c r="BV55" s="384"/>
      <c r="BW55" s="384"/>
      <c r="BX55" s="384"/>
      <c r="BY55" s="384"/>
      <c r="BZ55" s="384"/>
      <c r="CA55" s="384"/>
      <c r="CB55" s="384"/>
      <c r="CC55" s="384"/>
      <c r="CD55" s="384"/>
      <c r="CE55" s="384"/>
      <c r="CF55" s="384"/>
      <c r="CG55" s="384"/>
      <c r="CH55" s="384"/>
      <c r="CI55" s="384"/>
      <c r="CJ55" s="384"/>
      <c r="CK55" s="384"/>
      <c r="CL55" s="384"/>
      <c r="CM55" s="384"/>
      <c r="CN55" s="384"/>
      <c r="CO55" s="384"/>
      <c r="CP55" s="384"/>
      <c r="CQ55" s="384"/>
      <c r="CR55" s="384"/>
      <c r="CS55" s="384"/>
      <c r="CT55" s="384"/>
      <c r="CU55" s="384"/>
      <c r="CV55" s="384"/>
      <c r="CW55" s="384"/>
      <c r="CX55" s="384"/>
      <c r="CY55" s="384"/>
      <c r="CZ55" s="384"/>
      <c r="DA55" s="384"/>
      <c r="DB55" s="384"/>
      <c r="DC55" s="384"/>
      <c r="DD55" s="384"/>
      <c r="DE55" s="384"/>
      <c r="DF55" s="386"/>
      <c r="DG55" s="383"/>
      <c r="DH55" s="383"/>
      <c r="DI55" s="383"/>
      <c r="DJ55" s="383"/>
      <c r="DK55" s="384"/>
      <c r="DL55" s="384"/>
      <c r="DM55" s="384"/>
      <c r="DN55" s="1115"/>
      <c r="DO55" s="412"/>
      <c r="DP55" s="412"/>
      <c r="DQ55" s="384"/>
      <c r="DR55" s="384"/>
      <c r="DS55" s="384"/>
      <c r="DT55" s="384"/>
      <c r="DU55" s="384"/>
      <c r="DV55" s="384"/>
      <c r="DW55" s="384"/>
      <c r="DX55" s="384"/>
      <c r="DY55" s="384"/>
      <c r="DZ55" s="384"/>
      <c r="EA55" s="384"/>
      <c r="EB55" s="384"/>
      <c r="EC55" s="384"/>
      <c r="ED55" s="384"/>
      <c r="EE55" s="384"/>
      <c r="EF55" s="384"/>
      <c r="EG55" s="384"/>
      <c r="EH55" s="384"/>
      <c r="EI55" s="384"/>
      <c r="EJ55" s="384"/>
      <c r="EK55" s="384"/>
      <c r="EL55" s="384"/>
      <c r="EM55" s="384"/>
      <c r="EN55" s="384"/>
      <c r="EO55" s="384"/>
      <c r="EP55" s="384"/>
      <c r="EQ55" s="384"/>
      <c r="ER55" s="384"/>
      <c r="ES55" s="384"/>
      <c r="ET55" s="384"/>
      <c r="EU55" s="384"/>
      <c r="EV55" s="384"/>
      <c r="EW55" s="384"/>
      <c r="EX55" s="384"/>
      <c r="EY55" s="384"/>
      <c r="EZ55" s="384"/>
      <c r="FA55" s="384"/>
      <c r="FB55" s="384"/>
      <c r="FC55" s="384"/>
      <c r="FD55" s="384"/>
      <c r="FE55" s="384"/>
      <c r="FF55" s="384"/>
      <c r="FG55" s="384"/>
      <c r="FH55" s="384"/>
      <c r="FI55" s="386"/>
      <c r="FJ55" s="383"/>
      <c r="FK55" s="383"/>
      <c r="FL55" s="383"/>
      <c r="FM55" s="383"/>
      <c r="FN55" s="384"/>
      <c r="FO55" s="384"/>
      <c r="FP55" s="384"/>
      <c r="FQ55" s="412"/>
      <c r="FR55" s="1115"/>
      <c r="FS55" s="412"/>
      <c r="FT55" s="412"/>
      <c r="FU55" s="412"/>
      <c r="FV55" s="383"/>
      <c r="FW55" s="383"/>
      <c r="FX55" s="383"/>
      <c r="FY55" s="383"/>
      <c r="FZ55" s="383"/>
      <c r="GA55" s="383"/>
      <c r="GB55" s="383"/>
      <c r="GC55" s="383"/>
      <c r="GD55" s="383"/>
      <c r="GE55" s="1116"/>
      <c r="GF55" s="681"/>
      <c r="GG55" s="388"/>
      <c r="GH55" s="388"/>
      <c r="GI55" s="388"/>
      <c r="GJ55" s="523"/>
      <c r="GK55" s="410"/>
      <c r="GL55" s="1117">
        <v>12</v>
      </c>
      <c r="GM55" s="1118">
        <v>3</v>
      </c>
      <c r="GN55" s="1095">
        <v>0.78</v>
      </c>
      <c r="GO55" s="1096">
        <v>0</v>
      </c>
      <c r="GP55" s="1096">
        <v>7</v>
      </c>
      <c r="GQ55" s="1097">
        <v>7</v>
      </c>
      <c r="GR55" s="523"/>
      <c r="GS55" s="523"/>
      <c r="GT55" s="1119"/>
      <c r="GU55" s="1120"/>
      <c r="GV55" s="572"/>
      <c r="GW55" s="523"/>
      <c r="GX55" s="572"/>
      <c r="GY55" s="388"/>
      <c r="GZ55" s="522"/>
      <c r="HA55" s="573"/>
      <c r="HB55" s="522"/>
      <c r="HC55" s="388"/>
      <c r="HD55" s="384"/>
    </row>
    <row r="56" spans="1:212" ht="20.100000000000001" customHeight="1">
      <c r="A56" s="1121" t="s">
        <v>317</v>
      </c>
      <c r="B56" s="1122"/>
      <c r="C56" s="1122"/>
      <c r="D56" s="1122"/>
      <c r="E56" s="1123"/>
      <c r="F56" s="1124"/>
      <c r="G56" s="1125">
        <v>1</v>
      </c>
      <c r="H56" s="1126"/>
      <c r="I56" s="1127">
        <v>2</v>
      </c>
      <c r="J56" s="1126"/>
      <c r="K56" s="1127">
        <v>3</v>
      </c>
      <c r="L56" s="1126"/>
      <c r="M56" s="1127">
        <v>4</v>
      </c>
      <c r="N56" s="1126"/>
      <c r="O56" s="1127">
        <v>5</v>
      </c>
      <c r="P56" s="1126"/>
      <c r="Q56" s="1127">
        <v>6</v>
      </c>
      <c r="R56" s="1126"/>
      <c r="S56" s="1127">
        <v>7</v>
      </c>
      <c r="T56" s="1126"/>
      <c r="U56" s="1127">
        <v>8</v>
      </c>
      <c r="V56" s="1126"/>
      <c r="W56" s="1127">
        <v>9</v>
      </c>
      <c r="X56" s="1126"/>
      <c r="Y56" s="1127">
        <v>10</v>
      </c>
      <c r="Z56" s="1126"/>
      <c r="AA56" s="1127">
        <v>11</v>
      </c>
      <c r="AB56" s="1126"/>
      <c r="AC56" s="1127">
        <v>12</v>
      </c>
      <c r="AD56" s="1126"/>
      <c r="AE56" s="1127">
        <v>13</v>
      </c>
      <c r="AF56" s="1126"/>
      <c r="AG56" s="1127">
        <v>14</v>
      </c>
      <c r="AH56" s="1126"/>
      <c r="AI56" s="1127">
        <v>15</v>
      </c>
      <c r="AJ56" s="1126"/>
      <c r="AK56" s="1127">
        <v>16</v>
      </c>
      <c r="AL56" s="1126"/>
      <c r="AM56" s="1127">
        <v>17</v>
      </c>
      <c r="AN56" s="1126"/>
      <c r="AO56" s="1127">
        <v>18</v>
      </c>
      <c r="AP56" s="1126"/>
      <c r="AQ56" s="1127">
        <v>19</v>
      </c>
      <c r="AR56" s="1126"/>
      <c r="AS56" s="1127">
        <v>20</v>
      </c>
      <c r="AT56" s="1126"/>
      <c r="AU56" s="1127">
        <v>21</v>
      </c>
      <c r="AV56" s="1126"/>
      <c r="AW56" s="1127">
        <v>22</v>
      </c>
      <c r="AX56" s="1126"/>
      <c r="AY56" s="1127">
        <v>23</v>
      </c>
      <c r="AZ56" s="1126"/>
      <c r="BA56" s="1127">
        <v>24</v>
      </c>
      <c r="BB56" s="1128"/>
      <c r="BC56" s="1031"/>
      <c r="BD56" s="1121" t="s">
        <v>317</v>
      </c>
      <c r="BE56" s="1122"/>
      <c r="BF56" s="1122"/>
      <c r="BG56" s="1122"/>
      <c r="BH56" s="1123"/>
      <c r="BI56" s="1124"/>
      <c r="BJ56" s="1125">
        <v>1</v>
      </c>
      <c r="BK56" s="1126"/>
      <c r="BL56" s="1127">
        <v>2</v>
      </c>
      <c r="BM56" s="1126"/>
      <c r="BN56" s="1127">
        <v>3</v>
      </c>
      <c r="BO56" s="1126"/>
      <c r="BP56" s="1127">
        <v>4</v>
      </c>
      <c r="BQ56" s="1126"/>
      <c r="BR56" s="1127">
        <v>5</v>
      </c>
      <c r="BS56" s="1126"/>
      <c r="BT56" s="1127">
        <v>6</v>
      </c>
      <c r="BU56" s="1126"/>
      <c r="BV56" s="1127">
        <v>7</v>
      </c>
      <c r="BW56" s="1126"/>
      <c r="BX56" s="1127">
        <v>8</v>
      </c>
      <c r="BY56" s="1126"/>
      <c r="BZ56" s="1127">
        <v>9</v>
      </c>
      <c r="CA56" s="1126"/>
      <c r="CB56" s="1127">
        <v>10</v>
      </c>
      <c r="CC56" s="1126"/>
      <c r="CD56" s="1127">
        <v>11</v>
      </c>
      <c r="CE56" s="1126"/>
      <c r="CF56" s="1127">
        <v>12</v>
      </c>
      <c r="CG56" s="1126"/>
      <c r="CH56" s="1127">
        <v>13</v>
      </c>
      <c r="CI56" s="1126"/>
      <c r="CJ56" s="1127">
        <v>14</v>
      </c>
      <c r="CK56" s="1126"/>
      <c r="CL56" s="1127">
        <v>15</v>
      </c>
      <c r="CM56" s="1126"/>
      <c r="CN56" s="1127">
        <v>16</v>
      </c>
      <c r="CO56" s="1126"/>
      <c r="CP56" s="1127">
        <v>17</v>
      </c>
      <c r="CQ56" s="1126"/>
      <c r="CR56" s="1127">
        <v>18</v>
      </c>
      <c r="CS56" s="1126"/>
      <c r="CT56" s="1127">
        <v>19</v>
      </c>
      <c r="CU56" s="1126"/>
      <c r="CV56" s="1127">
        <v>20</v>
      </c>
      <c r="CW56" s="1126"/>
      <c r="CX56" s="1127">
        <v>21</v>
      </c>
      <c r="CY56" s="1126"/>
      <c r="CZ56" s="1127">
        <v>22</v>
      </c>
      <c r="DA56" s="1126"/>
      <c r="DB56" s="1127">
        <v>23</v>
      </c>
      <c r="DC56" s="1126"/>
      <c r="DD56" s="1127">
        <v>24</v>
      </c>
      <c r="DE56" s="1128"/>
      <c r="DF56" s="1031"/>
      <c r="DG56" s="1121" t="s">
        <v>317</v>
      </c>
      <c r="DH56" s="1122"/>
      <c r="DI56" s="1122"/>
      <c r="DJ56" s="1122"/>
      <c r="DK56" s="1123"/>
      <c r="DL56" s="1124"/>
      <c r="DM56" s="1125">
        <v>1</v>
      </c>
      <c r="DN56" s="1126"/>
      <c r="DO56" s="1127">
        <v>2</v>
      </c>
      <c r="DP56" s="1126"/>
      <c r="DQ56" s="1127">
        <v>3</v>
      </c>
      <c r="DR56" s="1126"/>
      <c r="DS56" s="1127">
        <v>4</v>
      </c>
      <c r="DT56" s="1126"/>
      <c r="DU56" s="1127">
        <v>5</v>
      </c>
      <c r="DV56" s="1126"/>
      <c r="DW56" s="1127">
        <v>6</v>
      </c>
      <c r="DX56" s="1126"/>
      <c r="DY56" s="1127">
        <v>7</v>
      </c>
      <c r="DZ56" s="1126"/>
      <c r="EA56" s="1127">
        <v>8</v>
      </c>
      <c r="EB56" s="1126"/>
      <c r="EC56" s="1127">
        <v>9</v>
      </c>
      <c r="ED56" s="1126"/>
      <c r="EE56" s="1127">
        <v>10</v>
      </c>
      <c r="EF56" s="1126"/>
      <c r="EG56" s="1127">
        <v>11</v>
      </c>
      <c r="EH56" s="1126"/>
      <c r="EI56" s="1127">
        <v>12</v>
      </c>
      <c r="EJ56" s="1126"/>
      <c r="EK56" s="1127">
        <v>13</v>
      </c>
      <c r="EL56" s="1126"/>
      <c r="EM56" s="1127">
        <v>14</v>
      </c>
      <c r="EN56" s="1126"/>
      <c r="EO56" s="1127">
        <v>15</v>
      </c>
      <c r="EP56" s="1126"/>
      <c r="EQ56" s="1127">
        <v>16</v>
      </c>
      <c r="ER56" s="1126"/>
      <c r="ES56" s="1127">
        <v>17</v>
      </c>
      <c r="ET56" s="1126"/>
      <c r="EU56" s="1127">
        <v>18</v>
      </c>
      <c r="EV56" s="1126"/>
      <c r="EW56" s="1127">
        <v>19</v>
      </c>
      <c r="EX56" s="1126"/>
      <c r="EY56" s="1127">
        <v>20</v>
      </c>
      <c r="EZ56" s="1126"/>
      <c r="FA56" s="1127">
        <v>21</v>
      </c>
      <c r="FB56" s="1126"/>
      <c r="FC56" s="1127">
        <v>22</v>
      </c>
      <c r="FD56" s="1126"/>
      <c r="FE56" s="1127">
        <v>23</v>
      </c>
      <c r="FF56" s="1126"/>
      <c r="FG56" s="1127">
        <v>24</v>
      </c>
      <c r="FH56" s="1128"/>
      <c r="FI56" s="1031"/>
      <c r="FJ56" s="1121" t="s">
        <v>318</v>
      </c>
      <c r="FK56" s="1122"/>
      <c r="FL56" s="1122"/>
      <c r="FM56" s="1122"/>
      <c r="FN56" s="1123"/>
      <c r="FO56" s="1123"/>
      <c r="FP56" s="1129" t="s">
        <v>546</v>
      </c>
      <c r="FQ56" s="1130"/>
      <c r="FR56" s="1131"/>
      <c r="FS56" s="1132" t="s">
        <v>261</v>
      </c>
      <c r="FT56" s="1133"/>
      <c r="FU56" s="1134"/>
      <c r="FV56" s="1135" t="s">
        <v>320</v>
      </c>
      <c r="FW56" s="1136"/>
      <c r="FX56" s="1137" t="s">
        <v>321</v>
      </c>
      <c r="FY56" s="1138"/>
      <c r="FZ56" s="1139" t="s">
        <v>322</v>
      </c>
      <c r="GA56" s="1140"/>
      <c r="GB56" s="1141" t="s">
        <v>323</v>
      </c>
      <c r="GC56" s="1126"/>
      <c r="GD56" s="1141" t="s">
        <v>324</v>
      </c>
      <c r="GE56" s="1128"/>
      <c r="GF56" s="681"/>
      <c r="GG56" s="476"/>
      <c r="GH56" s="476"/>
      <c r="GI56" s="476"/>
      <c r="GJ56" s="523"/>
      <c r="GK56" s="572"/>
      <c r="GL56" s="1093">
        <v>13</v>
      </c>
      <c r="GM56" s="1094">
        <v>4</v>
      </c>
      <c r="GN56" s="1095">
        <v>0.72</v>
      </c>
      <c r="GO56" s="1096">
        <v>0</v>
      </c>
      <c r="GP56" s="1096">
        <v>7</v>
      </c>
      <c r="GQ56" s="1097">
        <v>7</v>
      </c>
      <c r="GR56" s="523"/>
      <c r="GS56" s="522"/>
      <c r="GT56" s="1257"/>
      <c r="GU56" s="571"/>
      <c r="GV56" s="572"/>
      <c r="GW56" s="571"/>
      <c r="GX56" s="572"/>
      <c r="GY56" s="572"/>
      <c r="GZ56" s="493"/>
      <c r="HA56" s="571"/>
      <c r="HB56" s="493"/>
      <c r="HC56" s="479"/>
    </row>
    <row r="57" spans="1:212" ht="20.100000000000001" customHeight="1">
      <c r="A57" s="1142"/>
      <c r="B57" s="1143"/>
      <c r="C57" s="1143"/>
      <c r="D57" s="1143"/>
      <c r="E57" s="1144"/>
      <c r="F57" s="1145"/>
      <c r="G57" s="1146" t="s">
        <v>325</v>
      </c>
      <c r="H57" s="1147" t="s">
        <v>289</v>
      </c>
      <c r="I57" s="1148" t="s">
        <v>325</v>
      </c>
      <c r="J57" s="1147" t="s">
        <v>289</v>
      </c>
      <c r="K57" s="1148" t="s">
        <v>325</v>
      </c>
      <c r="L57" s="1147" t="s">
        <v>289</v>
      </c>
      <c r="M57" s="1148" t="s">
        <v>325</v>
      </c>
      <c r="N57" s="1147" t="s">
        <v>289</v>
      </c>
      <c r="O57" s="1148" t="s">
        <v>325</v>
      </c>
      <c r="P57" s="1147" t="s">
        <v>289</v>
      </c>
      <c r="Q57" s="1148" t="s">
        <v>325</v>
      </c>
      <c r="R57" s="1147" t="s">
        <v>289</v>
      </c>
      <c r="S57" s="1148" t="s">
        <v>325</v>
      </c>
      <c r="T57" s="1147" t="s">
        <v>289</v>
      </c>
      <c r="U57" s="1148" t="s">
        <v>325</v>
      </c>
      <c r="V57" s="1147" t="s">
        <v>289</v>
      </c>
      <c r="W57" s="1148" t="s">
        <v>325</v>
      </c>
      <c r="X57" s="1147" t="s">
        <v>289</v>
      </c>
      <c r="Y57" s="1148" t="s">
        <v>325</v>
      </c>
      <c r="Z57" s="1147" t="s">
        <v>289</v>
      </c>
      <c r="AA57" s="1148" t="s">
        <v>325</v>
      </c>
      <c r="AB57" s="1147" t="s">
        <v>289</v>
      </c>
      <c r="AC57" s="1148" t="s">
        <v>325</v>
      </c>
      <c r="AD57" s="1147" t="s">
        <v>325</v>
      </c>
      <c r="AE57" s="1148" t="s">
        <v>325</v>
      </c>
      <c r="AF57" s="1147" t="s">
        <v>289</v>
      </c>
      <c r="AG57" s="1148" t="s">
        <v>325</v>
      </c>
      <c r="AH57" s="1147" t="s">
        <v>289</v>
      </c>
      <c r="AI57" s="1148" t="s">
        <v>325</v>
      </c>
      <c r="AJ57" s="1147" t="s">
        <v>289</v>
      </c>
      <c r="AK57" s="1148" t="s">
        <v>325</v>
      </c>
      <c r="AL57" s="1147" t="s">
        <v>289</v>
      </c>
      <c r="AM57" s="1148" t="s">
        <v>325</v>
      </c>
      <c r="AN57" s="1147" t="s">
        <v>289</v>
      </c>
      <c r="AO57" s="1148" t="s">
        <v>325</v>
      </c>
      <c r="AP57" s="1147" t="s">
        <v>289</v>
      </c>
      <c r="AQ57" s="1148" t="s">
        <v>325</v>
      </c>
      <c r="AR57" s="1147" t="s">
        <v>289</v>
      </c>
      <c r="AS57" s="1148" t="s">
        <v>325</v>
      </c>
      <c r="AT57" s="1147" t="s">
        <v>289</v>
      </c>
      <c r="AU57" s="1148" t="s">
        <v>325</v>
      </c>
      <c r="AV57" s="1147" t="s">
        <v>289</v>
      </c>
      <c r="AW57" s="1148" t="s">
        <v>325</v>
      </c>
      <c r="AX57" s="1147" t="s">
        <v>289</v>
      </c>
      <c r="AY57" s="1148" t="s">
        <v>325</v>
      </c>
      <c r="AZ57" s="1147" t="s">
        <v>289</v>
      </c>
      <c r="BA57" s="1149" t="s">
        <v>325</v>
      </c>
      <c r="BB57" s="1150" t="s">
        <v>289</v>
      </c>
      <c r="BC57" s="1045"/>
      <c r="BD57" s="1142"/>
      <c r="BE57" s="1143"/>
      <c r="BF57" s="1143"/>
      <c r="BG57" s="1143"/>
      <c r="BH57" s="1144"/>
      <c r="BI57" s="1145"/>
      <c r="BJ57" s="1146" t="s">
        <v>325</v>
      </c>
      <c r="BK57" s="1147" t="s">
        <v>289</v>
      </c>
      <c r="BL57" s="1148" t="s">
        <v>325</v>
      </c>
      <c r="BM57" s="1147" t="s">
        <v>289</v>
      </c>
      <c r="BN57" s="1148" t="s">
        <v>325</v>
      </c>
      <c r="BO57" s="1147" t="s">
        <v>289</v>
      </c>
      <c r="BP57" s="1148" t="s">
        <v>325</v>
      </c>
      <c r="BQ57" s="1147" t="s">
        <v>289</v>
      </c>
      <c r="BR57" s="1148" t="s">
        <v>325</v>
      </c>
      <c r="BS57" s="1147" t="s">
        <v>289</v>
      </c>
      <c r="BT57" s="1148" t="s">
        <v>325</v>
      </c>
      <c r="BU57" s="1147" t="s">
        <v>289</v>
      </c>
      <c r="BV57" s="1148" t="s">
        <v>325</v>
      </c>
      <c r="BW57" s="1147" t="s">
        <v>289</v>
      </c>
      <c r="BX57" s="1148" t="s">
        <v>325</v>
      </c>
      <c r="BY57" s="1147" t="s">
        <v>289</v>
      </c>
      <c r="BZ57" s="1148" t="s">
        <v>325</v>
      </c>
      <c r="CA57" s="1147" t="s">
        <v>289</v>
      </c>
      <c r="CB57" s="1148" t="s">
        <v>325</v>
      </c>
      <c r="CC57" s="1147" t="s">
        <v>289</v>
      </c>
      <c r="CD57" s="1148" t="s">
        <v>325</v>
      </c>
      <c r="CE57" s="1147" t="s">
        <v>289</v>
      </c>
      <c r="CF57" s="1148" t="s">
        <v>325</v>
      </c>
      <c r="CG57" s="1147" t="s">
        <v>325</v>
      </c>
      <c r="CH57" s="1148" t="s">
        <v>325</v>
      </c>
      <c r="CI57" s="1147" t="s">
        <v>289</v>
      </c>
      <c r="CJ57" s="1148" t="s">
        <v>325</v>
      </c>
      <c r="CK57" s="1147" t="s">
        <v>289</v>
      </c>
      <c r="CL57" s="1148" t="s">
        <v>325</v>
      </c>
      <c r="CM57" s="1147" t="s">
        <v>289</v>
      </c>
      <c r="CN57" s="1148" t="s">
        <v>325</v>
      </c>
      <c r="CO57" s="1147" t="s">
        <v>289</v>
      </c>
      <c r="CP57" s="1148" t="s">
        <v>325</v>
      </c>
      <c r="CQ57" s="1147" t="s">
        <v>289</v>
      </c>
      <c r="CR57" s="1148" t="s">
        <v>325</v>
      </c>
      <c r="CS57" s="1147" t="s">
        <v>289</v>
      </c>
      <c r="CT57" s="1148" t="s">
        <v>325</v>
      </c>
      <c r="CU57" s="1147" t="s">
        <v>289</v>
      </c>
      <c r="CV57" s="1148" t="s">
        <v>325</v>
      </c>
      <c r="CW57" s="1147" t="s">
        <v>289</v>
      </c>
      <c r="CX57" s="1148" t="s">
        <v>325</v>
      </c>
      <c r="CY57" s="1147" t="s">
        <v>289</v>
      </c>
      <c r="CZ57" s="1148" t="s">
        <v>325</v>
      </c>
      <c r="DA57" s="1147" t="s">
        <v>289</v>
      </c>
      <c r="DB57" s="1148" t="s">
        <v>325</v>
      </c>
      <c r="DC57" s="1147" t="s">
        <v>289</v>
      </c>
      <c r="DD57" s="1149" t="s">
        <v>325</v>
      </c>
      <c r="DE57" s="1150" t="s">
        <v>289</v>
      </c>
      <c r="DF57" s="1045"/>
      <c r="DG57" s="1142"/>
      <c r="DH57" s="1143"/>
      <c r="DI57" s="1143"/>
      <c r="DJ57" s="1143"/>
      <c r="DK57" s="1144"/>
      <c r="DL57" s="1145"/>
      <c r="DM57" s="1146" t="s">
        <v>325</v>
      </c>
      <c r="DN57" s="1147" t="s">
        <v>289</v>
      </c>
      <c r="DO57" s="1148" t="s">
        <v>325</v>
      </c>
      <c r="DP57" s="1147" t="s">
        <v>289</v>
      </c>
      <c r="DQ57" s="1148" t="s">
        <v>325</v>
      </c>
      <c r="DR57" s="1147" t="s">
        <v>289</v>
      </c>
      <c r="DS57" s="1148" t="s">
        <v>325</v>
      </c>
      <c r="DT57" s="1147" t="s">
        <v>289</v>
      </c>
      <c r="DU57" s="1148" t="s">
        <v>325</v>
      </c>
      <c r="DV57" s="1147" t="s">
        <v>289</v>
      </c>
      <c r="DW57" s="1148" t="s">
        <v>325</v>
      </c>
      <c r="DX57" s="1147" t="s">
        <v>289</v>
      </c>
      <c r="DY57" s="1148" t="s">
        <v>325</v>
      </c>
      <c r="DZ57" s="1147" t="s">
        <v>289</v>
      </c>
      <c r="EA57" s="1148" t="s">
        <v>325</v>
      </c>
      <c r="EB57" s="1147" t="s">
        <v>289</v>
      </c>
      <c r="EC57" s="1148" t="s">
        <v>325</v>
      </c>
      <c r="ED57" s="1147" t="s">
        <v>289</v>
      </c>
      <c r="EE57" s="1148" t="s">
        <v>325</v>
      </c>
      <c r="EF57" s="1147" t="s">
        <v>289</v>
      </c>
      <c r="EG57" s="1148" t="s">
        <v>325</v>
      </c>
      <c r="EH57" s="1147" t="s">
        <v>289</v>
      </c>
      <c r="EI57" s="1148" t="s">
        <v>325</v>
      </c>
      <c r="EJ57" s="1147" t="s">
        <v>325</v>
      </c>
      <c r="EK57" s="1148" t="s">
        <v>325</v>
      </c>
      <c r="EL57" s="1147" t="s">
        <v>289</v>
      </c>
      <c r="EM57" s="1148" t="s">
        <v>325</v>
      </c>
      <c r="EN57" s="1147" t="s">
        <v>289</v>
      </c>
      <c r="EO57" s="1148" t="s">
        <v>325</v>
      </c>
      <c r="EP57" s="1147" t="s">
        <v>289</v>
      </c>
      <c r="EQ57" s="1148" t="s">
        <v>325</v>
      </c>
      <c r="ER57" s="1147" t="s">
        <v>289</v>
      </c>
      <c r="ES57" s="1148" t="s">
        <v>325</v>
      </c>
      <c r="ET57" s="1147" t="s">
        <v>289</v>
      </c>
      <c r="EU57" s="1148" t="s">
        <v>325</v>
      </c>
      <c r="EV57" s="1147" t="s">
        <v>289</v>
      </c>
      <c r="EW57" s="1148" t="s">
        <v>325</v>
      </c>
      <c r="EX57" s="1147" t="s">
        <v>289</v>
      </c>
      <c r="EY57" s="1148" t="s">
        <v>325</v>
      </c>
      <c r="EZ57" s="1147" t="s">
        <v>289</v>
      </c>
      <c r="FA57" s="1148" t="s">
        <v>325</v>
      </c>
      <c r="FB57" s="1147" t="s">
        <v>289</v>
      </c>
      <c r="FC57" s="1148" t="s">
        <v>325</v>
      </c>
      <c r="FD57" s="1147" t="s">
        <v>289</v>
      </c>
      <c r="FE57" s="1148" t="s">
        <v>325</v>
      </c>
      <c r="FF57" s="1147" t="s">
        <v>289</v>
      </c>
      <c r="FG57" s="1149" t="s">
        <v>325</v>
      </c>
      <c r="FH57" s="1150" t="s">
        <v>289</v>
      </c>
      <c r="FI57" s="1045"/>
      <c r="FJ57" s="1142"/>
      <c r="FK57" s="1143"/>
      <c r="FL57" s="1143"/>
      <c r="FM57" s="1143"/>
      <c r="FN57" s="1144"/>
      <c r="FO57" s="1145"/>
      <c r="FP57" s="1151" t="s">
        <v>272</v>
      </c>
      <c r="FQ57" s="1149" t="s">
        <v>325</v>
      </c>
      <c r="FR57" s="1147" t="s">
        <v>290</v>
      </c>
      <c r="FS57" s="1152" t="s">
        <v>272</v>
      </c>
      <c r="FT57" s="1149" t="s">
        <v>325</v>
      </c>
      <c r="FU57" s="1153" t="s">
        <v>290</v>
      </c>
      <c r="FV57" s="1154" t="s">
        <v>272</v>
      </c>
      <c r="FW57" s="1147" t="s">
        <v>289</v>
      </c>
      <c r="FX57" s="1152" t="s">
        <v>272</v>
      </c>
      <c r="FY57" s="1147" t="s">
        <v>289</v>
      </c>
      <c r="FZ57" s="1152" t="s">
        <v>272</v>
      </c>
      <c r="GA57" s="1147" t="s">
        <v>289</v>
      </c>
      <c r="GB57" s="1152" t="s">
        <v>272</v>
      </c>
      <c r="GC57" s="1147" t="s">
        <v>289</v>
      </c>
      <c r="GD57" s="1152" t="s">
        <v>272</v>
      </c>
      <c r="GE57" s="1150" t="s">
        <v>290</v>
      </c>
      <c r="GF57" s="681"/>
      <c r="GG57" s="648"/>
      <c r="GH57" s="648"/>
      <c r="GI57" s="648"/>
      <c r="GJ57" s="946"/>
      <c r="GK57" s="406"/>
      <c r="GL57" s="1117">
        <v>14</v>
      </c>
      <c r="GM57" s="1118">
        <v>5</v>
      </c>
      <c r="GN57" s="1095">
        <v>0.66</v>
      </c>
      <c r="GO57" s="1096">
        <v>0</v>
      </c>
      <c r="GP57" s="1096">
        <v>7</v>
      </c>
      <c r="GQ57" s="1097">
        <v>7</v>
      </c>
      <c r="GR57" s="946"/>
      <c r="GS57" s="522"/>
      <c r="GT57" s="1257"/>
      <c r="GU57" s="571"/>
      <c r="GV57" s="571"/>
      <c r="GW57" s="493"/>
      <c r="GX57" s="1260"/>
      <c r="GY57" s="572"/>
      <c r="GZ57" s="493"/>
      <c r="HA57" s="571"/>
      <c r="HB57" s="493"/>
      <c r="HC57" s="1045"/>
    </row>
    <row r="58" spans="1:212" ht="20.100000000000001" customHeight="1">
      <c r="A58" s="1155" t="s">
        <v>756</v>
      </c>
      <c r="B58" s="1156"/>
      <c r="C58" s="1156"/>
      <c r="D58" s="1156"/>
      <c r="E58" s="1157"/>
      <c r="F58" s="1158"/>
      <c r="G58" s="1159"/>
      <c r="H58" s="1160">
        <v>2730</v>
      </c>
      <c r="I58" s="1161"/>
      <c r="J58" s="1160">
        <v>2730</v>
      </c>
      <c r="K58" s="1161"/>
      <c r="L58" s="1160">
        <v>2730</v>
      </c>
      <c r="M58" s="1161"/>
      <c r="N58" s="1160">
        <v>2730</v>
      </c>
      <c r="O58" s="1161"/>
      <c r="P58" s="1160">
        <v>2730</v>
      </c>
      <c r="Q58" s="1161"/>
      <c r="R58" s="1160">
        <v>2730</v>
      </c>
      <c r="S58" s="1161"/>
      <c r="T58" s="1160">
        <v>2730</v>
      </c>
      <c r="U58" s="1161"/>
      <c r="V58" s="1160">
        <v>2730</v>
      </c>
      <c r="W58" s="1161"/>
      <c r="X58" s="1160">
        <v>2730</v>
      </c>
      <c r="Y58" s="1161"/>
      <c r="Z58" s="1160">
        <v>2730</v>
      </c>
      <c r="AA58" s="1161"/>
      <c r="AB58" s="1160">
        <v>2730</v>
      </c>
      <c r="AC58" s="1161"/>
      <c r="AD58" s="1160">
        <v>2730</v>
      </c>
      <c r="AE58" s="1161"/>
      <c r="AF58" s="1160">
        <v>2730</v>
      </c>
      <c r="AG58" s="1161"/>
      <c r="AH58" s="1160">
        <v>2730</v>
      </c>
      <c r="AI58" s="1161"/>
      <c r="AJ58" s="1160">
        <v>2730</v>
      </c>
      <c r="AK58" s="1161"/>
      <c r="AL58" s="1160">
        <v>2730</v>
      </c>
      <c r="AM58" s="1161"/>
      <c r="AN58" s="1160">
        <v>2730</v>
      </c>
      <c r="AO58" s="1161"/>
      <c r="AP58" s="1160">
        <v>2730</v>
      </c>
      <c r="AQ58" s="1161"/>
      <c r="AR58" s="1160">
        <v>2730</v>
      </c>
      <c r="AS58" s="1161"/>
      <c r="AT58" s="1160">
        <v>2730</v>
      </c>
      <c r="AU58" s="1161"/>
      <c r="AV58" s="1160">
        <v>2730</v>
      </c>
      <c r="AW58" s="1161"/>
      <c r="AX58" s="1160">
        <v>2730</v>
      </c>
      <c r="AY58" s="1161"/>
      <c r="AZ58" s="1160">
        <v>2730</v>
      </c>
      <c r="BA58" s="1161"/>
      <c r="BB58" s="554">
        <v>2730</v>
      </c>
      <c r="BC58" s="556"/>
      <c r="BD58" s="1155" t="s">
        <v>756</v>
      </c>
      <c r="BE58" s="1156"/>
      <c r="BF58" s="1156"/>
      <c r="BG58" s="1156"/>
      <c r="BH58" s="1157"/>
      <c r="BI58" s="1158"/>
      <c r="BJ58" s="1159"/>
      <c r="BK58" s="1160">
        <v>2730</v>
      </c>
      <c r="BL58" s="1161"/>
      <c r="BM58" s="1160">
        <v>2730</v>
      </c>
      <c r="BN58" s="1161"/>
      <c r="BO58" s="1160">
        <v>2730</v>
      </c>
      <c r="BP58" s="1161"/>
      <c r="BQ58" s="1160">
        <v>2730</v>
      </c>
      <c r="BR58" s="1161"/>
      <c r="BS58" s="1160">
        <v>2730</v>
      </c>
      <c r="BT58" s="1161"/>
      <c r="BU58" s="1160">
        <v>2730</v>
      </c>
      <c r="BV58" s="1161"/>
      <c r="BW58" s="1160">
        <v>2730</v>
      </c>
      <c r="BX58" s="1161"/>
      <c r="BY58" s="1160">
        <v>2730</v>
      </c>
      <c r="BZ58" s="1161"/>
      <c r="CA58" s="1160">
        <v>2730</v>
      </c>
      <c r="CB58" s="1161"/>
      <c r="CC58" s="1160">
        <v>2730</v>
      </c>
      <c r="CD58" s="1161"/>
      <c r="CE58" s="1160">
        <v>2730</v>
      </c>
      <c r="CF58" s="1161"/>
      <c r="CG58" s="1160">
        <v>2730</v>
      </c>
      <c r="CH58" s="1161"/>
      <c r="CI58" s="1160">
        <v>2730</v>
      </c>
      <c r="CJ58" s="1161"/>
      <c r="CK58" s="1160">
        <v>2730</v>
      </c>
      <c r="CL58" s="1161"/>
      <c r="CM58" s="1160">
        <v>2730</v>
      </c>
      <c r="CN58" s="1161"/>
      <c r="CO58" s="1160">
        <v>2730</v>
      </c>
      <c r="CP58" s="1161"/>
      <c r="CQ58" s="1160">
        <v>2730</v>
      </c>
      <c r="CR58" s="1161"/>
      <c r="CS58" s="1160">
        <v>2730</v>
      </c>
      <c r="CT58" s="1161"/>
      <c r="CU58" s="1160">
        <v>2730</v>
      </c>
      <c r="CV58" s="1161"/>
      <c r="CW58" s="1160">
        <v>2730</v>
      </c>
      <c r="CX58" s="1161"/>
      <c r="CY58" s="1160">
        <v>2730</v>
      </c>
      <c r="CZ58" s="1161"/>
      <c r="DA58" s="1160">
        <v>2730</v>
      </c>
      <c r="DB58" s="1161"/>
      <c r="DC58" s="1160">
        <v>2730</v>
      </c>
      <c r="DD58" s="1161"/>
      <c r="DE58" s="554">
        <v>2730</v>
      </c>
      <c r="DF58" s="555"/>
      <c r="DG58" s="1155" t="s">
        <v>756</v>
      </c>
      <c r="DH58" s="1156"/>
      <c r="DI58" s="1156"/>
      <c r="DJ58" s="1156"/>
      <c r="DK58" s="1157"/>
      <c r="DL58" s="1158"/>
      <c r="DM58" s="1159"/>
      <c r="DN58" s="1160">
        <v>2730</v>
      </c>
      <c r="DO58" s="1161"/>
      <c r="DP58" s="1160">
        <v>2730</v>
      </c>
      <c r="DQ58" s="1161"/>
      <c r="DR58" s="1160">
        <v>2730</v>
      </c>
      <c r="DS58" s="1161"/>
      <c r="DT58" s="1160">
        <v>2730</v>
      </c>
      <c r="DU58" s="1161"/>
      <c r="DV58" s="1160">
        <v>2730</v>
      </c>
      <c r="DW58" s="1161"/>
      <c r="DX58" s="1160">
        <v>2730</v>
      </c>
      <c r="DY58" s="1161"/>
      <c r="DZ58" s="1160">
        <v>2730</v>
      </c>
      <c r="EA58" s="1161"/>
      <c r="EB58" s="1160">
        <v>2730</v>
      </c>
      <c r="EC58" s="1161"/>
      <c r="ED58" s="1160">
        <v>2730</v>
      </c>
      <c r="EE58" s="1161"/>
      <c r="EF58" s="1160">
        <v>2730</v>
      </c>
      <c r="EG58" s="1161"/>
      <c r="EH58" s="1160">
        <v>2730</v>
      </c>
      <c r="EI58" s="1161"/>
      <c r="EJ58" s="1160">
        <v>2730</v>
      </c>
      <c r="EK58" s="1161"/>
      <c r="EL58" s="1160">
        <v>2730</v>
      </c>
      <c r="EM58" s="1161"/>
      <c r="EN58" s="1160">
        <v>2730</v>
      </c>
      <c r="EO58" s="1161"/>
      <c r="EP58" s="1160">
        <v>2730</v>
      </c>
      <c r="EQ58" s="1161"/>
      <c r="ER58" s="1160">
        <v>2730</v>
      </c>
      <c r="ES58" s="1161"/>
      <c r="ET58" s="1160">
        <v>2730</v>
      </c>
      <c r="EU58" s="1161"/>
      <c r="EV58" s="1160">
        <v>2730</v>
      </c>
      <c r="EW58" s="1161"/>
      <c r="EX58" s="1160">
        <v>2730</v>
      </c>
      <c r="EY58" s="1161"/>
      <c r="EZ58" s="1160">
        <v>2730</v>
      </c>
      <c r="FA58" s="1161"/>
      <c r="FB58" s="1160">
        <v>2730</v>
      </c>
      <c r="FC58" s="1161"/>
      <c r="FD58" s="1160">
        <v>2730</v>
      </c>
      <c r="FE58" s="1161"/>
      <c r="FF58" s="1160">
        <v>2730</v>
      </c>
      <c r="FG58" s="1161"/>
      <c r="FH58" s="554">
        <v>2730</v>
      </c>
      <c r="FI58" s="556"/>
      <c r="FJ58" s="1155" t="s">
        <v>756</v>
      </c>
      <c r="FK58" s="1156"/>
      <c r="FL58" s="1156"/>
      <c r="FM58" s="1156"/>
      <c r="FN58" s="1157"/>
      <c r="FO58" s="1158"/>
      <c r="FP58" s="1162"/>
      <c r="FQ58" s="1163"/>
      <c r="FR58" s="1160">
        <v>2730</v>
      </c>
      <c r="FS58" s="1164"/>
      <c r="FT58" s="1163"/>
      <c r="FU58" s="1165">
        <v>2730</v>
      </c>
      <c r="FV58" s="1166"/>
      <c r="FW58" s="1167"/>
      <c r="FX58" s="1168"/>
      <c r="FY58" s="1167"/>
      <c r="FZ58" s="1168"/>
      <c r="GA58" s="1167"/>
      <c r="GB58" s="1168"/>
      <c r="GC58" s="1167"/>
      <c r="GD58" s="1168"/>
      <c r="GE58" s="1169"/>
      <c r="GF58" s="681"/>
      <c r="GG58" s="595"/>
      <c r="GH58" s="595"/>
      <c r="GI58" s="595"/>
      <c r="GJ58" s="946"/>
      <c r="GK58" s="1170"/>
      <c r="GL58" s="1093">
        <v>15</v>
      </c>
      <c r="GM58" s="1094">
        <v>6</v>
      </c>
      <c r="GN58" s="1095">
        <v>0.61</v>
      </c>
      <c r="GO58" s="1096">
        <v>0</v>
      </c>
      <c r="GP58" s="1096">
        <v>7</v>
      </c>
      <c r="GQ58" s="1097">
        <v>7</v>
      </c>
      <c r="GR58" s="946"/>
      <c r="GS58" s="523"/>
      <c r="GT58" s="682"/>
      <c r="GU58" s="493"/>
      <c r="GV58" s="571"/>
      <c r="GW58" s="493"/>
      <c r="GX58" s="1260"/>
      <c r="GY58" s="1258"/>
      <c r="GZ58" s="572"/>
      <c r="HA58" s="571"/>
      <c r="HB58" s="493"/>
      <c r="HC58" s="555"/>
      <c r="HD58" s="1171"/>
    </row>
    <row r="59" spans="1:212" ht="20.100000000000001" customHeight="1">
      <c r="A59" s="1172" t="s">
        <v>760</v>
      </c>
      <c r="B59" s="1173"/>
      <c r="C59" s="1173"/>
      <c r="D59" s="1174" t="s">
        <v>759</v>
      </c>
      <c r="E59" s="1175"/>
      <c r="F59" s="1014"/>
      <c r="G59" s="1176">
        <v>21.3</v>
      </c>
      <c r="H59" s="578">
        <v>19383</v>
      </c>
      <c r="I59" s="1177">
        <v>20.8</v>
      </c>
      <c r="J59" s="580">
        <v>18928</v>
      </c>
      <c r="K59" s="1177">
        <v>19.7</v>
      </c>
      <c r="L59" s="580">
        <v>17927</v>
      </c>
      <c r="M59" s="1177">
        <v>18.899999999999999</v>
      </c>
      <c r="N59" s="580">
        <v>17199</v>
      </c>
      <c r="O59" s="1177">
        <v>18.600000000000001</v>
      </c>
      <c r="P59" s="580">
        <v>16926</v>
      </c>
      <c r="Q59" s="1177">
        <v>19.2</v>
      </c>
      <c r="R59" s="580">
        <v>17472</v>
      </c>
      <c r="S59" s="1177">
        <v>21.8</v>
      </c>
      <c r="T59" s="580">
        <v>19838</v>
      </c>
      <c r="U59" s="1177">
        <v>23.6</v>
      </c>
      <c r="V59" s="580">
        <v>21476</v>
      </c>
      <c r="W59" s="1177">
        <v>24.5</v>
      </c>
      <c r="X59" s="580">
        <v>22295</v>
      </c>
      <c r="Y59" s="1177">
        <v>26</v>
      </c>
      <c r="Z59" s="580">
        <v>23660</v>
      </c>
      <c r="AA59" s="1177">
        <v>27.4</v>
      </c>
      <c r="AB59" s="580">
        <v>24934</v>
      </c>
      <c r="AC59" s="1177">
        <v>27.6</v>
      </c>
      <c r="AD59" s="580">
        <v>25116</v>
      </c>
      <c r="AE59" s="1177">
        <v>28.4</v>
      </c>
      <c r="AF59" s="580">
        <v>25844</v>
      </c>
      <c r="AG59" s="1177">
        <v>28.2</v>
      </c>
      <c r="AH59" s="580">
        <v>25662</v>
      </c>
      <c r="AI59" s="1177">
        <v>28.9</v>
      </c>
      <c r="AJ59" s="580">
        <v>26299</v>
      </c>
      <c r="AK59" s="1177">
        <v>28.3</v>
      </c>
      <c r="AL59" s="580">
        <v>25753</v>
      </c>
      <c r="AM59" s="1177">
        <v>27</v>
      </c>
      <c r="AN59" s="580">
        <v>24570</v>
      </c>
      <c r="AO59" s="1177">
        <v>26.3</v>
      </c>
      <c r="AP59" s="580">
        <v>23933</v>
      </c>
      <c r="AQ59" s="1177">
        <v>25.4</v>
      </c>
      <c r="AR59" s="580">
        <v>23114</v>
      </c>
      <c r="AS59" s="1177">
        <v>24.4</v>
      </c>
      <c r="AT59" s="580">
        <v>22204</v>
      </c>
      <c r="AU59" s="1177">
        <v>24</v>
      </c>
      <c r="AV59" s="580">
        <v>21840</v>
      </c>
      <c r="AW59" s="1177">
        <v>23.1</v>
      </c>
      <c r="AX59" s="580">
        <v>21021</v>
      </c>
      <c r="AY59" s="1177">
        <v>22.6</v>
      </c>
      <c r="AZ59" s="580">
        <v>20566</v>
      </c>
      <c r="BA59" s="1177">
        <v>21.9</v>
      </c>
      <c r="BB59" s="582">
        <v>19929</v>
      </c>
      <c r="BC59" s="556"/>
      <c r="BD59" s="1172" t="s">
        <v>758</v>
      </c>
      <c r="BE59" s="1173"/>
      <c r="BF59" s="1173"/>
      <c r="BG59" s="1174" t="s">
        <v>759</v>
      </c>
      <c r="BH59" s="1175"/>
      <c r="BI59" s="1014"/>
      <c r="BJ59" s="1176">
        <v>17.2</v>
      </c>
      <c r="BK59" s="578">
        <v>15652</v>
      </c>
      <c r="BL59" s="1177">
        <v>16.100000000000001</v>
      </c>
      <c r="BM59" s="580">
        <v>14651</v>
      </c>
      <c r="BN59" s="1177">
        <v>15.1</v>
      </c>
      <c r="BO59" s="580">
        <v>13741</v>
      </c>
      <c r="BP59" s="1177">
        <v>14.2</v>
      </c>
      <c r="BQ59" s="580">
        <v>12922</v>
      </c>
      <c r="BR59" s="1177">
        <v>13.7</v>
      </c>
      <c r="BS59" s="580">
        <v>12467</v>
      </c>
      <c r="BT59" s="1177">
        <v>15.3</v>
      </c>
      <c r="BU59" s="580">
        <v>13923</v>
      </c>
      <c r="BV59" s="1177">
        <v>18</v>
      </c>
      <c r="BW59" s="580">
        <v>16380</v>
      </c>
      <c r="BX59" s="1177">
        <v>20.6</v>
      </c>
      <c r="BY59" s="580">
        <v>18746</v>
      </c>
      <c r="BZ59" s="1177">
        <v>21.7</v>
      </c>
      <c r="CA59" s="580">
        <v>19747</v>
      </c>
      <c r="CB59" s="1177">
        <v>23.3</v>
      </c>
      <c r="CC59" s="580">
        <v>21203</v>
      </c>
      <c r="CD59" s="1177">
        <v>23.6</v>
      </c>
      <c r="CE59" s="580">
        <v>21476</v>
      </c>
      <c r="CF59" s="1177">
        <v>23.3</v>
      </c>
      <c r="CG59" s="580">
        <v>21203</v>
      </c>
      <c r="CH59" s="1177">
        <v>23.4</v>
      </c>
      <c r="CI59" s="580">
        <v>21294</v>
      </c>
      <c r="CJ59" s="1177">
        <v>23.2</v>
      </c>
      <c r="CK59" s="580">
        <v>21112</v>
      </c>
      <c r="CL59" s="1177">
        <v>23.4</v>
      </c>
      <c r="CM59" s="580">
        <v>21294</v>
      </c>
      <c r="CN59" s="1177">
        <v>22.6</v>
      </c>
      <c r="CO59" s="580">
        <v>20566</v>
      </c>
      <c r="CP59" s="1177">
        <v>22.6</v>
      </c>
      <c r="CQ59" s="580">
        <v>20566</v>
      </c>
      <c r="CR59" s="1177">
        <v>22.3</v>
      </c>
      <c r="CS59" s="580">
        <v>20293</v>
      </c>
      <c r="CT59" s="1177">
        <v>21.4</v>
      </c>
      <c r="CU59" s="580">
        <v>19474</v>
      </c>
      <c r="CV59" s="1177">
        <v>20.9</v>
      </c>
      <c r="CW59" s="580">
        <v>19019</v>
      </c>
      <c r="CX59" s="1177">
        <v>20.399999999999999</v>
      </c>
      <c r="CY59" s="580">
        <v>18564</v>
      </c>
      <c r="CZ59" s="1177">
        <v>20</v>
      </c>
      <c r="DA59" s="580">
        <v>18200</v>
      </c>
      <c r="DB59" s="1177">
        <v>19</v>
      </c>
      <c r="DC59" s="580">
        <v>17290</v>
      </c>
      <c r="DD59" s="1177">
        <v>18</v>
      </c>
      <c r="DE59" s="582">
        <v>16380</v>
      </c>
      <c r="DF59" s="555"/>
      <c r="DG59" s="1172" t="s">
        <v>760</v>
      </c>
      <c r="DH59" s="1173"/>
      <c r="DI59" s="1173"/>
      <c r="DJ59" s="1174" t="s">
        <v>759</v>
      </c>
      <c r="DK59" s="1175"/>
      <c r="DL59" s="1014"/>
      <c r="DM59" s="1176">
        <v>3.1</v>
      </c>
      <c r="DN59" s="578">
        <v>2821</v>
      </c>
      <c r="DO59" s="1177">
        <v>2.4</v>
      </c>
      <c r="DP59" s="580">
        <v>2184</v>
      </c>
      <c r="DQ59" s="1177">
        <v>1.7</v>
      </c>
      <c r="DR59" s="580">
        <v>1547</v>
      </c>
      <c r="DS59" s="1177">
        <v>1</v>
      </c>
      <c r="DT59" s="580">
        <v>910</v>
      </c>
      <c r="DU59" s="1177">
        <v>0.3</v>
      </c>
      <c r="DV59" s="580">
        <v>273</v>
      </c>
      <c r="DW59" s="1177">
        <v>0</v>
      </c>
      <c r="DX59" s="580">
        <v>0</v>
      </c>
      <c r="DY59" s="1177">
        <v>1.6</v>
      </c>
      <c r="DZ59" s="580">
        <v>1456</v>
      </c>
      <c r="EA59" s="1177">
        <v>3.9</v>
      </c>
      <c r="EB59" s="580">
        <v>3549</v>
      </c>
      <c r="EC59" s="1177">
        <v>5.7</v>
      </c>
      <c r="ED59" s="580">
        <v>5187</v>
      </c>
      <c r="EE59" s="1177">
        <v>6.2</v>
      </c>
      <c r="EF59" s="580">
        <v>5642</v>
      </c>
      <c r="EG59" s="1177">
        <v>6.2</v>
      </c>
      <c r="EH59" s="580">
        <v>5642</v>
      </c>
      <c r="EI59" s="1177">
        <v>6.9</v>
      </c>
      <c r="EJ59" s="580">
        <v>6279</v>
      </c>
      <c r="EK59" s="1177">
        <v>6.8</v>
      </c>
      <c r="EL59" s="580">
        <v>6188</v>
      </c>
      <c r="EM59" s="1177">
        <v>7.7</v>
      </c>
      <c r="EN59" s="580">
        <v>7007</v>
      </c>
      <c r="EO59" s="1177">
        <v>8</v>
      </c>
      <c r="EP59" s="580">
        <v>7280</v>
      </c>
      <c r="EQ59" s="1177">
        <v>6.6</v>
      </c>
      <c r="ER59" s="580">
        <v>6006</v>
      </c>
      <c r="ES59" s="1177">
        <v>7.1</v>
      </c>
      <c r="ET59" s="580">
        <v>6461</v>
      </c>
      <c r="EU59" s="1177">
        <v>6.3</v>
      </c>
      <c r="EV59" s="580">
        <v>5733</v>
      </c>
      <c r="EW59" s="1177">
        <v>5.8</v>
      </c>
      <c r="EX59" s="580">
        <v>5278</v>
      </c>
      <c r="EY59" s="1177">
        <v>5.8</v>
      </c>
      <c r="EZ59" s="580">
        <v>5278</v>
      </c>
      <c r="FA59" s="1177">
        <v>5.9</v>
      </c>
      <c r="FB59" s="580">
        <v>5369</v>
      </c>
      <c r="FC59" s="1177">
        <v>5.4</v>
      </c>
      <c r="FD59" s="580">
        <v>4914</v>
      </c>
      <c r="FE59" s="1177">
        <v>4.8</v>
      </c>
      <c r="FF59" s="580">
        <v>4368</v>
      </c>
      <c r="FG59" s="1177">
        <v>4</v>
      </c>
      <c r="FH59" s="582">
        <v>3640</v>
      </c>
      <c r="FI59" s="556"/>
      <c r="FJ59" s="1172" t="s">
        <v>758</v>
      </c>
      <c r="FK59" s="1173"/>
      <c r="FL59" s="1173"/>
      <c r="FM59" s="1174" t="s">
        <v>759</v>
      </c>
      <c r="FN59" s="1175"/>
      <c r="FO59" s="1014"/>
      <c r="FP59" s="618">
        <v>6</v>
      </c>
      <c r="FQ59" s="1178">
        <v>30.1</v>
      </c>
      <c r="FR59" s="1179">
        <v>27391</v>
      </c>
      <c r="FS59" s="1180">
        <v>4</v>
      </c>
      <c r="FT59" s="1178">
        <v>29.2</v>
      </c>
      <c r="FU59" s="1181">
        <v>26572</v>
      </c>
      <c r="FV59" s="1261" t="s">
        <v>762</v>
      </c>
      <c r="FW59" s="1262"/>
      <c r="FX59" s="1263" t="s">
        <v>761</v>
      </c>
      <c r="FY59" s="1262"/>
      <c r="FZ59" s="1263" t="s">
        <v>761</v>
      </c>
      <c r="GA59" s="1262"/>
      <c r="GB59" s="1263" t="s">
        <v>761</v>
      </c>
      <c r="GC59" s="1262"/>
      <c r="GD59" s="1263" t="s">
        <v>762</v>
      </c>
      <c r="GE59" s="1267"/>
      <c r="GF59" s="681"/>
      <c r="GG59" s="1186"/>
      <c r="GH59" s="1186"/>
      <c r="GI59" s="1186"/>
      <c r="GJ59" s="886"/>
      <c r="GK59" s="406"/>
      <c r="GL59" s="1117">
        <v>16</v>
      </c>
      <c r="GM59" s="1118">
        <v>7</v>
      </c>
      <c r="GN59" s="1095">
        <v>0.56000000000000005</v>
      </c>
      <c r="GO59" s="1096">
        <v>0</v>
      </c>
      <c r="GP59" s="1096">
        <v>7</v>
      </c>
      <c r="GQ59" s="1097">
        <v>7</v>
      </c>
      <c r="GR59" s="886"/>
      <c r="GS59" s="388"/>
      <c r="GT59" s="1259"/>
      <c r="GU59" s="572"/>
      <c r="GV59" s="493"/>
      <c r="GW59" s="493"/>
      <c r="GX59" s="1260"/>
      <c r="GY59" s="1258"/>
      <c r="GZ59" s="572"/>
      <c r="HA59" s="571"/>
      <c r="HB59" s="493"/>
      <c r="HC59" s="1171"/>
      <c r="HD59" s="1187"/>
    </row>
    <row r="60" spans="1:212" ht="20.100000000000001" customHeight="1">
      <c r="A60" s="1172"/>
      <c r="B60" s="1173"/>
      <c r="C60" s="1173"/>
      <c r="D60" s="1188"/>
      <c r="E60" s="1188"/>
      <c r="F60" s="1189">
        <v>0</v>
      </c>
      <c r="G60" s="577"/>
      <c r="H60" s="578">
        <v>0</v>
      </c>
      <c r="I60" s="581"/>
      <c r="J60" s="580">
        <v>0</v>
      </c>
      <c r="K60" s="581"/>
      <c r="L60" s="580">
        <v>0</v>
      </c>
      <c r="M60" s="581"/>
      <c r="N60" s="580">
        <v>0</v>
      </c>
      <c r="O60" s="581"/>
      <c r="P60" s="580">
        <v>0</v>
      </c>
      <c r="Q60" s="581"/>
      <c r="R60" s="580">
        <v>0</v>
      </c>
      <c r="S60" s="581"/>
      <c r="T60" s="580">
        <v>0</v>
      </c>
      <c r="U60" s="581"/>
      <c r="V60" s="580">
        <v>0</v>
      </c>
      <c r="W60" s="581"/>
      <c r="X60" s="580">
        <v>0</v>
      </c>
      <c r="Y60" s="581"/>
      <c r="Z60" s="580">
        <v>0</v>
      </c>
      <c r="AA60" s="581"/>
      <c r="AB60" s="580">
        <v>0</v>
      </c>
      <c r="AC60" s="581"/>
      <c r="AD60" s="580">
        <v>0</v>
      </c>
      <c r="AE60" s="581"/>
      <c r="AF60" s="580">
        <v>0</v>
      </c>
      <c r="AG60" s="581"/>
      <c r="AH60" s="580">
        <v>0</v>
      </c>
      <c r="AI60" s="581"/>
      <c r="AJ60" s="580">
        <v>0</v>
      </c>
      <c r="AK60" s="581"/>
      <c r="AL60" s="580">
        <v>0</v>
      </c>
      <c r="AM60" s="581"/>
      <c r="AN60" s="580">
        <v>0</v>
      </c>
      <c r="AO60" s="581"/>
      <c r="AP60" s="580">
        <v>0</v>
      </c>
      <c r="AQ60" s="581"/>
      <c r="AR60" s="580">
        <v>0</v>
      </c>
      <c r="AS60" s="581"/>
      <c r="AT60" s="580">
        <v>0</v>
      </c>
      <c r="AU60" s="581"/>
      <c r="AV60" s="580">
        <v>0</v>
      </c>
      <c r="AW60" s="581"/>
      <c r="AX60" s="580">
        <v>0</v>
      </c>
      <c r="AY60" s="581"/>
      <c r="AZ60" s="580">
        <v>0</v>
      </c>
      <c r="BA60" s="581"/>
      <c r="BB60" s="582">
        <v>0</v>
      </c>
      <c r="BC60" s="556"/>
      <c r="BD60" s="1172"/>
      <c r="BE60" s="1173"/>
      <c r="BF60" s="1173"/>
      <c r="BG60" s="1188"/>
      <c r="BH60" s="1188"/>
      <c r="BI60" s="1189"/>
      <c r="BJ60" s="577"/>
      <c r="BK60" s="578">
        <v>0</v>
      </c>
      <c r="BL60" s="581"/>
      <c r="BM60" s="580">
        <v>0</v>
      </c>
      <c r="BN60" s="581"/>
      <c r="BO60" s="580">
        <v>0</v>
      </c>
      <c r="BP60" s="581"/>
      <c r="BQ60" s="580">
        <v>0</v>
      </c>
      <c r="BR60" s="581"/>
      <c r="BS60" s="580">
        <v>0</v>
      </c>
      <c r="BT60" s="581"/>
      <c r="BU60" s="580">
        <v>0</v>
      </c>
      <c r="BV60" s="581"/>
      <c r="BW60" s="580">
        <v>0</v>
      </c>
      <c r="BX60" s="581"/>
      <c r="BY60" s="580">
        <v>0</v>
      </c>
      <c r="BZ60" s="581"/>
      <c r="CA60" s="580">
        <v>0</v>
      </c>
      <c r="CB60" s="581"/>
      <c r="CC60" s="580">
        <v>0</v>
      </c>
      <c r="CD60" s="581"/>
      <c r="CE60" s="580">
        <v>0</v>
      </c>
      <c r="CF60" s="581"/>
      <c r="CG60" s="580">
        <v>0</v>
      </c>
      <c r="CH60" s="581"/>
      <c r="CI60" s="580">
        <v>0</v>
      </c>
      <c r="CJ60" s="581"/>
      <c r="CK60" s="580">
        <v>0</v>
      </c>
      <c r="CL60" s="581"/>
      <c r="CM60" s="580">
        <v>0</v>
      </c>
      <c r="CN60" s="581"/>
      <c r="CO60" s="580">
        <v>0</v>
      </c>
      <c r="CP60" s="581"/>
      <c r="CQ60" s="580">
        <v>0</v>
      </c>
      <c r="CR60" s="581"/>
      <c r="CS60" s="580">
        <v>0</v>
      </c>
      <c r="CT60" s="581"/>
      <c r="CU60" s="580">
        <v>0</v>
      </c>
      <c r="CV60" s="581"/>
      <c r="CW60" s="580">
        <v>0</v>
      </c>
      <c r="CX60" s="581"/>
      <c r="CY60" s="580">
        <v>0</v>
      </c>
      <c r="CZ60" s="581"/>
      <c r="DA60" s="580">
        <v>0</v>
      </c>
      <c r="DB60" s="581"/>
      <c r="DC60" s="580">
        <v>0</v>
      </c>
      <c r="DD60" s="581"/>
      <c r="DE60" s="582">
        <v>0</v>
      </c>
      <c r="DF60" s="555"/>
      <c r="DG60" s="1172"/>
      <c r="DH60" s="1173"/>
      <c r="DI60" s="1173"/>
      <c r="DJ60" s="1188"/>
      <c r="DK60" s="1188"/>
      <c r="DL60" s="1189"/>
      <c r="DM60" s="577"/>
      <c r="DN60" s="578">
        <v>0</v>
      </c>
      <c r="DO60" s="581"/>
      <c r="DP60" s="580">
        <v>0</v>
      </c>
      <c r="DQ60" s="581"/>
      <c r="DR60" s="580">
        <v>0</v>
      </c>
      <c r="DS60" s="581"/>
      <c r="DT60" s="580">
        <v>0</v>
      </c>
      <c r="DU60" s="581"/>
      <c r="DV60" s="580">
        <v>0</v>
      </c>
      <c r="DW60" s="581"/>
      <c r="DX60" s="580">
        <v>0</v>
      </c>
      <c r="DY60" s="581"/>
      <c r="DZ60" s="580">
        <v>0</v>
      </c>
      <c r="EA60" s="581"/>
      <c r="EB60" s="580">
        <v>0</v>
      </c>
      <c r="EC60" s="581"/>
      <c r="ED60" s="580">
        <v>0</v>
      </c>
      <c r="EE60" s="581"/>
      <c r="EF60" s="580">
        <v>0</v>
      </c>
      <c r="EG60" s="581"/>
      <c r="EH60" s="580">
        <v>0</v>
      </c>
      <c r="EI60" s="581"/>
      <c r="EJ60" s="580">
        <v>0</v>
      </c>
      <c r="EK60" s="581"/>
      <c r="EL60" s="580">
        <v>0</v>
      </c>
      <c r="EM60" s="581"/>
      <c r="EN60" s="580">
        <v>0</v>
      </c>
      <c r="EO60" s="581"/>
      <c r="EP60" s="580">
        <v>0</v>
      </c>
      <c r="EQ60" s="581"/>
      <c r="ER60" s="580">
        <v>0</v>
      </c>
      <c r="ES60" s="581"/>
      <c r="ET60" s="580">
        <v>0</v>
      </c>
      <c r="EU60" s="581"/>
      <c r="EV60" s="580">
        <v>0</v>
      </c>
      <c r="EW60" s="581"/>
      <c r="EX60" s="580">
        <v>0</v>
      </c>
      <c r="EY60" s="581"/>
      <c r="EZ60" s="580">
        <v>0</v>
      </c>
      <c r="FA60" s="581"/>
      <c r="FB60" s="580">
        <v>0</v>
      </c>
      <c r="FC60" s="581"/>
      <c r="FD60" s="580">
        <v>0</v>
      </c>
      <c r="FE60" s="581"/>
      <c r="FF60" s="580">
        <v>0</v>
      </c>
      <c r="FG60" s="581"/>
      <c r="FH60" s="582">
        <v>0</v>
      </c>
      <c r="FI60" s="556"/>
      <c r="FJ60" s="1172"/>
      <c r="FK60" s="1173"/>
      <c r="FL60" s="1173"/>
      <c r="FM60" s="1190"/>
      <c r="FN60" s="1191"/>
      <c r="FO60" s="1014"/>
      <c r="FP60" s="618"/>
      <c r="FQ60" s="614"/>
      <c r="FR60" s="1179"/>
      <c r="FS60" s="1180"/>
      <c r="FT60" s="614"/>
      <c r="FU60" s="1181"/>
      <c r="FV60" s="1182"/>
      <c r="FW60" s="1183"/>
      <c r="FX60" s="1184"/>
      <c r="FY60" s="1183"/>
      <c r="FZ60" s="1184"/>
      <c r="GA60" s="1183"/>
      <c r="GB60" s="1184"/>
      <c r="GC60" s="1183"/>
      <c r="GD60" s="1184"/>
      <c r="GE60" s="1185"/>
      <c r="GF60" s="681"/>
      <c r="GG60" s="388"/>
      <c r="GH60" s="388"/>
      <c r="GI60" s="388"/>
      <c r="GJ60" s="388"/>
      <c r="GK60" s="388"/>
      <c r="GL60" s="1093">
        <v>17</v>
      </c>
      <c r="GM60" s="1094">
        <v>8</v>
      </c>
      <c r="GN60" s="1095">
        <v>0.51</v>
      </c>
      <c r="GO60" s="1096">
        <v>0</v>
      </c>
      <c r="GP60" s="1096">
        <v>7</v>
      </c>
      <c r="GQ60" s="1097">
        <v>7</v>
      </c>
      <c r="GR60" s="388"/>
      <c r="GS60" s="476"/>
      <c r="GT60" s="1259"/>
      <c r="GU60" s="493"/>
      <c r="GV60" s="572"/>
      <c r="GW60" s="493"/>
      <c r="GX60" s="572"/>
      <c r="GY60" s="493"/>
      <c r="GZ60" s="493"/>
      <c r="HA60" s="571"/>
      <c r="HB60" s="493"/>
      <c r="HC60" s="1192"/>
      <c r="HD60" s="1031"/>
    </row>
    <row r="61" spans="1:212" ht="20.100000000000001" customHeight="1">
      <c r="A61" s="1193" t="s">
        <v>763</v>
      </c>
      <c r="B61" s="1194"/>
      <c r="C61" s="1194"/>
      <c r="D61" s="1194"/>
      <c r="E61" s="1194"/>
      <c r="F61" s="1195"/>
      <c r="G61" s="1196"/>
      <c r="H61" s="1197">
        <v>82949</v>
      </c>
      <c r="I61" s="1198"/>
      <c r="J61" s="1199">
        <v>82475</v>
      </c>
      <c r="K61" s="1198"/>
      <c r="L61" s="1199">
        <v>81455</v>
      </c>
      <c r="M61" s="1198"/>
      <c r="N61" s="1199">
        <v>80714</v>
      </c>
      <c r="O61" s="1198"/>
      <c r="P61" s="1199">
        <v>80424</v>
      </c>
      <c r="Q61" s="1198"/>
      <c r="R61" s="1199">
        <v>80959</v>
      </c>
      <c r="S61" s="1198"/>
      <c r="T61" s="1199">
        <v>83396</v>
      </c>
      <c r="U61" s="1198"/>
      <c r="V61" s="1199">
        <v>85185</v>
      </c>
      <c r="W61" s="1198"/>
      <c r="X61" s="1199">
        <v>87284</v>
      </c>
      <c r="Y61" s="1198"/>
      <c r="Z61" s="1199">
        <v>88510</v>
      </c>
      <c r="AA61" s="1198"/>
      <c r="AB61" s="1199">
        <v>89900</v>
      </c>
      <c r="AC61" s="1198"/>
      <c r="AD61" s="1199">
        <v>90170</v>
      </c>
      <c r="AE61" s="1198"/>
      <c r="AF61" s="1199">
        <v>91018</v>
      </c>
      <c r="AG61" s="1198"/>
      <c r="AH61" s="1199">
        <v>90863</v>
      </c>
      <c r="AI61" s="1198"/>
      <c r="AJ61" s="1199">
        <v>91524</v>
      </c>
      <c r="AK61" s="1198"/>
      <c r="AL61" s="1199">
        <v>90938</v>
      </c>
      <c r="AM61" s="1198"/>
      <c r="AN61" s="1199">
        <v>89644</v>
      </c>
      <c r="AO61" s="1198"/>
      <c r="AP61" s="1199">
        <v>88919</v>
      </c>
      <c r="AQ61" s="1198"/>
      <c r="AR61" s="1199">
        <v>87164</v>
      </c>
      <c r="AS61" s="1198"/>
      <c r="AT61" s="1199">
        <v>86167</v>
      </c>
      <c r="AU61" s="1198"/>
      <c r="AV61" s="1199">
        <v>85710</v>
      </c>
      <c r="AW61" s="1198"/>
      <c r="AX61" s="1199">
        <v>84795</v>
      </c>
      <c r="AY61" s="1198"/>
      <c r="AZ61" s="1199">
        <v>84246</v>
      </c>
      <c r="BA61" s="1198"/>
      <c r="BB61" s="1200">
        <v>83552</v>
      </c>
      <c r="BC61" s="556"/>
      <c r="BD61" s="1193" t="s">
        <v>763</v>
      </c>
      <c r="BE61" s="1194"/>
      <c r="BF61" s="1194"/>
      <c r="BG61" s="1194"/>
      <c r="BH61" s="1194"/>
      <c r="BI61" s="1195"/>
      <c r="BJ61" s="1196"/>
      <c r="BK61" s="1197">
        <v>79221</v>
      </c>
      <c r="BL61" s="1198"/>
      <c r="BM61" s="1199">
        <v>78195</v>
      </c>
      <c r="BN61" s="1198"/>
      <c r="BO61" s="1199">
        <v>77266</v>
      </c>
      <c r="BP61" s="1198"/>
      <c r="BQ61" s="1199">
        <v>76428</v>
      </c>
      <c r="BR61" s="1198"/>
      <c r="BS61" s="1199">
        <v>75960</v>
      </c>
      <c r="BT61" s="1198"/>
      <c r="BU61" s="1199">
        <v>77402</v>
      </c>
      <c r="BV61" s="1198"/>
      <c r="BW61" s="1199">
        <v>79967</v>
      </c>
      <c r="BX61" s="1198"/>
      <c r="BY61" s="1199">
        <v>82527</v>
      </c>
      <c r="BZ61" s="1198"/>
      <c r="CA61" s="1199">
        <v>84842</v>
      </c>
      <c r="CB61" s="1198"/>
      <c r="CC61" s="1199">
        <v>86160</v>
      </c>
      <c r="CD61" s="1198"/>
      <c r="CE61" s="1199">
        <v>86552</v>
      </c>
      <c r="CF61" s="1198"/>
      <c r="CG61" s="1199">
        <v>86368</v>
      </c>
      <c r="CH61" s="1198"/>
      <c r="CI61" s="1199">
        <v>86548</v>
      </c>
      <c r="CJ61" s="1198"/>
      <c r="CK61" s="1199">
        <v>86423</v>
      </c>
      <c r="CL61" s="1198"/>
      <c r="CM61" s="1199">
        <v>86597</v>
      </c>
      <c r="CN61" s="1198"/>
      <c r="CO61" s="1199">
        <v>85857</v>
      </c>
      <c r="CP61" s="1198"/>
      <c r="CQ61" s="1199">
        <v>85779</v>
      </c>
      <c r="CR61" s="1198"/>
      <c r="CS61" s="1199">
        <v>85355</v>
      </c>
      <c r="CT61" s="1198"/>
      <c r="CU61" s="1199">
        <v>83579</v>
      </c>
      <c r="CV61" s="1198"/>
      <c r="CW61" s="1199">
        <v>82964</v>
      </c>
      <c r="CX61" s="1198"/>
      <c r="CY61" s="1199">
        <v>82415</v>
      </c>
      <c r="CZ61" s="1198"/>
      <c r="DA61" s="1199">
        <v>81953</v>
      </c>
      <c r="DB61" s="1198"/>
      <c r="DC61" s="1199">
        <v>80942</v>
      </c>
      <c r="DD61" s="1198"/>
      <c r="DE61" s="1200">
        <v>79973</v>
      </c>
      <c r="DF61" s="555"/>
      <c r="DG61" s="1193" t="s">
        <v>763</v>
      </c>
      <c r="DH61" s="1194"/>
      <c r="DI61" s="1194"/>
      <c r="DJ61" s="1194"/>
      <c r="DK61" s="1194"/>
      <c r="DL61" s="1195"/>
      <c r="DM61" s="1196"/>
      <c r="DN61" s="1197">
        <v>66273</v>
      </c>
      <c r="DO61" s="1198"/>
      <c r="DP61" s="1199">
        <v>65636</v>
      </c>
      <c r="DQ61" s="1198"/>
      <c r="DR61" s="1199">
        <v>64999</v>
      </c>
      <c r="DS61" s="1198"/>
      <c r="DT61" s="1199">
        <v>64362</v>
      </c>
      <c r="DU61" s="1198"/>
      <c r="DV61" s="1199">
        <v>63725</v>
      </c>
      <c r="DW61" s="1198"/>
      <c r="DX61" s="1199">
        <v>63452</v>
      </c>
      <c r="DY61" s="1198"/>
      <c r="DZ61" s="1199">
        <v>64908</v>
      </c>
      <c r="EA61" s="1198"/>
      <c r="EB61" s="1199">
        <v>67001</v>
      </c>
      <c r="EC61" s="1198"/>
      <c r="ED61" s="1199">
        <v>69774</v>
      </c>
      <c r="EE61" s="1198"/>
      <c r="EF61" s="1199">
        <v>70003</v>
      </c>
      <c r="EG61" s="1198"/>
      <c r="EH61" s="1199">
        <v>70095</v>
      </c>
      <c r="EI61" s="1198"/>
      <c r="EJ61" s="1199">
        <v>70824</v>
      </c>
      <c r="EK61" s="1198"/>
      <c r="EL61" s="1199">
        <v>70774</v>
      </c>
      <c r="EM61" s="1198"/>
      <c r="EN61" s="1199">
        <v>71623</v>
      </c>
      <c r="EO61" s="1198"/>
      <c r="EP61" s="1199">
        <v>71890</v>
      </c>
      <c r="EQ61" s="1198"/>
      <c r="ER61" s="1199">
        <v>70543</v>
      </c>
      <c r="ES61" s="1198"/>
      <c r="ET61" s="1199">
        <v>70889</v>
      </c>
      <c r="EU61" s="1198"/>
      <c r="EV61" s="1199">
        <v>70131</v>
      </c>
      <c r="EW61" s="1198"/>
      <c r="EX61" s="1199">
        <v>68817</v>
      </c>
      <c r="EY61" s="1198"/>
      <c r="EZ61" s="1199">
        <v>68795</v>
      </c>
      <c r="FA61" s="1198"/>
      <c r="FB61" s="1199">
        <v>68862</v>
      </c>
      <c r="FC61" s="1198"/>
      <c r="FD61" s="1199">
        <v>68383</v>
      </c>
      <c r="FE61" s="1198"/>
      <c r="FF61" s="1199">
        <v>67820</v>
      </c>
      <c r="FG61" s="1198"/>
      <c r="FH61" s="1200">
        <v>67092</v>
      </c>
      <c r="FI61" s="556"/>
      <c r="FJ61" s="1193" t="s">
        <v>764</v>
      </c>
      <c r="FK61" s="1194"/>
      <c r="FL61" s="1194"/>
      <c r="FM61" s="1194"/>
      <c r="FN61" s="1194"/>
      <c r="FO61" s="1194"/>
      <c r="FP61" s="1201"/>
      <c r="FQ61" s="1202"/>
      <c r="FR61" s="1203">
        <v>27391</v>
      </c>
      <c r="FS61" s="1204"/>
      <c r="FT61" s="1202"/>
      <c r="FU61" s="1205">
        <v>26572</v>
      </c>
      <c r="FV61" s="1264" t="s">
        <v>761</v>
      </c>
      <c r="FW61" s="1265"/>
      <c r="FX61" s="1266" t="s">
        <v>762</v>
      </c>
      <c r="FY61" s="1265"/>
      <c r="FZ61" s="1266" t="s">
        <v>762</v>
      </c>
      <c r="GA61" s="1265"/>
      <c r="GB61" s="1266" t="s">
        <v>762</v>
      </c>
      <c r="GC61" s="1265"/>
      <c r="GD61" s="1266" t="s">
        <v>761</v>
      </c>
      <c r="GE61" s="1268"/>
      <c r="GF61" s="681"/>
      <c r="GG61" s="476"/>
      <c r="GH61" s="476"/>
      <c r="GI61" s="476"/>
      <c r="GJ61" s="476"/>
      <c r="GK61" s="479"/>
      <c r="GL61" s="1117">
        <v>18</v>
      </c>
      <c r="GM61" s="1206">
        <v>9</v>
      </c>
      <c r="GN61" s="1095">
        <v>0.47</v>
      </c>
      <c r="GO61" s="1096">
        <v>0</v>
      </c>
      <c r="GP61" s="1096">
        <v>7</v>
      </c>
      <c r="GQ61" s="1097">
        <v>7</v>
      </c>
      <c r="GR61" s="476"/>
      <c r="GS61" s="573"/>
      <c r="GT61" s="1259"/>
      <c r="GU61" s="682"/>
      <c r="GV61" s="682"/>
      <c r="GW61" s="682"/>
      <c r="GX61" s="682"/>
      <c r="GY61" s="572"/>
      <c r="GZ61" s="493"/>
      <c r="HA61" s="572"/>
      <c r="HB61" s="493"/>
    </row>
    <row r="62" spans="1:212" ht="20.100000000000001" customHeight="1" thickBot="1">
      <c r="A62" s="1208"/>
      <c r="B62" s="1208"/>
      <c r="C62" s="1208"/>
      <c r="D62" s="1208"/>
      <c r="E62" s="1208"/>
      <c r="F62" s="1208"/>
      <c r="G62" s="1208"/>
      <c r="H62" s="1208"/>
      <c r="I62" s="1208"/>
      <c r="J62" s="1208"/>
      <c r="K62" s="1208"/>
      <c r="L62" s="1208"/>
      <c r="M62" s="1208"/>
      <c r="N62" s="1208"/>
      <c r="O62" s="1208"/>
      <c r="P62" s="1208"/>
      <c r="Q62" s="1208"/>
      <c r="R62" s="1208"/>
      <c r="S62" s="1208"/>
      <c r="T62" s="1208"/>
      <c r="U62" s="1208"/>
      <c r="V62" s="1208"/>
      <c r="W62" s="1208"/>
      <c r="X62" s="1208"/>
      <c r="Y62" s="1208"/>
      <c r="Z62" s="1208"/>
      <c r="AA62" s="1208"/>
      <c r="AB62" s="1208"/>
      <c r="AC62" s="1208"/>
      <c r="AD62" s="1208"/>
      <c r="AE62" s="1208"/>
      <c r="AF62" s="1208"/>
      <c r="AG62" s="1208"/>
      <c r="AH62" s="1208"/>
      <c r="AI62" s="1208"/>
      <c r="AJ62" s="1208"/>
      <c r="AK62" s="1208"/>
      <c r="AL62" s="1208"/>
      <c r="AM62" s="1208"/>
      <c r="AN62" s="1208"/>
      <c r="AO62" s="1208"/>
      <c r="AP62" s="1208"/>
      <c r="AQ62" s="1208"/>
      <c r="AR62" s="1208"/>
      <c r="AS62" s="1208"/>
      <c r="AT62" s="1208"/>
      <c r="AU62" s="1208"/>
      <c r="AV62" s="1208"/>
      <c r="AW62" s="1208"/>
      <c r="AX62" s="1208"/>
      <c r="AY62" s="1208"/>
      <c r="AZ62" s="1208"/>
      <c r="BA62" s="1208"/>
      <c r="BB62" s="1208"/>
      <c r="BC62" s="386"/>
      <c r="BD62" s="1208"/>
      <c r="BE62" s="1208"/>
      <c r="BF62" s="1208"/>
      <c r="BG62" s="1208"/>
      <c r="BH62" s="1208"/>
      <c r="BI62" s="1208"/>
      <c r="BJ62" s="1208"/>
      <c r="BK62" s="1208"/>
      <c r="BL62" s="1208"/>
      <c r="BM62" s="1208"/>
      <c r="BN62" s="1208"/>
      <c r="BO62" s="1208"/>
      <c r="BP62" s="1208"/>
      <c r="BQ62" s="1208"/>
      <c r="BR62" s="1208"/>
      <c r="BS62" s="1208"/>
      <c r="BT62" s="1208"/>
      <c r="BU62" s="1208"/>
      <c r="BV62" s="1208"/>
      <c r="BW62" s="1208"/>
      <c r="BX62" s="1208"/>
      <c r="BY62" s="1208"/>
      <c r="BZ62" s="1208"/>
      <c r="CA62" s="1208"/>
      <c r="CB62" s="1208"/>
      <c r="CC62" s="1208"/>
      <c r="CD62" s="1208"/>
      <c r="CE62" s="1208"/>
      <c r="CF62" s="1208"/>
      <c r="CG62" s="1208"/>
      <c r="CH62" s="1208"/>
      <c r="CI62" s="1208"/>
      <c r="CJ62" s="1208"/>
      <c r="CK62" s="1208"/>
      <c r="CL62" s="1208"/>
      <c r="CM62" s="1208"/>
      <c r="CN62" s="1208"/>
      <c r="CO62" s="1208"/>
      <c r="CP62" s="1208"/>
      <c r="CQ62" s="1208"/>
      <c r="CR62" s="1208"/>
      <c r="CS62" s="1208"/>
      <c r="CT62" s="1208"/>
      <c r="CU62" s="1208"/>
      <c r="CV62" s="1208"/>
      <c r="CW62" s="1208"/>
      <c r="CX62" s="1208"/>
      <c r="CY62" s="1208"/>
      <c r="CZ62" s="1208"/>
      <c r="DA62" s="1208"/>
      <c r="DB62" s="1208"/>
      <c r="DC62" s="1208"/>
      <c r="DD62" s="1208"/>
      <c r="DE62" s="1208"/>
      <c r="DF62" s="386"/>
      <c r="DG62" s="1208"/>
      <c r="DH62" s="1208"/>
      <c r="DI62" s="1208"/>
      <c r="DJ62" s="1208"/>
      <c r="DK62" s="1208"/>
      <c r="DL62" s="1208"/>
      <c r="DM62" s="1208"/>
      <c r="DN62" s="1208"/>
      <c r="DO62" s="1208"/>
      <c r="DP62" s="1208"/>
      <c r="DQ62" s="1208"/>
      <c r="DR62" s="1208"/>
      <c r="DS62" s="1208"/>
      <c r="DT62" s="1208"/>
      <c r="DU62" s="1208"/>
      <c r="DV62" s="1208"/>
      <c r="DW62" s="1208"/>
      <c r="DX62" s="1208"/>
      <c r="DY62" s="1208"/>
      <c r="DZ62" s="1208"/>
      <c r="EA62" s="1208"/>
      <c r="EB62" s="1208"/>
      <c r="EC62" s="1208"/>
      <c r="ED62" s="1208"/>
      <c r="EE62" s="1208"/>
      <c r="EF62" s="1208"/>
      <c r="EG62" s="1208"/>
      <c r="EH62" s="1208"/>
      <c r="EI62" s="1208"/>
      <c r="EJ62" s="1208"/>
      <c r="EK62" s="1208"/>
      <c r="EL62" s="1208"/>
      <c r="EM62" s="1208"/>
      <c r="EN62" s="1208"/>
      <c r="EO62" s="1208"/>
      <c r="EP62" s="1208"/>
      <c r="EQ62" s="1208"/>
      <c r="ER62" s="1208"/>
      <c r="ES62" s="1208"/>
      <c r="ET62" s="1208"/>
      <c r="EU62" s="1208"/>
      <c r="EV62" s="1208"/>
      <c r="EW62" s="1208"/>
      <c r="EX62" s="1208"/>
      <c r="EY62" s="1208"/>
      <c r="EZ62" s="1208"/>
      <c r="FA62" s="1208"/>
      <c r="FB62" s="1208"/>
      <c r="FC62" s="1208"/>
      <c r="FD62" s="1208"/>
      <c r="FE62" s="1208"/>
      <c r="FF62" s="1208"/>
      <c r="FG62" s="1208"/>
      <c r="FH62" s="1208"/>
      <c r="FI62" s="386"/>
      <c r="FJ62" s="1208"/>
      <c r="FK62" s="1208"/>
      <c r="FL62" s="1208"/>
      <c r="FM62" s="1208"/>
      <c r="FN62" s="1208"/>
      <c r="FO62" s="1208"/>
      <c r="FP62" s="1208"/>
      <c r="FQ62" s="1208"/>
      <c r="FR62" s="1208"/>
      <c r="FS62" s="1208"/>
      <c r="FT62" s="1208"/>
      <c r="FU62" s="1208"/>
      <c r="FV62" s="1208"/>
      <c r="FW62" s="1208"/>
      <c r="FX62" s="1208"/>
      <c r="FY62" s="1208"/>
      <c r="FZ62" s="1208"/>
      <c r="GA62" s="1208"/>
      <c r="GB62" s="1208"/>
      <c r="GC62" s="1208"/>
      <c r="GD62" s="1208"/>
      <c r="GE62" s="1209"/>
      <c r="GF62" s="681"/>
      <c r="GG62" s="648"/>
      <c r="GH62" s="648"/>
      <c r="GI62" s="648"/>
      <c r="GJ62" s="573"/>
      <c r="GK62" s="479"/>
      <c r="GL62" s="476"/>
      <c r="GM62" s="479"/>
      <c r="GN62" s="476"/>
      <c r="GO62" s="479"/>
      <c r="GP62" s="479"/>
      <c r="GQ62" s="479"/>
      <c r="GR62" s="476"/>
      <c r="GS62" s="523"/>
      <c r="GT62" s="572"/>
      <c r="GU62" s="682"/>
      <c r="GV62" s="682"/>
      <c r="GW62" s="682"/>
      <c r="GX62" s="682"/>
      <c r="GY62" s="572"/>
      <c r="GZ62" s="493"/>
      <c r="HA62" s="572"/>
      <c r="HB62" s="493"/>
      <c r="HC62" s="1031"/>
    </row>
    <row r="63" spans="1:212" ht="20.100000000000001" customHeight="1">
      <c r="A63" s="1210" t="s">
        <v>326</v>
      </c>
      <c r="B63" s="1123"/>
      <c r="C63" s="1123"/>
      <c r="D63" s="1123"/>
      <c r="E63" s="1123"/>
      <c r="F63" s="1124"/>
      <c r="G63" s="1125">
        <v>1</v>
      </c>
      <c r="H63" s="1126"/>
      <c r="I63" s="1127">
        <v>2</v>
      </c>
      <c r="J63" s="1126"/>
      <c r="K63" s="1127">
        <v>3</v>
      </c>
      <c r="L63" s="1126"/>
      <c r="M63" s="1127">
        <v>4</v>
      </c>
      <c r="N63" s="1126"/>
      <c r="O63" s="1127">
        <v>5</v>
      </c>
      <c r="P63" s="1126"/>
      <c r="Q63" s="1127">
        <v>6</v>
      </c>
      <c r="R63" s="1126"/>
      <c r="S63" s="1127">
        <v>7</v>
      </c>
      <c r="T63" s="1126"/>
      <c r="U63" s="1127">
        <v>8</v>
      </c>
      <c r="V63" s="1126"/>
      <c r="W63" s="1127">
        <v>9</v>
      </c>
      <c r="X63" s="1126"/>
      <c r="Y63" s="1127">
        <v>10</v>
      </c>
      <c r="Z63" s="1126"/>
      <c r="AA63" s="1127">
        <v>11</v>
      </c>
      <c r="AB63" s="1126"/>
      <c r="AC63" s="1127">
        <v>12</v>
      </c>
      <c r="AD63" s="1126"/>
      <c r="AE63" s="1127">
        <v>13</v>
      </c>
      <c r="AF63" s="1126"/>
      <c r="AG63" s="1127">
        <v>14</v>
      </c>
      <c r="AH63" s="1126"/>
      <c r="AI63" s="1127">
        <v>15</v>
      </c>
      <c r="AJ63" s="1126"/>
      <c r="AK63" s="1127">
        <v>16</v>
      </c>
      <c r="AL63" s="1126"/>
      <c r="AM63" s="1127">
        <v>17</v>
      </c>
      <c r="AN63" s="1126"/>
      <c r="AO63" s="1127">
        <v>18</v>
      </c>
      <c r="AP63" s="1126"/>
      <c r="AQ63" s="1127">
        <v>19</v>
      </c>
      <c r="AR63" s="1126"/>
      <c r="AS63" s="1127">
        <v>20</v>
      </c>
      <c r="AT63" s="1126"/>
      <c r="AU63" s="1127">
        <v>21</v>
      </c>
      <c r="AV63" s="1126"/>
      <c r="AW63" s="1127">
        <v>22</v>
      </c>
      <c r="AX63" s="1126"/>
      <c r="AY63" s="1127">
        <v>23</v>
      </c>
      <c r="AZ63" s="1126"/>
      <c r="BA63" s="1127">
        <v>24</v>
      </c>
      <c r="BB63" s="1128"/>
      <c r="BC63" s="1031"/>
      <c r="BD63" s="1211" t="s">
        <v>327</v>
      </c>
      <c r="BE63" s="1212"/>
      <c r="BF63" s="1212"/>
      <c r="BG63" s="1212"/>
      <c r="BH63" s="1123"/>
      <c r="BI63" s="1124"/>
      <c r="BJ63" s="1125">
        <v>1</v>
      </c>
      <c r="BK63" s="1126"/>
      <c r="BL63" s="1127">
        <v>2</v>
      </c>
      <c r="BM63" s="1126"/>
      <c r="BN63" s="1127">
        <v>3</v>
      </c>
      <c r="BO63" s="1126"/>
      <c r="BP63" s="1127">
        <v>4</v>
      </c>
      <c r="BQ63" s="1126"/>
      <c r="BR63" s="1127">
        <v>5</v>
      </c>
      <c r="BS63" s="1126"/>
      <c r="BT63" s="1127">
        <v>6</v>
      </c>
      <c r="BU63" s="1126"/>
      <c r="BV63" s="1127">
        <v>7</v>
      </c>
      <c r="BW63" s="1126"/>
      <c r="BX63" s="1127">
        <v>8</v>
      </c>
      <c r="BY63" s="1126"/>
      <c r="BZ63" s="1127">
        <v>9</v>
      </c>
      <c r="CA63" s="1126"/>
      <c r="CB63" s="1127">
        <v>10</v>
      </c>
      <c r="CC63" s="1126"/>
      <c r="CD63" s="1127">
        <v>11</v>
      </c>
      <c r="CE63" s="1126"/>
      <c r="CF63" s="1127">
        <v>12</v>
      </c>
      <c r="CG63" s="1126"/>
      <c r="CH63" s="1127">
        <v>13</v>
      </c>
      <c r="CI63" s="1126"/>
      <c r="CJ63" s="1127">
        <v>14</v>
      </c>
      <c r="CK63" s="1126"/>
      <c r="CL63" s="1127">
        <v>15</v>
      </c>
      <c r="CM63" s="1126"/>
      <c r="CN63" s="1127">
        <v>16</v>
      </c>
      <c r="CO63" s="1126"/>
      <c r="CP63" s="1127">
        <v>17</v>
      </c>
      <c r="CQ63" s="1126"/>
      <c r="CR63" s="1127">
        <v>18</v>
      </c>
      <c r="CS63" s="1126"/>
      <c r="CT63" s="1127">
        <v>19</v>
      </c>
      <c r="CU63" s="1126"/>
      <c r="CV63" s="1127">
        <v>20</v>
      </c>
      <c r="CW63" s="1126"/>
      <c r="CX63" s="1127">
        <v>21</v>
      </c>
      <c r="CY63" s="1126"/>
      <c r="CZ63" s="1127">
        <v>22</v>
      </c>
      <c r="DA63" s="1126"/>
      <c r="DB63" s="1127">
        <v>23</v>
      </c>
      <c r="DC63" s="1126"/>
      <c r="DD63" s="1127">
        <v>24</v>
      </c>
      <c r="DE63" s="1128"/>
      <c r="DF63" s="1031"/>
      <c r="DG63" s="1210" t="s">
        <v>326</v>
      </c>
      <c r="DH63" s="1123"/>
      <c r="DI63" s="1123"/>
      <c r="DJ63" s="1123"/>
      <c r="DK63" s="1123"/>
      <c r="DL63" s="1124"/>
      <c r="DM63" s="1125">
        <v>1</v>
      </c>
      <c r="DN63" s="1126"/>
      <c r="DO63" s="1127">
        <v>2</v>
      </c>
      <c r="DP63" s="1126"/>
      <c r="DQ63" s="1127">
        <v>3</v>
      </c>
      <c r="DR63" s="1126"/>
      <c r="DS63" s="1127">
        <v>4</v>
      </c>
      <c r="DT63" s="1126"/>
      <c r="DU63" s="1127">
        <v>5</v>
      </c>
      <c r="DV63" s="1126"/>
      <c r="DW63" s="1127">
        <v>6</v>
      </c>
      <c r="DX63" s="1126"/>
      <c r="DY63" s="1127">
        <v>7</v>
      </c>
      <c r="DZ63" s="1126"/>
      <c r="EA63" s="1127">
        <v>8</v>
      </c>
      <c r="EB63" s="1126"/>
      <c r="EC63" s="1127">
        <v>9</v>
      </c>
      <c r="ED63" s="1126"/>
      <c r="EE63" s="1127">
        <v>10</v>
      </c>
      <c r="EF63" s="1126"/>
      <c r="EG63" s="1127">
        <v>11</v>
      </c>
      <c r="EH63" s="1126"/>
      <c r="EI63" s="1127">
        <v>12</v>
      </c>
      <c r="EJ63" s="1126"/>
      <c r="EK63" s="1127">
        <v>13</v>
      </c>
      <c r="EL63" s="1126"/>
      <c r="EM63" s="1127">
        <v>14</v>
      </c>
      <c r="EN63" s="1126"/>
      <c r="EO63" s="1127">
        <v>15</v>
      </c>
      <c r="EP63" s="1126"/>
      <c r="EQ63" s="1127">
        <v>16</v>
      </c>
      <c r="ER63" s="1126"/>
      <c r="ES63" s="1127">
        <v>17</v>
      </c>
      <c r="ET63" s="1126"/>
      <c r="EU63" s="1127">
        <v>18</v>
      </c>
      <c r="EV63" s="1126"/>
      <c r="EW63" s="1127">
        <v>19</v>
      </c>
      <c r="EX63" s="1126"/>
      <c r="EY63" s="1127">
        <v>20</v>
      </c>
      <c r="EZ63" s="1126"/>
      <c r="FA63" s="1127">
        <v>21</v>
      </c>
      <c r="FB63" s="1126"/>
      <c r="FC63" s="1127">
        <v>22</v>
      </c>
      <c r="FD63" s="1126"/>
      <c r="FE63" s="1127">
        <v>23</v>
      </c>
      <c r="FF63" s="1126"/>
      <c r="FG63" s="1127">
        <v>24</v>
      </c>
      <c r="FH63" s="1128"/>
      <c r="FI63" s="1031"/>
      <c r="FJ63" s="1210" t="s">
        <v>326</v>
      </c>
      <c r="FK63" s="1123"/>
      <c r="FL63" s="1123"/>
      <c r="FM63" s="1123"/>
      <c r="FN63" s="1123"/>
      <c r="FO63" s="1124"/>
      <c r="FP63" s="1129" t="s">
        <v>328</v>
      </c>
      <c r="FQ63" s="1130"/>
      <c r="FR63" s="1131"/>
      <c r="FS63" s="1132" t="s">
        <v>261</v>
      </c>
      <c r="FT63" s="1133"/>
      <c r="FU63" s="1134"/>
      <c r="FV63" s="1135" t="s">
        <v>320</v>
      </c>
      <c r="FW63" s="1136"/>
      <c r="FX63" s="1137" t="s">
        <v>321</v>
      </c>
      <c r="FY63" s="1138"/>
      <c r="FZ63" s="1139" t="s">
        <v>322</v>
      </c>
      <c r="GA63" s="1140"/>
      <c r="GB63" s="1141" t="s">
        <v>323</v>
      </c>
      <c r="GC63" s="1126"/>
      <c r="GD63" s="1141" t="s">
        <v>324</v>
      </c>
      <c r="GE63" s="1128"/>
      <c r="GF63" s="681"/>
      <c r="GG63" s="595"/>
      <c r="GH63" s="595"/>
      <c r="GI63" s="595"/>
      <c r="GJ63" s="1257"/>
      <c r="GK63" s="1257"/>
      <c r="GL63" s="571"/>
      <c r="GM63" s="493"/>
      <c r="GN63" s="571"/>
      <c r="GO63" s="493"/>
      <c r="GP63" s="493"/>
      <c r="GQ63" s="493"/>
      <c r="GR63" s="571"/>
      <c r="GS63" s="523"/>
      <c r="GT63" s="572"/>
      <c r="GU63" s="571"/>
      <c r="GV63" s="493"/>
      <c r="GW63" s="571"/>
      <c r="GX63" s="493"/>
      <c r="GY63" s="493"/>
      <c r="GZ63" s="493"/>
      <c r="HA63" s="572"/>
      <c r="HB63" s="493"/>
      <c r="HC63" s="1045"/>
    </row>
    <row r="64" spans="1:212" ht="20.100000000000001" customHeight="1">
      <c r="A64" s="1213"/>
      <c r="B64" s="1144"/>
      <c r="C64" s="1144"/>
      <c r="D64" s="1144"/>
      <c r="E64" s="1144"/>
      <c r="F64" s="1145"/>
      <c r="G64" s="1146"/>
      <c r="H64" s="1147" t="s">
        <v>329</v>
      </c>
      <c r="I64" s="1148"/>
      <c r="J64" s="1147" t="s">
        <v>329</v>
      </c>
      <c r="K64" s="1148"/>
      <c r="L64" s="1147" t="s">
        <v>329</v>
      </c>
      <c r="M64" s="1148"/>
      <c r="N64" s="1147" t="s">
        <v>329</v>
      </c>
      <c r="O64" s="1148"/>
      <c r="P64" s="1147" t="s">
        <v>329</v>
      </c>
      <c r="Q64" s="1148"/>
      <c r="R64" s="1147" t="s">
        <v>329</v>
      </c>
      <c r="S64" s="1148"/>
      <c r="T64" s="1147" t="s">
        <v>329</v>
      </c>
      <c r="U64" s="1148"/>
      <c r="V64" s="1147" t="s">
        <v>329</v>
      </c>
      <c r="W64" s="1148"/>
      <c r="X64" s="1147" t="s">
        <v>329</v>
      </c>
      <c r="Y64" s="1148"/>
      <c r="Z64" s="1147" t="s">
        <v>329</v>
      </c>
      <c r="AA64" s="1148"/>
      <c r="AB64" s="1147" t="s">
        <v>329</v>
      </c>
      <c r="AC64" s="1148"/>
      <c r="AD64" s="1147" t="s">
        <v>329</v>
      </c>
      <c r="AE64" s="1148"/>
      <c r="AF64" s="1147" t="s">
        <v>329</v>
      </c>
      <c r="AG64" s="1148"/>
      <c r="AH64" s="1147" t="s">
        <v>329</v>
      </c>
      <c r="AI64" s="1148"/>
      <c r="AJ64" s="1147" t="s">
        <v>329</v>
      </c>
      <c r="AK64" s="1148"/>
      <c r="AL64" s="1147" t="s">
        <v>329</v>
      </c>
      <c r="AM64" s="1148"/>
      <c r="AN64" s="1147" t="s">
        <v>329</v>
      </c>
      <c r="AO64" s="1148"/>
      <c r="AP64" s="1147" t="s">
        <v>329</v>
      </c>
      <c r="AQ64" s="1148"/>
      <c r="AR64" s="1147" t="s">
        <v>329</v>
      </c>
      <c r="AS64" s="1148"/>
      <c r="AT64" s="1147" t="s">
        <v>329</v>
      </c>
      <c r="AU64" s="1148"/>
      <c r="AV64" s="1147" t="s">
        <v>329</v>
      </c>
      <c r="AW64" s="1148"/>
      <c r="AX64" s="1147" t="s">
        <v>329</v>
      </c>
      <c r="AY64" s="1148"/>
      <c r="AZ64" s="1147" t="s">
        <v>329</v>
      </c>
      <c r="BA64" s="1148"/>
      <c r="BB64" s="1150" t="s">
        <v>329</v>
      </c>
      <c r="BC64" s="1045"/>
      <c r="BD64" s="1214"/>
      <c r="BE64" s="1215"/>
      <c r="BF64" s="1215"/>
      <c r="BG64" s="1215"/>
      <c r="BH64" s="1144"/>
      <c r="BI64" s="1145"/>
      <c r="BJ64" s="1146"/>
      <c r="BK64" s="1147" t="s">
        <v>329</v>
      </c>
      <c r="BL64" s="1148"/>
      <c r="BM64" s="1147" t="s">
        <v>329</v>
      </c>
      <c r="BN64" s="1148"/>
      <c r="BO64" s="1147" t="s">
        <v>329</v>
      </c>
      <c r="BP64" s="1148"/>
      <c r="BQ64" s="1147" t="s">
        <v>329</v>
      </c>
      <c r="BR64" s="1148"/>
      <c r="BS64" s="1147" t="s">
        <v>329</v>
      </c>
      <c r="BT64" s="1148"/>
      <c r="BU64" s="1147" t="s">
        <v>329</v>
      </c>
      <c r="BV64" s="1148"/>
      <c r="BW64" s="1147" t="s">
        <v>329</v>
      </c>
      <c r="BX64" s="1148"/>
      <c r="BY64" s="1147" t="s">
        <v>329</v>
      </c>
      <c r="BZ64" s="1148"/>
      <c r="CA64" s="1147" t="s">
        <v>329</v>
      </c>
      <c r="CB64" s="1148"/>
      <c r="CC64" s="1147" t="s">
        <v>329</v>
      </c>
      <c r="CD64" s="1148"/>
      <c r="CE64" s="1147" t="s">
        <v>329</v>
      </c>
      <c r="CF64" s="1148"/>
      <c r="CG64" s="1147" t="s">
        <v>329</v>
      </c>
      <c r="CH64" s="1148"/>
      <c r="CI64" s="1147" t="s">
        <v>329</v>
      </c>
      <c r="CJ64" s="1148"/>
      <c r="CK64" s="1147" t="s">
        <v>329</v>
      </c>
      <c r="CL64" s="1148"/>
      <c r="CM64" s="1147" t="s">
        <v>329</v>
      </c>
      <c r="CN64" s="1148"/>
      <c r="CO64" s="1147" t="s">
        <v>329</v>
      </c>
      <c r="CP64" s="1148"/>
      <c r="CQ64" s="1147" t="s">
        <v>329</v>
      </c>
      <c r="CR64" s="1148"/>
      <c r="CS64" s="1147" t="s">
        <v>329</v>
      </c>
      <c r="CT64" s="1148"/>
      <c r="CU64" s="1147" t="s">
        <v>329</v>
      </c>
      <c r="CV64" s="1148"/>
      <c r="CW64" s="1147" t="s">
        <v>329</v>
      </c>
      <c r="CX64" s="1148"/>
      <c r="CY64" s="1147" t="s">
        <v>329</v>
      </c>
      <c r="CZ64" s="1148"/>
      <c r="DA64" s="1147" t="s">
        <v>329</v>
      </c>
      <c r="DB64" s="1148"/>
      <c r="DC64" s="1147" t="s">
        <v>329</v>
      </c>
      <c r="DD64" s="1148"/>
      <c r="DE64" s="1150" t="s">
        <v>329</v>
      </c>
      <c r="DF64" s="1045"/>
      <c r="DG64" s="1213"/>
      <c r="DH64" s="1144"/>
      <c r="DI64" s="1144"/>
      <c r="DJ64" s="1144"/>
      <c r="DK64" s="1144"/>
      <c r="DL64" s="1145"/>
      <c r="DM64" s="1146"/>
      <c r="DN64" s="1147" t="s">
        <v>329</v>
      </c>
      <c r="DO64" s="1148"/>
      <c r="DP64" s="1147" t="s">
        <v>329</v>
      </c>
      <c r="DQ64" s="1148"/>
      <c r="DR64" s="1147" t="s">
        <v>329</v>
      </c>
      <c r="DS64" s="1148"/>
      <c r="DT64" s="1147" t="s">
        <v>329</v>
      </c>
      <c r="DU64" s="1148"/>
      <c r="DV64" s="1147" t="s">
        <v>329</v>
      </c>
      <c r="DW64" s="1148"/>
      <c r="DX64" s="1147" t="s">
        <v>329</v>
      </c>
      <c r="DY64" s="1148"/>
      <c r="DZ64" s="1147" t="s">
        <v>329</v>
      </c>
      <c r="EA64" s="1148"/>
      <c r="EB64" s="1147" t="s">
        <v>329</v>
      </c>
      <c r="EC64" s="1148"/>
      <c r="ED64" s="1147" t="s">
        <v>329</v>
      </c>
      <c r="EE64" s="1148"/>
      <c r="EF64" s="1147" t="s">
        <v>329</v>
      </c>
      <c r="EG64" s="1148"/>
      <c r="EH64" s="1147" t="s">
        <v>329</v>
      </c>
      <c r="EI64" s="1148"/>
      <c r="EJ64" s="1147" t="s">
        <v>329</v>
      </c>
      <c r="EK64" s="1148"/>
      <c r="EL64" s="1147" t="s">
        <v>329</v>
      </c>
      <c r="EM64" s="1148"/>
      <c r="EN64" s="1147" t="s">
        <v>329</v>
      </c>
      <c r="EO64" s="1148"/>
      <c r="EP64" s="1147" t="s">
        <v>329</v>
      </c>
      <c r="EQ64" s="1148"/>
      <c r="ER64" s="1147" t="s">
        <v>329</v>
      </c>
      <c r="ES64" s="1148"/>
      <c r="ET64" s="1147" t="s">
        <v>329</v>
      </c>
      <c r="EU64" s="1148"/>
      <c r="EV64" s="1147" t="s">
        <v>329</v>
      </c>
      <c r="EW64" s="1148"/>
      <c r="EX64" s="1147" t="s">
        <v>329</v>
      </c>
      <c r="EY64" s="1148"/>
      <c r="EZ64" s="1147" t="s">
        <v>329</v>
      </c>
      <c r="FA64" s="1148"/>
      <c r="FB64" s="1147" t="s">
        <v>329</v>
      </c>
      <c r="FC64" s="1148"/>
      <c r="FD64" s="1147" t="s">
        <v>329</v>
      </c>
      <c r="FE64" s="1148"/>
      <c r="FF64" s="1147" t="s">
        <v>329</v>
      </c>
      <c r="FG64" s="1148"/>
      <c r="FH64" s="1150" t="s">
        <v>329</v>
      </c>
      <c r="FI64" s="1045"/>
      <c r="FJ64" s="1213"/>
      <c r="FK64" s="1144"/>
      <c r="FL64" s="1144"/>
      <c r="FM64" s="1144"/>
      <c r="FN64" s="1144"/>
      <c r="FO64" s="1145"/>
      <c r="FP64" s="1151" t="s">
        <v>272</v>
      </c>
      <c r="FQ64" s="1149" t="s">
        <v>330</v>
      </c>
      <c r="FR64" s="1147" t="s">
        <v>329</v>
      </c>
      <c r="FS64" s="1152" t="s">
        <v>272</v>
      </c>
      <c r="FT64" s="1149" t="s">
        <v>330</v>
      </c>
      <c r="FU64" s="1153" t="s">
        <v>329</v>
      </c>
      <c r="FV64" s="1154" t="s">
        <v>272</v>
      </c>
      <c r="FW64" s="1147" t="s">
        <v>329</v>
      </c>
      <c r="FX64" s="1152" t="s">
        <v>272</v>
      </c>
      <c r="FY64" s="1147" t="s">
        <v>329</v>
      </c>
      <c r="FZ64" s="1152" t="s">
        <v>272</v>
      </c>
      <c r="GA64" s="1147" t="s">
        <v>329</v>
      </c>
      <c r="GB64" s="1152" t="s">
        <v>272</v>
      </c>
      <c r="GC64" s="1147" t="s">
        <v>329</v>
      </c>
      <c r="GD64" s="1152" t="s">
        <v>272</v>
      </c>
      <c r="GE64" s="1150" t="s">
        <v>329</v>
      </c>
      <c r="GF64" s="681"/>
      <c r="GG64" s="1186"/>
      <c r="GH64" s="1186"/>
      <c r="GI64" s="1186"/>
      <c r="GJ64" s="493"/>
      <c r="GK64" s="493"/>
      <c r="GL64" s="571"/>
      <c r="GM64" s="493"/>
      <c r="GN64" s="571"/>
      <c r="GO64" s="493"/>
      <c r="GP64" s="493"/>
      <c r="GQ64" s="493"/>
      <c r="GR64" s="571"/>
      <c r="GS64" s="406"/>
      <c r="GT64" s="1259"/>
      <c r="GU64" s="571"/>
      <c r="GV64" s="493"/>
      <c r="GW64" s="571"/>
      <c r="GX64" s="493"/>
      <c r="GY64" s="493"/>
      <c r="GZ64" s="572"/>
      <c r="HA64" s="572"/>
      <c r="HB64" s="572"/>
      <c r="HC64" s="555"/>
    </row>
    <row r="65" spans="1:211" ht="20.100000000000001" customHeight="1">
      <c r="A65" s="1155"/>
      <c r="B65" s="1156"/>
      <c r="C65" s="1156"/>
      <c r="D65" s="1216"/>
      <c r="E65" s="1217"/>
      <c r="F65" s="1218"/>
      <c r="G65" s="1219"/>
      <c r="H65" s="1160">
        <v>0</v>
      </c>
      <c r="I65" s="1220"/>
      <c r="J65" s="1221">
        <v>0</v>
      </c>
      <c r="K65" s="1222"/>
      <c r="L65" s="1221">
        <v>0</v>
      </c>
      <c r="M65" s="1222"/>
      <c r="N65" s="1221">
        <v>0</v>
      </c>
      <c r="O65" s="1222"/>
      <c r="P65" s="1221">
        <v>0</v>
      </c>
      <c r="Q65" s="1222"/>
      <c r="R65" s="1221">
        <v>0</v>
      </c>
      <c r="S65" s="1222"/>
      <c r="T65" s="1221">
        <v>0</v>
      </c>
      <c r="U65" s="1222"/>
      <c r="V65" s="1221">
        <v>0</v>
      </c>
      <c r="W65" s="1222"/>
      <c r="X65" s="1221">
        <v>0</v>
      </c>
      <c r="Y65" s="1222"/>
      <c r="Z65" s="1221">
        <v>0</v>
      </c>
      <c r="AA65" s="1222"/>
      <c r="AB65" s="1221">
        <v>0</v>
      </c>
      <c r="AC65" s="1222"/>
      <c r="AD65" s="1221">
        <v>0</v>
      </c>
      <c r="AE65" s="1222"/>
      <c r="AF65" s="1221">
        <v>0</v>
      </c>
      <c r="AG65" s="1222"/>
      <c r="AH65" s="1221">
        <v>0</v>
      </c>
      <c r="AI65" s="1222"/>
      <c r="AJ65" s="1221">
        <v>0</v>
      </c>
      <c r="AK65" s="1222"/>
      <c r="AL65" s="1221">
        <v>0</v>
      </c>
      <c r="AM65" s="1222"/>
      <c r="AN65" s="1221">
        <v>0</v>
      </c>
      <c r="AO65" s="1222"/>
      <c r="AP65" s="1221">
        <v>0</v>
      </c>
      <c r="AQ65" s="1222"/>
      <c r="AR65" s="1221">
        <v>0</v>
      </c>
      <c r="AS65" s="1222"/>
      <c r="AT65" s="1221">
        <v>0</v>
      </c>
      <c r="AU65" s="1222"/>
      <c r="AV65" s="1221">
        <v>0</v>
      </c>
      <c r="AW65" s="1222"/>
      <c r="AX65" s="1221">
        <v>0</v>
      </c>
      <c r="AY65" s="1222"/>
      <c r="AZ65" s="1221">
        <v>0</v>
      </c>
      <c r="BA65" s="1222"/>
      <c r="BB65" s="554">
        <v>0</v>
      </c>
      <c r="BC65" s="556"/>
      <c r="BD65" s="1155"/>
      <c r="BE65" s="1156"/>
      <c r="BF65" s="1156"/>
      <c r="BG65" s="1216"/>
      <c r="BH65" s="1217"/>
      <c r="BI65" s="1218"/>
      <c r="BJ65" s="1219"/>
      <c r="BK65" s="1160">
        <v>0</v>
      </c>
      <c r="BL65" s="1220"/>
      <c r="BM65" s="1221">
        <v>0</v>
      </c>
      <c r="BN65" s="1222"/>
      <c r="BO65" s="1221">
        <v>0</v>
      </c>
      <c r="BP65" s="1222"/>
      <c r="BQ65" s="1221">
        <v>0</v>
      </c>
      <c r="BR65" s="1222"/>
      <c r="BS65" s="1221">
        <v>0</v>
      </c>
      <c r="BT65" s="1222"/>
      <c r="BU65" s="1221">
        <v>0</v>
      </c>
      <c r="BV65" s="1222"/>
      <c r="BW65" s="1221">
        <v>0</v>
      </c>
      <c r="BX65" s="1222"/>
      <c r="BY65" s="1221">
        <v>0</v>
      </c>
      <c r="BZ65" s="1222"/>
      <c r="CA65" s="1221">
        <v>0</v>
      </c>
      <c r="CB65" s="1222"/>
      <c r="CC65" s="1221">
        <v>0</v>
      </c>
      <c r="CD65" s="1222"/>
      <c r="CE65" s="1221">
        <v>0</v>
      </c>
      <c r="CF65" s="1222"/>
      <c r="CG65" s="1221">
        <v>0</v>
      </c>
      <c r="CH65" s="1222"/>
      <c r="CI65" s="1221">
        <v>0</v>
      </c>
      <c r="CJ65" s="1222"/>
      <c r="CK65" s="1221">
        <v>0</v>
      </c>
      <c r="CL65" s="1222"/>
      <c r="CM65" s="1221">
        <v>0</v>
      </c>
      <c r="CN65" s="1222"/>
      <c r="CO65" s="1221">
        <v>0</v>
      </c>
      <c r="CP65" s="1222"/>
      <c r="CQ65" s="1221">
        <v>0</v>
      </c>
      <c r="CR65" s="1222"/>
      <c r="CS65" s="1221">
        <v>0</v>
      </c>
      <c r="CT65" s="1222"/>
      <c r="CU65" s="1221">
        <v>0</v>
      </c>
      <c r="CV65" s="1222"/>
      <c r="CW65" s="1221">
        <v>0</v>
      </c>
      <c r="CX65" s="1222"/>
      <c r="CY65" s="1221">
        <v>0</v>
      </c>
      <c r="CZ65" s="1222"/>
      <c r="DA65" s="1221">
        <v>0</v>
      </c>
      <c r="DB65" s="1222"/>
      <c r="DC65" s="1221">
        <v>0</v>
      </c>
      <c r="DD65" s="1222"/>
      <c r="DE65" s="554">
        <v>0</v>
      </c>
      <c r="DF65" s="555"/>
      <c r="DG65" s="1155"/>
      <c r="DH65" s="1156"/>
      <c r="DI65" s="1156"/>
      <c r="DJ65" s="1216"/>
      <c r="DK65" s="1217"/>
      <c r="DL65" s="1218"/>
      <c r="DM65" s="1219"/>
      <c r="DN65" s="1160">
        <v>0</v>
      </c>
      <c r="DO65" s="1220"/>
      <c r="DP65" s="1221">
        <v>0</v>
      </c>
      <c r="DQ65" s="1222"/>
      <c r="DR65" s="1221">
        <v>0</v>
      </c>
      <c r="DS65" s="1222"/>
      <c r="DT65" s="1221">
        <v>0</v>
      </c>
      <c r="DU65" s="1222"/>
      <c r="DV65" s="1221">
        <v>0</v>
      </c>
      <c r="DW65" s="1222"/>
      <c r="DX65" s="1221">
        <v>0</v>
      </c>
      <c r="DY65" s="1222"/>
      <c r="DZ65" s="1221">
        <v>0</v>
      </c>
      <c r="EA65" s="1222"/>
      <c r="EB65" s="1221">
        <v>0</v>
      </c>
      <c r="EC65" s="1222"/>
      <c r="ED65" s="1221">
        <v>0</v>
      </c>
      <c r="EE65" s="1222"/>
      <c r="EF65" s="1221">
        <v>0</v>
      </c>
      <c r="EG65" s="1222"/>
      <c r="EH65" s="1221">
        <v>0</v>
      </c>
      <c r="EI65" s="1222"/>
      <c r="EJ65" s="1221">
        <v>0</v>
      </c>
      <c r="EK65" s="1222"/>
      <c r="EL65" s="1221">
        <v>0</v>
      </c>
      <c r="EM65" s="1222"/>
      <c r="EN65" s="1221">
        <v>0</v>
      </c>
      <c r="EO65" s="1222"/>
      <c r="EP65" s="1221">
        <v>0</v>
      </c>
      <c r="EQ65" s="1222"/>
      <c r="ER65" s="1221">
        <v>0</v>
      </c>
      <c r="ES65" s="1222"/>
      <c r="ET65" s="1221">
        <v>0</v>
      </c>
      <c r="EU65" s="1222"/>
      <c r="EV65" s="1221">
        <v>0</v>
      </c>
      <c r="EW65" s="1222"/>
      <c r="EX65" s="1221">
        <v>0</v>
      </c>
      <c r="EY65" s="1222"/>
      <c r="EZ65" s="1221">
        <v>0</v>
      </c>
      <c r="FA65" s="1222"/>
      <c r="FB65" s="1221">
        <v>0</v>
      </c>
      <c r="FC65" s="1222"/>
      <c r="FD65" s="1221">
        <v>0</v>
      </c>
      <c r="FE65" s="1222"/>
      <c r="FF65" s="1221">
        <v>0</v>
      </c>
      <c r="FG65" s="1222"/>
      <c r="FH65" s="554">
        <v>0</v>
      </c>
      <c r="FI65" s="556"/>
      <c r="FJ65" s="1155"/>
      <c r="FK65" s="1156"/>
      <c r="FL65" s="1223"/>
      <c r="FM65" s="1223"/>
      <c r="FN65" s="1223"/>
      <c r="FO65" s="1218"/>
      <c r="FP65" s="1162"/>
      <c r="FQ65" s="1220"/>
      <c r="FR65" s="1160">
        <v>0</v>
      </c>
      <c r="FS65" s="1224"/>
      <c r="FT65" s="1220"/>
      <c r="FU65" s="1165">
        <v>0</v>
      </c>
      <c r="FV65" s="1224"/>
      <c r="FW65" s="1225">
        <v>0</v>
      </c>
      <c r="FX65" s="1164"/>
      <c r="FY65" s="1225">
        <v>0</v>
      </c>
      <c r="FZ65" s="1164"/>
      <c r="GA65" s="1225">
        <v>0</v>
      </c>
      <c r="GB65" s="1164"/>
      <c r="GC65" s="1225">
        <v>0</v>
      </c>
      <c r="GD65" s="1226"/>
      <c r="GE65" s="1227"/>
      <c r="GF65" s="681"/>
      <c r="GG65" s="595"/>
      <c r="GH65" s="595"/>
      <c r="GI65" s="595"/>
      <c r="GJ65" s="388"/>
      <c r="GK65" s="522"/>
      <c r="GL65" s="522"/>
      <c r="GM65" s="522"/>
      <c r="GN65" s="522"/>
      <c r="GO65" s="522"/>
      <c r="GP65" s="522"/>
      <c r="GQ65" s="522"/>
      <c r="GR65" s="522"/>
      <c r="GS65" s="406"/>
      <c r="GT65" s="1259"/>
      <c r="GU65" s="493"/>
      <c r="GV65" s="493"/>
      <c r="GW65" s="493"/>
      <c r="GX65" s="493"/>
      <c r="GY65" s="493"/>
      <c r="GZ65" s="572"/>
      <c r="HA65" s="572"/>
      <c r="HB65" s="572"/>
      <c r="HC65" s="555"/>
    </row>
    <row r="66" spans="1:211" ht="20.100000000000001" customHeight="1">
      <c r="A66" s="1193"/>
      <c r="B66" s="1194"/>
      <c r="C66" s="1194"/>
      <c r="D66" s="1194"/>
      <c r="E66" s="1194"/>
      <c r="F66" s="1195"/>
      <c r="G66" s="1228"/>
      <c r="H66" s="1229"/>
      <c r="I66" s="1202"/>
      <c r="J66" s="1230"/>
      <c r="K66" s="1231"/>
      <c r="L66" s="1230"/>
      <c r="M66" s="1231"/>
      <c r="N66" s="1230"/>
      <c r="O66" s="1231"/>
      <c r="P66" s="1230"/>
      <c r="Q66" s="1231"/>
      <c r="R66" s="1230"/>
      <c r="S66" s="1231"/>
      <c r="T66" s="1230"/>
      <c r="U66" s="1231"/>
      <c r="V66" s="1230"/>
      <c r="W66" s="1231"/>
      <c r="X66" s="1230"/>
      <c r="Y66" s="1231"/>
      <c r="Z66" s="1230"/>
      <c r="AA66" s="1231"/>
      <c r="AB66" s="1230"/>
      <c r="AC66" s="1231"/>
      <c r="AD66" s="1230"/>
      <c r="AE66" s="1231"/>
      <c r="AF66" s="1230"/>
      <c r="AG66" s="1231"/>
      <c r="AH66" s="1230"/>
      <c r="AI66" s="1231"/>
      <c r="AJ66" s="1230"/>
      <c r="AK66" s="1231"/>
      <c r="AL66" s="1230"/>
      <c r="AM66" s="1231"/>
      <c r="AN66" s="1230"/>
      <c r="AO66" s="1231"/>
      <c r="AP66" s="1230"/>
      <c r="AQ66" s="1231"/>
      <c r="AR66" s="1230"/>
      <c r="AS66" s="1231"/>
      <c r="AT66" s="1230"/>
      <c r="AU66" s="1231"/>
      <c r="AV66" s="1230"/>
      <c r="AW66" s="1231"/>
      <c r="AX66" s="1230"/>
      <c r="AY66" s="1231"/>
      <c r="AZ66" s="1230"/>
      <c r="BA66" s="1231"/>
      <c r="BB66" s="1232"/>
      <c r="BC66" s="556"/>
      <c r="BD66" s="1193"/>
      <c r="BE66" s="1194"/>
      <c r="BF66" s="1194"/>
      <c r="BG66" s="1194"/>
      <c r="BH66" s="1194"/>
      <c r="BI66" s="1195"/>
      <c r="BJ66" s="1228"/>
      <c r="BK66" s="1229"/>
      <c r="BL66" s="1202"/>
      <c r="BM66" s="1230"/>
      <c r="BN66" s="1231"/>
      <c r="BO66" s="1230"/>
      <c r="BP66" s="1231"/>
      <c r="BQ66" s="1230"/>
      <c r="BR66" s="1231"/>
      <c r="BS66" s="1230"/>
      <c r="BT66" s="1231"/>
      <c r="BU66" s="1230"/>
      <c r="BV66" s="1231"/>
      <c r="BW66" s="1230"/>
      <c r="BX66" s="1231"/>
      <c r="BY66" s="1230"/>
      <c r="BZ66" s="1231"/>
      <c r="CA66" s="1230"/>
      <c r="CB66" s="1231"/>
      <c r="CC66" s="1230"/>
      <c r="CD66" s="1231"/>
      <c r="CE66" s="1230"/>
      <c r="CF66" s="1231"/>
      <c r="CG66" s="1230"/>
      <c r="CH66" s="1231"/>
      <c r="CI66" s="1230"/>
      <c r="CJ66" s="1231"/>
      <c r="CK66" s="1230"/>
      <c r="CL66" s="1231"/>
      <c r="CM66" s="1230"/>
      <c r="CN66" s="1231"/>
      <c r="CO66" s="1230"/>
      <c r="CP66" s="1231"/>
      <c r="CQ66" s="1230"/>
      <c r="CR66" s="1231"/>
      <c r="CS66" s="1230"/>
      <c r="CT66" s="1231"/>
      <c r="CU66" s="1230"/>
      <c r="CV66" s="1231"/>
      <c r="CW66" s="1230"/>
      <c r="CX66" s="1231"/>
      <c r="CY66" s="1230"/>
      <c r="CZ66" s="1231"/>
      <c r="DA66" s="1230"/>
      <c r="DB66" s="1231"/>
      <c r="DC66" s="1230"/>
      <c r="DD66" s="1231"/>
      <c r="DE66" s="1232"/>
      <c r="DF66" s="555"/>
      <c r="DG66" s="1193"/>
      <c r="DH66" s="1194"/>
      <c r="DI66" s="1194"/>
      <c r="DJ66" s="1194"/>
      <c r="DK66" s="1194"/>
      <c r="DL66" s="1195"/>
      <c r="DM66" s="1228"/>
      <c r="DN66" s="1229"/>
      <c r="DO66" s="1202"/>
      <c r="DP66" s="1230"/>
      <c r="DQ66" s="1231"/>
      <c r="DR66" s="1230"/>
      <c r="DS66" s="1231"/>
      <c r="DT66" s="1230"/>
      <c r="DU66" s="1231"/>
      <c r="DV66" s="1230"/>
      <c r="DW66" s="1231"/>
      <c r="DX66" s="1230"/>
      <c r="DY66" s="1231"/>
      <c r="DZ66" s="1230"/>
      <c r="EA66" s="1231"/>
      <c r="EB66" s="1230"/>
      <c r="EC66" s="1231"/>
      <c r="ED66" s="1230"/>
      <c r="EE66" s="1231"/>
      <c r="EF66" s="1230"/>
      <c r="EG66" s="1231"/>
      <c r="EH66" s="1230"/>
      <c r="EI66" s="1231"/>
      <c r="EJ66" s="1230"/>
      <c r="EK66" s="1231"/>
      <c r="EL66" s="1230"/>
      <c r="EM66" s="1231"/>
      <c r="EN66" s="1230"/>
      <c r="EO66" s="1231"/>
      <c r="EP66" s="1230"/>
      <c r="EQ66" s="1231"/>
      <c r="ER66" s="1230"/>
      <c r="ES66" s="1231"/>
      <c r="ET66" s="1230"/>
      <c r="EU66" s="1231"/>
      <c r="EV66" s="1230"/>
      <c r="EW66" s="1231"/>
      <c r="EX66" s="1230"/>
      <c r="EY66" s="1231"/>
      <c r="EZ66" s="1230"/>
      <c r="FA66" s="1231"/>
      <c r="FB66" s="1230"/>
      <c r="FC66" s="1231"/>
      <c r="FD66" s="1230"/>
      <c r="FE66" s="1231"/>
      <c r="FF66" s="1230"/>
      <c r="FG66" s="1231"/>
      <c r="FH66" s="1232"/>
      <c r="FI66" s="556"/>
      <c r="FJ66" s="1193" t="s">
        <v>765</v>
      </c>
      <c r="FK66" s="1194"/>
      <c r="FL66" s="1233"/>
      <c r="FM66" s="1234" t="s">
        <v>766</v>
      </c>
      <c r="FN66" s="1235"/>
      <c r="FO66" s="1195"/>
      <c r="FP66" s="1201">
        <v>6</v>
      </c>
      <c r="FQ66" s="1236">
        <v>7.8</v>
      </c>
      <c r="FR66" s="1237">
        <v>25.6</v>
      </c>
      <c r="FS66" s="1204">
        <v>4</v>
      </c>
      <c r="FT66" s="1236">
        <v>7.3</v>
      </c>
      <c r="FU66" s="1238">
        <v>23.9</v>
      </c>
      <c r="FV66" s="1239"/>
      <c r="FW66" s="1240"/>
      <c r="FX66" s="1240"/>
      <c r="FY66" s="1240"/>
      <c r="FZ66" s="1240"/>
      <c r="GA66" s="1240"/>
      <c r="GB66" s="1240"/>
      <c r="GC66" s="1241"/>
      <c r="GD66" s="1204"/>
      <c r="GE66" s="1242">
        <v>25.6</v>
      </c>
      <c r="GF66" s="681"/>
      <c r="GG66" s="388"/>
      <c r="GH66" s="388"/>
      <c r="GI66" s="388"/>
      <c r="GJ66" s="476"/>
      <c r="GK66" s="522"/>
      <c r="GL66" s="523"/>
      <c r="GM66" s="522"/>
      <c r="GN66" s="523"/>
      <c r="GO66" s="522"/>
      <c r="GP66" s="522"/>
      <c r="GQ66" s="522"/>
      <c r="GR66" s="523"/>
      <c r="GT66" s="1259"/>
      <c r="GU66" s="572"/>
      <c r="GV66" s="572"/>
      <c r="GW66" s="572"/>
      <c r="GX66" s="572"/>
      <c r="GY66" s="572"/>
      <c r="GZ66" s="493"/>
      <c r="HA66" s="493"/>
      <c r="HB66" s="493"/>
      <c r="HC66" s="403"/>
    </row>
    <row r="67" spans="1:211" ht="20.100000000000001" customHeight="1" thickBot="1">
      <c r="BC67" s="386"/>
      <c r="DF67" s="386"/>
      <c r="FI67" s="386"/>
      <c r="GD67" s="681"/>
      <c r="GE67" s="792"/>
      <c r="GF67" s="681"/>
      <c r="GG67" s="476"/>
      <c r="GH67" s="476"/>
      <c r="GI67" s="476"/>
      <c r="GJ67" s="388"/>
      <c r="GT67" s="682"/>
      <c r="GU67" s="493"/>
      <c r="GV67" s="493"/>
      <c r="GW67" s="493"/>
      <c r="GX67" s="493"/>
      <c r="GY67" s="493"/>
      <c r="GZ67" s="572"/>
      <c r="HA67" s="571"/>
      <c r="HB67" s="572"/>
      <c r="HC67" s="403"/>
    </row>
    <row r="68" spans="1:211" ht="20.100000000000001" customHeight="1">
      <c r="A68" s="1244" t="s">
        <v>331</v>
      </c>
      <c r="B68" s="1245"/>
      <c r="C68" s="1245"/>
      <c r="D68" s="1245"/>
      <c r="E68" s="818"/>
      <c r="F68" s="818"/>
      <c r="G68" s="1246" t="s">
        <v>334</v>
      </c>
      <c r="H68" s="1247"/>
      <c r="I68" s="1247"/>
      <c r="J68" s="1247"/>
      <c r="K68" s="1247"/>
      <c r="L68" s="1247"/>
      <c r="M68" s="1247"/>
      <c r="N68" s="1247"/>
      <c r="O68" s="1247"/>
      <c r="P68" s="1247"/>
      <c r="Q68" s="1247"/>
      <c r="R68" s="1247"/>
      <c r="S68" s="1247"/>
      <c r="T68" s="1247"/>
      <c r="U68" s="1247"/>
      <c r="V68" s="1247"/>
      <c r="W68" s="1247"/>
      <c r="X68" s="1247"/>
      <c r="Y68" s="1247"/>
      <c r="Z68" s="1247"/>
      <c r="AA68" s="1247"/>
      <c r="AB68" s="1247"/>
      <c r="AC68" s="1247"/>
      <c r="AD68" s="1247"/>
      <c r="AE68" s="1247"/>
      <c r="AF68" s="1247"/>
      <c r="AG68" s="1247"/>
      <c r="AH68" s="1247"/>
      <c r="AI68" s="1247"/>
      <c r="AJ68" s="1247"/>
      <c r="AK68" s="1247"/>
      <c r="AL68" s="1247"/>
      <c r="AM68" s="1247"/>
      <c r="AN68" s="1247"/>
      <c r="AO68" s="1247"/>
      <c r="AP68" s="1247"/>
      <c r="AQ68" s="1247"/>
      <c r="AR68" s="1247"/>
      <c r="AS68" s="1247"/>
      <c r="AT68" s="1247"/>
      <c r="AU68" s="1247"/>
      <c r="AV68" s="1247"/>
      <c r="AW68" s="1247"/>
      <c r="AX68" s="1247"/>
      <c r="AY68" s="1247"/>
      <c r="AZ68" s="1247"/>
      <c r="BA68" s="1247"/>
      <c r="BB68" s="1248"/>
      <c r="BC68" s="1249"/>
      <c r="BD68" s="1244" t="s">
        <v>331</v>
      </c>
      <c r="BE68" s="1245"/>
      <c r="BF68" s="1245"/>
      <c r="BG68" s="1245"/>
      <c r="BH68" s="818"/>
      <c r="BI68" s="818"/>
      <c r="BJ68" s="1250" t="str">
        <f>$G68</f>
        <v>(C)室内全熱負荷以降の外気負荷等は、熱源容量計算用の基準別、時刻別の値です。外気負荷を含めた空調機の容量の計算等は別紙「AC-1系統 空調機容量の計算」をご参照ください。</v>
      </c>
      <c r="BK68" s="1251"/>
      <c r="BL68" s="1251"/>
      <c r="BM68" s="1251"/>
      <c r="BN68" s="1251"/>
      <c r="BO68" s="1251"/>
      <c r="BP68" s="1251"/>
      <c r="BQ68" s="1251"/>
      <c r="BR68" s="1251"/>
      <c r="BS68" s="1251"/>
      <c r="BT68" s="1251"/>
      <c r="BU68" s="1251"/>
      <c r="BV68" s="1251"/>
      <c r="BW68" s="1251"/>
      <c r="BX68" s="1251"/>
      <c r="BY68" s="1251"/>
      <c r="BZ68" s="1251"/>
      <c r="CA68" s="1251"/>
      <c r="CB68" s="1251"/>
      <c r="CC68" s="1251"/>
      <c r="CD68" s="1251"/>
      <c r="CE68" s="1251"/>
      <c r="CF68" s="1251"/>
      <c r="CG68" s="1251"/>
      <c r="CH68" s="1251"/>
      <c r="CI68" s="1251"/>
      <c r="CJ68" s="1251"/>
      <c r="CK68" s="1251"/>
      <c r="CL68" s="1251"/>
      <c r="CM68" s="1251"/>
      <c r="CN68" s="1251"/>
      <c r="CO68" s="1251"/>
      <c r="CP68" s="1251"/>
      <c r="CQ68" s="1251"/>
      <c r="CR68" s="1251"/>
      <c r="CS68" s="1251"/>
      <c r="CT68" s="1251"/>
      <c r="CU68" s="1251"/>
      <c r="CV68" s="1251"/>
      <c r="CW68" s="1251"/>
      <c r="CX68" s="1251"/>
      <c r="CY68" s="1251"/>
      <c r="CZ68" s="1251"/>
      <c r="DA68" s="1251"/>
      <c r="DB68" s="1251"/>
      <c r="DC68" s="1251"/>
      <c r="DD68" s="1251"/>
      <c r="DE68" s="1252"/>
      <c r="DF68" s="1249"/>
      <c r="DG68" s="1244" t="s">
        <v>331</v>
      </c>
      <c r="DH68" s="1245"/>
      <c r="DI68" s="1245"/>
      <c r="DJ68" s="1245"/>
      <c r="DK68" s="818"/>
      <c r="DL68" s="818"/>
      <c r="DM68" s="1250" t="str">
        <f>$G68</f>
        <v>(C)室内全熱負荷以降の外気負荷等は、熱源容量計算用の基準別、時刻別の値です。外気負荷を含めた空調機の容量の計算等は別紙「AC-1系統 空調機容量の計算」をご参照ください。</v>
      </c>
      <c r="DN68" s="1251"/>
      <c r="DO68" s="1251"/>
      <c r="DP68" s="1251"/>
      <c r="DQ68" s="1251"/>
      <c r="DR68" s="1251"/>
      <c r="DS68" s="1251"/>
      <c r="DT68" s="1251"/>
      <c r="DU68" s="1251"/>
      <c r="DV68" s="1251"/>
      <c r="DW68" s="1251"/>
      <c r="DX68" s="1251"/>
      <c r="DY68" s="1251"/>
      <c r="DZ68" s="1251"/>
      <c r="EA68" s="1251"/>
      <c r="EB68" s="1251"/>
      <c r="EC68" s="1251"/>
      <c r="ED68" s="1251"/>
      <c r="EE68" s="1251"/>
      <c r="EF68" s="1251"/>
      <c r="EG68" s="1251"/>
      <c r="EH68" s="1251"/>
      <c r="EI68" s="1251"/>
      <c r="EJ68" s="1251"/>
      <c r="EK68" s="1251"/>
      <c r="EL68" s="1251"/>
      <c r="EM68" s="1251"/>
      <c r="EN68" s="1251"/>
      <c r="EO68" s="1251"/>
      <c r="EP68" s="1251"/>
      <c r="EQ68" s="1251"/>
      <c r="ER68" s="1251"/>
      <c r="ES68" s="1251"/>
      <c r="ET68" s="1251"/>
      <c r="EU68" s="1251"/>
      <c r="EV68" s="1251"/>
      <c r="EW68" s="1251"/>
      <c r="EX68" s="1251"/>
      <c r="EY68" s="1251"/>
      <c r="EZ68" s="1251"/>
      <c r="FA68" s="1251"/>
      <c r="FB68" s="1251"/>
      <c r="FC68" s="1251"/>
      <c r="FD68" s="1251"/>
      <c r="FE68" s="1251"/>
      <c r="FF68" s="1251"/>
      <c r="FG68" s="1251"/>
      <c r="FH68" s="1252"/>
      <c r="FI68" s="1249"/>
      <c r="FJ68" s="1244" t="s">
        <v>331</v>
      </c>
      <c r="FK68" s="1245"/>
      <c r="FL68" s="1245"/>
      <c r="FM68" s="1245"/>
      <c r="FN68" s="818"/>
      <c r="FO68" s="818"/>
      <c r="FP68" s="1246"/>
      <c r="FQ68" s="1247"/>
      <c r="FR68" s="1247"/>
      <c r="FS68" s="1247"/>
      <c r="FT68" s="1247"/>
      <c r="FU68" s="1253"/>
      <c r="FV68" s="1254"/>
      <c r="FW68" s="1247"/>
      <c r="FX68" s="1247"/>
      <c r="FY68" s="1247"/>
      <c r="FZ68" s="1247"/>
      <c r="GA68" s="1247"/>
      <c r="GB68" s="1247"/>
      <c r="GC68" s="1255"/>
      <c r="GD68" s="1247"/>
      <c r="GE68" s="1248"/>
      <c r="GF68" s="681"/>
      <c r="GG68" s="595"/>
      <c r="GH68" s="595"/>
      <c r="GI68" s="595"/>
      <c r="GJ68" s="476"/>
      <c r="GK68" s="522"/>
      <c r="GL68" s="523"/>
      <c r="GM68" s="522"/>
      <c r="GN68" s="523"/>
      <c r="GO68" s="522"/>
      <c r="GP68" s="522"/>
      <c r="GQ68" s="522"/>
      <c r="GR68" s="523"/>
      <c r="GT68" s="572"/>
      <c r="GU68" s="1257"/>
      <c r="GV68" s="1257"/>
      <c r="GW68" s="1257"/>
      <c r="GX68" s="1257"/>
      <c r="GY68" s="1114"/>
      <c r="GZ68" s="1258"/>
      <c r="HA68" s="1258"/>
      <c r="HB68" s="1258"/>
    </row>
    <row r="69" spans="1:211" ht="20.100000000000001" customHeight="1">
      <c r="BC69" s="386"/>
      <c r="DF69" s="386"/>
      <c r="FI69" s="386"/>
      <c r="GF69" s="492"/>
      <c r="GG69" s="595"/>
      <c r="GH69" s="595"/>
      <c r="GI69" s="595"/>
      <c r="GJ69" s="523"/>
      <c r="GT69" s="1186"/>
      <c r="GU69" s="523"/>
      <c r="GV69" s="522"/>
      <c r="GW69" s="523"/>
      <c r="GX69" s="522"/>
      <c r="GY69" s="522"/>
      <c r="HA69" s="388"/>
    </row>
    <row r="70" spans="1:211" ht="20.100000000000001" customHeight="1">
      <c r="BC70" s="386"/>
      <c r="DF70" s="386"/>
      <c r="FI70" s="386"/>
      <c r="GJ70" s="388"/>
      <c r="GT70" s="682"/>
      <c r="GU70" s="522"/>
      <c r="GV70" s="522"/>
      <c r="GW70" s="522"/>
      <c r="GX70" s="522"/>
      <c r="GY70" s="522"/>
      <c r="HA70" s="523"/>
    </row>
    <row r="71" spans="1:211" ht="20.100000000000001" customHeight="1">
      <c r="BC71" s="386"/>
      <c r="DF71" s="386"/>
      <c r="FI71" s="386"/>
      <c r="GJ71" s="573"/>
      <c r="GS71" s="388"/>
      <c r="GT71" s="1256"/>
      <c r="GU71" s="523"/>
      <c r="GV71" s="388"/>
      <c r="GW71" s="523"/>
      <c r="GX71" s="388"/>
      <c r="GY71" s="572"/>
      <c r="GZ71" s="410"/>
      <c r="HA71" s="523"/>
      <c r="HB71" s="410"/>
    </row>
    <row r="72" spans="1:211" ht="20.100000000000001" customHeight="1">
      <c r="BC72" s="386"/>
      <c r="DF72" s="386"/>
      <c r="FI72" s="386"/>
      <c r="GJ72" s="523"/>
      <c r="GT72" s="1186"/>
      <c r="GU72" s="523"/>
      <c r="GV72" s="522"/>
      <c r="GW72" s="523"/>
      <c r="GX72" s="522"/>
      <c r="GY72" s="522"/>
      <c r="HA72" s="388"/>
    </row>
    <row r="73" spans="1:211" ht="20.100000000000001" customHeight="1">
      <c r="BC73" s="386"/>
      <c r="DF73" s="386"/>
      <c r="FI73" s="386"/>
      <c r="GJ73" s="523"/>
      <c r="GT73" s="1186"/>
      <c r="GU73" s="388"/>
      <c r="GV73" s="388"/>
      <c r="GW73" s="388"/>
      <c r="GX73" s="388"/>
      <c r="GY73" s="522"/>
      <c r="HA73" s="476"/>
    </row>
    <row r="74" spans="1:211" ht="20.100000000000001" customHeight="1">
      <c r="BC74" s="386"/>
      <c r="DF74" s="386"/>
      <c r="FI74" s="386"/>
      <c r="GT74" s="1186"/>
      <c r="GU74" s="476"/>
      <c r="GV74" s="479"/>
      <c r="GW74" s="476"/>
      <c r="GX74" s="479"/>
      <c r="GY74" s="388"/>
      <c r="HA74" s="573"/>
    </row>
    <row r="75" spans="1:211" ht="20.100000000000001" customHeight="1">
      <c r="BC75" s="386"/>
      <c r="DF75" s="386"/>
      <c r="FI75" s="386"/>
      <c r="GT75" s="388"/>
      <c r="GU75" s="573"/>
      <c r="GV75" s="410"/>
      <c r="GW75" s="573"/>
      <c r="GX75" s="410"/>
      <c r="GY75" s="479"/>
      <c r="HA75" s="523"/>
    </row>
    <row r="76" spans="1:211" ht="20.100000000000001" customHeight="1">
      <c r="BC76" s="386"/>
      <c r="DF76" s="386"/>
      <c r="FI76" s="386"/>
      <c r="GT76" s="479"/>
      <c r="GU76" s="523"/>
      <c r="GV76" s="522"/>
      <c r="GW76" s="523"/>
      <c r="GX76" s="522"/>
      <c r="GY76" s="410"/>
      <c r="HA76" s="523"/>
    </row>
    <row r="77" spans="1:211" ht="20.100000000000001" customHeight="1">
      <c r="BC77" s="386"/>
      <c r="DF77" s="386"/>
      <c r="FI77" s="386"/>
      <c r="GT77" s="854"/>
      <c r="GU77" s="523"/>
      <c r="GV77" s="522"/>
      <c r="GW77" s="523"/>
      <c r="GX77" s="522"/>
      <c r="GZ77" s="522"/>
    </row>
    <row r="78" spans="1:211" ht="20.100000000000001" customHeight="1">
      <c r="BC78" s="386"/>
      <c r="DF78" s="386"/>
      <c r="FI78" s="386"/>
      <c r="GT78" s="1186"/>
      <c r="GZ78" s="522"/>
    </row>
    <row r="79" spans="1:211" ht="20.100000000000001" customHeight="1">
      <c r="BC79" s="386"/>
      <c r="DF79" s="386"/>
      <c r="FI79" s="386"/>
      <c r="GT79" s="1186"/>
    </row>
    <row r="80" spans="1:211" ht="20.100000000000001" customHeight="1">
      <c r="BC80" s="386"/>
      <c r="DF80" s="386"/>
      <c r="FI80" s="386"/>
    </row>
    <row r="81" spans="55:165" ht="20.100000000000001" customHeight="1">
      <c r="BC81" s="386"/>
      <c r="DF81" s="386"/>
      <c r="FI81" s="386"/>
    </row>
    <row r="82" spans="55:165" ht="20.100000000000001" customHeight="1">
      <c r="BC82" s="386"/>
      <c r="DF82" s="386"/>
      <c r="FI82" s="386"/>
    </row>
    <row r="83" spans="55:165" ht="20.100000000000001" customHeight="1">
      <c r="BC83" s="386"/>
      <c r="DF83" s="386"/>
      <c r="FI83" s="386"/>
    </row>
    <row r="84" spans="55:165" ht="20.100000000000001" customHeight="1">
      <c r="BC84" s="386"/>
      <c r="DF84" s="386"/>
      <c r="FI84" s="386"/>
    </row>
    <row r="85" spans="55:165" ht="20.100000000000001" customHeight="1">
      <c r="BC85" s="386"/>
      <c r="DF85" s="386"/>
      <c r="FI85" s="386"/>
    </row>
    <row r="86" spans="55:165" ht="20.100000000000001" customHeight="1">
      <c r="BC86" s="386"/>
      <c r="DF86" s="386"/>
    </row>
    <row r="87" spans="55:165" ht="20.100000000000001" customHeight="1">
      <c r="BC87" s="386"/>
      <c r="DF87" s="386"/>
    </row>
    <row r="88" spans="55:165" ht="20.100000000000001" customHeight="1">
      <c r="BC88" s="386"/>
      <c r="DF88" s="386"/>
    </row>
    <row r="89" spans="55:165" ht="20.100000000000001" customHeight="1">
      <c r="BC89" s="386"/>
      <c r="DF89" s="386"/>
    </row>
  </sheetData>
  <dataConsolidate/>
  <mergeCells count="329">
    <mergeCell ref="GB59:GC59"/>
    <mergeCell ref="GB61:GC61"/>
    <mergeCell ref="GD59:GE59"/>
    <mergeCell ref="GD61:GE61"/>
    <mergeCell ref="FV59:FW59"/>
    <mergeCell ref="FX59:FY59"/>
    <mergeCell ref="FZ59:GA59"/>
    <mergeCell ref="FV61:FW61"/>
    <mergeCell ref="FX61:FY61"/>
    <mergeCell ref="FZ61:GA61"/>
    <mergeCell ref="DM68:FH68"/>
    <mergeCell ref="FJ68:FM68"/>
    <mergeCell ref="FP68:FU68"/>
    <mergeCell ref="FV68:GC68"/>
    <mergeCell ref="GD68:GE68"/>
    <mergeCell ref="DK63:DL64"/>
    <mergeCell ref="FJ63:FM64"/>
    <mergeCell ref="FN63:FO64"/>
    <mergeCell ref="GD65:GE65"/>
    <mergeCell ref="FV66:GC66"/>
    <mergeCell ref="A68:D68"/>
    <mergeCell ref="G68:BB68"/>
    <mergeCell ref="BD68:BG68"/>
    <mergeCell ref="BJ68:DE68"/>
    <mergeCell ref="DG68:DJ68"/>
    <mergeCell ref="DK56:DL57"/>
    <mergeCell ref="FJ56:FM57"/>
    <mergeCell ref="FN56:FO57"/>
    <mergeCell ref="A63:D64"/>
    <mergeCell ref="E63:F64"/>
    <mergeCell ref="BD63:BG64"/>
    <mergeCell ref="BH63:BI64"/>
    <mergeCell ref="DG63:DJ64"/>
    <mergeCell ref="GN51:GN52"/>
    <mergeCell ref="GO51:GO52"/>
    <mergeCell ref="GP51:GP52"/>
    <mergeCell ref="GQ51:GQ52"/>
    <mergeCell ref="GU54:GX54"/>
    <mergeCell ref="A56:D57"/>
    <mergeCell ref="E56:F57"/>
    <mergeCell ref="BD56:BG57"/>
    <mergeCell ref="BH56:BI57"/>
    <mergeCell ref="DG56:DJ57"/>
    <mergeCell ref="FX49:FY51"/>
    <mergeCell ref="FZ49:GA51"/>
    <mergeCell ref="GB49:GC51"/>
    <mergeCell ref="GD49:GE51"/>
    <mergeCell ref="GL51:GL52"/>
    <mergeCell ref="GM51:GM52"/>
    <mergeCell ref="GQ44:GR44"/>
    <mergeCell ref="BA46:BB46"/>
    <mergeCell ref="DD46:DE46"/>
    <mergeCell ref="FG46:FH46"/>
    <mergeCell ref="FT46:FU46"/>
    <mergeCell ref="A48:A51"/>
    <mergeCell ref="BD48:BD51"/>
    <mergeCell ref="DG48:DG51"/>
    <mergeCell ref="FJ48:FJ51"/>
    <mergeCell ref="FV49:FW51"/>
    <mergeCell ref="FV44:FW46"/>
    <mergeCell ref="FX44:FY46"/>
    <mergeCell ref="FZ44:GA46"/>
    <mergeCell ref="GB44:GC46"/>
    <mergeCell ref="GD44:GE46"/>
    <mergeCell ref="GM44:GN44"/>
    <mergeCell ref="GO41:GP41"/>
    <mergeCell ref="GQ41:GR41"/>
    <mergeCell ref="GM42:GN42"/>
    <mergeCell ref="GO42:GP42"/>
    <mergeCell ref="GQ42:GR42"/>
    <mergeCell ref="GK43:GL44"/>
    <mergeCell ref="GM43:GN43"/>
    <mergeCell ref="GO43:GP43"/>
    <mergeCell ref="GQ43:GR43"/>
    <mergeCell ref="GO44:GP44"/>
    <mergeCell ref="GK39:GL40"/>
    <mergeCell ref="GM39:GN40"/>
    <mergeCell ref="GO39:GP40"/>
    <mergeCell ref="GQ39:GR40"/>
    <mergeCell ref="A41:A44"/>
    <mergeCell ref="BD41:BD44"/>
    <mergeCell ref="DG41:DG44"/>
    <mergeCell ref="FJ41:FJ44"/>
    <mergeCell ref="GK41:GL42"/>
    <mergeCell ref="GM41:GN41"/>
    <mergeCell ref="GU37:GV37"/>
    <mergeCell ref="C38:D38"/>
    <mergeCell ref="E38:F38"/>
    <mergeCell ref="BF38:BG38"/>
    <mergeCell ref="BH38:BI38"/>
    <mergeCell ref="DI38:DJ38"/>
    <mergeCell ref="DK38:DL38"/>
    <mergeCell ref="FL38:FM38"/>
    <mergeCell ref="FN38:FO38"/>
    <mergeCell ref="GU38:GZ38"/>
    <mergeCell ref="DG37:DG40"/>
    <mergeCell ref="DI37:DJ37"/>
    <mergeCell ref="DK37:DL37"/>
    <mergeCell ref="FJ37:FJ40"/>
    <mergeCell ref="FL37:FM37"/>
    <mergeCell ref="FN37:FO37"/>
    <mergeCell ref="DI39:DJ39"/>
    <mergeCell ref="DK39:DL39"/>
    <mergeCell ref="FL39:FM39"/>
    <mergeCell ref="FN39:FO39"/>
    <mergeCell ref="A37:A40"/>
    <mergeCell ref="C37:D37"/>
    <mergeCell ref="E37:F37"/>
    <mergeCell ref="BD37:BD40"/>
    <mergeCell ref="BF37:BG37"/>
    <mergeCell ref="BH37:BI37"/>
    <mergeCell ref="C39:D39"/>
    <mergeCell ref="E39:F39"/>
    <mergeCell ref="BF39:BG39"/>
    <mergeCell ref="BH39:BI39"/>
    <mergeCell ref="GU33:GV33"/>
    <mergeCell ref="A34:A36"/>
    <mergeCell ref="BD34:BD36"/>
    <mergeCell ref="DG34:DG36"/>
    <mergeCell ref="FJ34:FJ36"/>
    <mergeCell ref="GK34:GP34"/>
    <mergeCell ref="GU34:GV34"/>
    <mergeCell ref="GU35:GV35"/>
    <mergeCell ref="GK36:GP36"/>
    <mergeCell ref="GU36:GV36"/>
    <mergeCell ref="GY31:GY32"/>
    <mergeCell ref="GZ31:GZ32"/>
    <mergeCell ref="HA31:HA32"/>
    <mergeCell ref="B32:C32"/>
    <mergeCell ref="BE32:BF32"/>
    <mergeCell ref="DH32:DI32"/>
    <mergeCell ref="FK32:FL32"/>
    <mergeCell ref="B31:C31"/>
    <mergeCell ref="BE31:BF31"/>
    <mergeCell ref="DH31:DI31"/>
    <mergeCell ref="FK31:FL31"/>
    <mergeCell ref="GW31:GW32"/>
    <mergeCell ref="GX31:GX32"/>
    <mergeCell ref="GK22:GN22"/>
    <mergeCell ref="GU22:GY22"/>
    <mergeCell ref="HA22:HB22"/>
    <mergeCell ref="A27:A33"/>
    <mergeCell ref="BD27:BD33"/>
    <mergeCell ref="DG27:DG33"/>
    <mergeCell ref="FJ27:FJ33"/>
    <mergeCell ref="GU30:GV32"/>
    <mergeCell ref="GW30:HA30"/>
    <mergeCell ref="HB30:HB32"/>
    <mergeCell ref="GK20:GL20"/>
    <mergeCell ref="GU20:GV20"/>
    <mergeCell ref="GX20:GY20"/>
    <mergeCell ref="HA20:HB20"/>
    <mergeCell ref="GK21:GM21"/>
    <mergeCell ref="GU21:GW21"/>
    <mergeCell ref="GX21:GY21"/>
    <mergeCell ref="HA21:HB21"/>
    <mergeCell ref="GK18:GL18"/>
    <mergeCell ref="GU18:GV18"/>
    <mergeCell ref="GX18:GY18"/>
    <mergeCell ref="HA18:HB18"/>
    <mergeCell ref="GK19:GL19"/>
    <mergeCell ref="GU19:GV19"/>
    <mergeCell ref="GX19:GY19"/>
    <mergeCell ref="HA19:HB19"/>
    <mergeCell ref="HA15:HB15"/>
    <mergeCell ref="GK16:GL16"/>
    <mergeCell ref="GU16:GV16"/>
    <mergeCell ref="GX16:GY16"/>
    <mergeCell ref="HA16:HB16"/>
    <mergeCell ref="GK17:GL17"/>
    <mergeCell ref="GU17:GV17"/>
    <mergeCell ref="GX17:GY17"/>
    <mergeCell ref="HA17:HB17"/>
    <mergeCell ref="GU14:GV14"/>
    <mergeCell ref="GX14:GY14"/>
    <mergeCell ref="HA14:HB14"/>
    <mergeCell ref="A15:A26"/>
    <mergeCell ref="BD15:BD26"/>
    <mergeCell ref="DG15:DG26"/>
    <mergeCell ref="FJ15:FJ26"/>
    <mergeCell ref="GK15:GL15"/>
    <mergeCell ref="GU15:GV15"/>
    <mergeCell ref="GX15:GY15"/>
    <mergeCell ref="GD10:GE43"/>
    <mergeCell ref="GK12:GL12"/>
    <mergeCell ref="GU12:GV12"/>
    <mergeCell ref="GX12:GY12"/>
    <mergeCell ref="HA12:HB12"/>
    <mergeCell ref="GK13:GL13"/>
    <mergeCell ref="GU13:GV13"/>
    <mergeCell ref="GX13:GY13"/>
    <mergeCell ref="HA13:HB13"/>
    <mergeCell ref="GK14:GL14"/>
    <mergeCell ref="FJ7:FO8"/>
    <mergeCell ref="FV7:GE9"/>
    <mergeCell ref="A9:A14"/>
    <mergeCell ref="BD9:BD14"/>
    <mergeCell ref="DG9:DG14"/>
    <mergeCell ref="FJ9:FJ14"/>
    <mergeCell ref="FV10:FW43"/>
    <mergeCell ref="FX10:FY43"/>
    <mergeCell ref="FZ10:GA43"/>
    <mergeCell ref="GB10:GC43"/>
    <mergeCell ref="GA6:GB6"/>
    <mergeCell ref="GE6:GF6"/>
    <mergeCell ref="GK6:GM6"/>
    <mergeCell ref="GU6:GW6"/>
    <mergeCell ref="A7:F8"/>
    <mergeCell ref="G7:BB7"/>
    <mergeCell ref="BD7:BI8"/>
    <mergeCell ref="BJ7:DE7"/>
    <mergeCell ref="DG7:DL8"/>
    <mergeCell ref="DM7:FH7"/>
    <mergeCell ref="DX6:DY6"/>
    <mergeCell ref="EB6:EC6"/>
    <mergeCell ref="FL6:FN6"/>
    <mergeCell ref="FO6:FP6"/>
    <mergeCell ref="FQ6:FU6"/>
    <mergeCell ref="FV6:FW6"/>
    <mergeCell ref="BY6:BZ6"/>
    <mergeCell ref="CE6:CF6"/>
    <mergeCell ref="DI6:DK6"/>
    <mergeCell ref="DL6:DM6"/>
    <mergeCell ref="DN6:DR6"/>
    <mergeCell ref="DS6:DT6"/>
    <mergeCell ref="AB6:AC6"/>
    <mergeCell ref="BF6:BH6"/>
    <mergeCell ref="BI6:BJ6"/>
    <mergeCell ref="BK6:BO6"/>
    <mergeCell ref="BP6:BQ6"/>
    <mergeCell ref="BU6:BV6"/>
    <mergeCell ref="C6:E6"/>
    <mergeCell ref="F6:G6"/>
    <mergeCell ref="H6:L6"/>
    <mergeCell ref="M6:N6"/>
    <mergeCell ref="R6:S6"/>
    <mergeCell ref="V6:W6"/>
    <mergeCell ref="FX5:FY5"/>
    <mergeCell ref="FZ5:GA5"/>
    <mergeCell ref="GB5:GC5"/>
    <mergeCell ref="GD5:GE5"/>
    <mergeCell ref="GK5:GM5"/>
    <mergeCell ref="GU5:GW5"/>
    <mergeCell ref="DQ5:DR5"/>
    <mergeCell ref="DS5:DT5"/>
    <mergeCell ref="DU5:DV5"/>
    <mergeCell ref="DW5:DX5"/>
    <mergeCell ref="DY5:DZ5"/>
    <mergeCell ref="EA5:EB5"/>
    <mergeCell ref="BR5:BS5"/>
    <mergeCell ref="BT5:BU5"/>
    <mergeCell ref="BV5:BW5"/>
    <mergeCell ref="BX5:BY5"/>
    <mergeCell ref="DM5:DN5"/>
    <mergeCell ref="DO5:DP5"/>
    <mergeCell ref="S5:T5"/>
    <mergeCell ref="U5:V5"/>
    <mergeCell ref="BJ5:BK5"/>
    <mergeCell ref="BL5:BM5"/>
    <mergeCell ref="BN5:BO5"/>
    <mergeCell ref="BP5:BQ5"/>
    <mergeCell ref="G5:H5"/>
    <mergeCell ref="I5:J5"/>
    <mergeCell ref="K5:L5"/>
    <mergeCell ref="M5:N5"/>
    <mergeCell ref="O5:P5"/>
    <mergeCell ref="Q5:R5"/>
    <mergeCell ref="EC4:EE5"/>
    <mergeCell ref="FX4:FY4"/>
    <mergeCell ref="FZ4:GA4"/>
    <mergeCell ref="GB4:GC4"/>
    <mergeCell ref="GD4:GE4"/>
    <mergeCell ref="GF4:GH5"/>
    <mergeCell ref="FP5:FQ5"/>
    <mergeCell ref="FR5:FS5"/>
    <mergeCell ref="FT5:FU5"/>
    <mergeCell ref="FV5:FW5"/>
    <mergeCell ref="FX3:GE3"/>
    <mergeCell ref="GF3:GH3"/>
    <mergeCell ref="GJ3:GR3"/>
    <mergeCell ref="GT3:HB3"/>
    <mergeCell ref="O4:P4"/>
    <mergeCell ref="Q4:R4"/>
    <mergeCell ref="S4:T4"/>
    <mergeCell ref="U4:V4"/>
    <mergeCell ref="W4:Y5"/>
    <mergeCell ref="BR4:BS4"/>
    <mergeCell ref="FJ3:FJ4"/>
    <mergeCell ref="FK3:FK4"/>
    <mergeCell ref="FL3:FL4"/>
    <mergeCell ref="FM3:FS4"/>
    <mergeCell ref="FT3:FU4"/>
    <mergeCell ref="FV3:FW4"/>
    <mergeCell ref="DI3:DI4"/>
    <mergeCell ref="DJ3:DP4"/>
    <mergeCell ref="DQ3:DR4"/>
    <mergeCell ref="DS3:DT4"/>
    <mergeCell ref="DU3:EB3"/>
    <mergeCell ref="EC3:EE3"/>
    <mergeCell ref="DU4:DV4"/>
    <mergeCell ref="DW4:DX4"/>
    <mergeCell ref="DY4:DZ4"/>
    <mergeCell ref="EA4:EB4"/>
    <mergeCell ref="BN3:BO4"/>
    <mergeCell ref="BP3:BQ4"/>
    <mergeCell ref="BR3:BY3"/>
    <mergeCell ref="BZ3:CB3"/>
    <mergeCell ref="DG3:DG4"/>
    <mergeCell ref="DH3:DH4"/>
    <mergeCell ref="BT4:BU4"/>
    <mergeCell ref="BV4:BW4"/>
    <mergeCell ref="BX4:BY4"/>
    <mergeCell ref="BZ4:CB5"/>
    <mergeCell ref="O3:V3"/>
    <mergeCell ref="W3:Y3"/>
    <mergeCell ref="BD3:BD4"/>
    <mergeCell ref="BE3:BE4"/>
    <mergeCell ref="BF3:BF4"/>
    <mergeCell ref="BG3:BM4"/>
    <mergeCell ref="H1:I1"/>
    <mergeCell ref="BK1:BL1"/>
    <mergeCell ref="DN1:DO1"/>
    <mergeCell ref="FQ1:FR1"/>
    <mergeCell ref="A3:A4"/>
    <mergeCell ref="B3:B4"/>
    <mergeCell ref="C3:C4"/>
    <mergeCell ref="D3:J4"/>
    <mergeCell ref="K3:L4"/>
    <mergeCell ref="M3:N4"/>
  </mergeCells>
  <phoneticPr fontId="4"/>
  <printOptions horizontalCentered="1" gridLinesSet="0"/>
  <pageMargins left="0.39370078740157483" right="0.19685039370078741" top="0.78740157480314965" bottom="0.47244094488188981" header="0.59055118110236227" footer="0.31496062992125984"/>
  <pageSetup paperSize="9" scale="38" fitToWidth="0" orientation="landscape" horizontalDpi="4294967292" verticalDpi="400" r:id="rId1"/>
  <headerFooter scaleWithDoc="0" alignWithMargins="0">
    <oddFooter>&amp;C&amp;"ＭＳ Ｐゴシック,標準"&amp;9( &amp;P / &amp;N )</oddFooter>
  </headerFooter>
  <rowBreaks count="1" manualBreakCount="1">
    <brk id="1" max="210" man="1"/>
  </rowBreaks>
  <colBreaks count="3" manualBreakCount="3">
    <brk id="55" max="68" man="1"/>
    <brk id="110" max="68" man="1"/>
    <brk id="165" max="68"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MO89"/>
  <sheetViews>
    <sheetView showGridLines="0" zoomScale="70" zoomScaleNormal="70" workbookViewId="0">
      <pane ySplit="8" topLeftCell="A9" activePane="bottomLeft" state="frozenSplit"/>
      <selection pane="bottomLeft"/>
    </sheetView>
  </sheetViews>
  <sheetFormatPr defaultColWidth="7.42578125" defaultRowHeight="20.100000000000001" customHeight="1"/>
  <cols>
    <col min="1" max="1" width="5" style="389" customWidth="1"/>
    <col min="2" max="6" width="9.5703125" style="389" customWidth="1"/>
    <col min="7" max="7" width="4.7109375" style="389" customWidth="1"/>
    <col min="8" max="8" width="7.7109375" style="389" customWidth="1"/>
    <col min="9" max="9" width="4.7109375" style="389" customWidth="1"/>
    <col min="10" max="10" width="7.7109375" style="389" customWidth="1"/>
    <col min="11" max="11" width="4.7109375" style="389" customWidth="1"/>
    <col min="12" max="12" width="7.7109375" style="389" customWidth="1"/>
    <col min="13" max="13" width="4.7109375" style="389" customWidth="1"/>
    <col min="14" max="14" width="7.7109375" style="389" customWidth="1"/>
    <col min="15" max="15" width="4.7109375" style="389" customWidth="1"/>
    <col min="16" max="16" width="7.7109375" style="389" customWidth="1"/>
    <col min="17" max="17" width="4.7109375" style="389" customWidth="1"/>
    <col min="18" max="18" width="7.7109375" style="389" customWidth="1"/>
    <col min="19" max="19" width="4.7109375" style="389" customWidth="1"/>
    <col min="20" max="20" width="7.7109375" style="389" customWidth="1"/>
    <col min="21" max="21" width="4.7109375" style="389" customWidth="1"/>
    <col min="22" max="22" width="7.7109375" style="389" customWidth="1"/>
    <col min="23" max="23" width="4.7109375" style="389" customWidth="1"/>
    <col min="24" max="24" width="7.7109375" style="389" customWidth="1"/>
    <col min="25" max="25" width="4.7109375" style="389" customWidth="1"/>
    <col min="26" max="26" width="7.7109375" style="389" customWidth="1"/>
    <col min="27" max="27" width="4.7109375" style="389" customWidth="1"/>
    <col min="28" max="28" width="7.7109375" style="389" customWidth="1"/>
    <col min="29" max="29" width="4.7109375" style="389" customWidth="1"/>
    <col min="30" max="30" width="7.7109375" style="389" customWidth="1"/>
    <col min="31" max="31" width="4.7109375" style="389" customWidth="1"/>
    <col min="32" max="32" width="7.7109375" style="389" customWidth="1"/>
    <col min="33" max="33" width="4.7109375" style="389" customWidth="1"/>
    <col min="34" max="34" width="7.7109375" style="389" customWidth="1"/>
    <col min="35" max="35" width="4.7109375" style="389" customWidth="1"/>
    <col min="36" max="36" width="7.7109375" style="389" customWidth="1"/>
    <col min="37" max="37" width="4.7109375" style="389" customWidth="1"/>
    <col min="38" max="38" width="7.7109375" style="389" customWidth="1"/>
    <col min="39" max="39" width="4.7109375" style="389" customWidth="1"/>
    <col min="40" max="40" width="7.7109375" style="389" customWidth="1"/>
    <col min="41" max="41" width="4.7109375" style="389" customWidth="1"/>
    <col min="42" max="42" width="7.7109375" style="389" customWidth="1"/>
    <col min="43" max="43" width="4.7109375" style="389" customWidth="1"/>
    <col min="44" max="44" width="7.7109375" style="389" customWidth="1"/>
    <col min="45" max="45" width="4.7109375" style="389" customWidth="1"/>
    <col min="46" max="46" width="7.7109375" style="389" customWidth="1"/>
    <col min="47" max="47" width="4.7109375" style="389" customWidth="1"/>
    <col min="48" max="48" width="7.7109375" style="389" customWidth="1"/>
    <col min="49" max="49" width="4.7109375" style="389" customWidth="1"/>
    <col min="50" max="50" width="7.7109375" style="389" customWidth="1"/>
    <col min="51" max="51" width="4.7109375" style="389" customWidth="1"/>
    <col min="52" max="52" width="7.7109375" style="389" customWidth="1"/>
    <col min="53" max="53" width="4.7109375" style="389" customWidth="1"/>
    <col min="54" max="54" width="7.7109375" style="389" customWidth="1"/>
    <col min="55" max="55" width="4.28515625" style="1207" customWidth="1"/>
    <col min="56" max="56" width="5" style="389" customWidth="1"/>
    <col min="57" max="61" width="9.5703125" style="389" customWidth="1"/>
    <col min="62" max="62" width="4.7109375" style="389" customWidth="1"/>
    <col min="63" max="63" width="7.7109375" style="389" customWidth="1"/>
    <col min="64" max="64" width="4.7109375" style="389" customWidth="1"/>
    <col min="65" max="65" width="7.7109375" style="389" customWidth="1"/>
    <col min="66" max="66" width="4.7109375" style="389" customWidth="1"/>
    <col min="67" max="67" width="7.7109375" style="389" customWidth="1"/>
    <col min="68" max="68" width="4.7109375" style="389" customWidth="1"/>
    <col min="69" max="69" width="7.7109375" style="389" customWidth="1"/>
    <col min="70" max="70" width="4.7109375" style="389" customWidth="1"/>
    <col min="71" max="71" width="7.7109375" style="389" customWidth="1"/>
    <col min="72" max="72" width="4.7109375" style="389" customWidth="1"/>
    <col min="73" max="73" width="7.7109375" style="389" customWidth="1"/>
    <col min="74" max="74" width="4.7109375" style="389" customWidth="1"/>
    <col min="75" max="75" width="7.7109375" style="389" customWidth="1"/>
    <col min="76" max="76" width="4.7109375" style="389" customWidth="1"/>
    <col min="77" max="77" width="7.7109375" style="389" customWidth="1"/>
    <col min="78" max="78" width="4.7109375" style="389" customWidth="1"/>
    <col min="79" max="79" width="7.7109375" style="389" customWidth="1"/>
    <col min="80" max="80" width="4.7109375" style="389" customWidth="1"/>
    <col min="81" max="81" width="7.7109375" style="389" customWidth="1"/>
    <col min="82" max="82" width="4.7109375" style="389" customWidth="1"/>
    <col min="83" max="83" width="7.7109375" style="389" customWidth="1"/>
    <col min="84" max="84" width="4.7109375" style="389" customWidth="1"/>
    <col min="85" max="85" width="7.7109375" style="389" customWidth="1"/>
    <col min="86" max="86" width="4.7109375" style="389" customWidth="1"/>
    <col min="87" max="87" width="7.7109375" style="389" customWidth="1"/>
    <col min="88" max="88" width="4.7109375" style="389" customWidth="1"/>
    <col min="89" max="89" width="7.7109375" style="389" customWidth="1"/>
    <col min="90" max="90" width="4.7109375" style="389" customWidth="1"/>
    <col min="91" max="91" width="7.7109375" style="389" customWidth="1"/>
    <col min="92" max="92" width="4.7109375" style="389" customWidth="1"/>
    <col min="93" max="93" width="7.7109375" style="389" customWidth="1"/>
    <col min="94" max="94" width="4.7109375" style="389" customWidth="1"/>
    <col min="95" max="95" width="7.7109375" style="389" customWidth="1"/>
    <col min="96" max="96" width="4.7109375" style="389" customWidth="1"/>
    <col min="97" max="97" width="7.7109375" style="389" customWidth="1"/>
    <col min="98" max="98" width="4.7109375" style="389" customWidth="1"/>
    <col min="99" max="99" width="7.7109375" style="389" customWidth="1"/>
    <col min="100" max="100" width="4.7109375" style="389" customWidth="1"/>
    <col min="101" max="101" width="7.7109375" style="389" customWidth="1"/>
    <col min="102" max="102" width="4.7109375" style="389" customWidth="1"/>
    <col min="103" max="103" width="7.7109375" style="389" customWidth="1"/>
    <col min="104" max="104" width="4.7109375" style="389" customWidth="1"/>
    <col min="105" max="105" width="7.7109375" style="389" customWidth="1"/>
    <col min="106" max="106" width="4.7109375" style="389" customWidth="1"/>
    <col min="107" max="107" width="7.7109375" style="389" customWidth="1"/>
    <col min="108" max="108" width="4.7109375" style="389" customWidth="1"/>
    <col min="109" max="109" width="7.7109375" style="389" customWidth="1"/>
    <col min="110" max="110" width="4.7109375" style="1207" customWidth="1"/>
    <col min="111" max="111" width="5" style="389" customWidth="1"/>
    <col min="112" max="116" width="9.5703125" style="389" customWidth="1"/>
    <col min="117" max="117" width="4.7109375" style="389" customWidth="1"/>
    <col min="118" max="118" width="7.7109375" style="389" customWidth="1"/>
    <col min="119" max="119" width="4.7109375" style="389" customWidth="1"/>
    <col min="120" max="120" width="7.7109375" style="389" customWidth="1"/>
    <col min="121" max="121" width="4.7109375" style="389" customWidth="1"/>
    <col min="122" max="122" width="7.7109375" style="389" customWidth="1"/>
    <col min="123" max="123" width="4.7109375" style="389" customWidth="1"/>
    <col min="124" max="124" width="7.7109375" style="389" customWidth="1"/>
    <col min="125" max="125" width="4.7109375" style="389" customWidth="1"/>
    <col min="126" max="126" width="7.7109375" style="389" customWidth="1"/>
    <col min="127" max="127" width="4.7109375" style="389" customWidth="1"/>
    <col min="128" max="128" width="7.7109375" style="389" customWidth="1"/>
    <col min="129" max="129" width="4.7109375" style="389" customWidth="1"/>
    <col min="130" max="130" width="7.7109375" style="389" customWidth="1"/>
    <col min="131" max="131" width="4.7109375" style="389" customWidth="1"/>
    <col min="132" max="132" width="7.7109375" style="389" customWidth="1"/>
    <col min="133" max="133" width="4.7109375" style="389" customWidth="1"/>
    <col min="134" max="134" width="7.7109375" style="389" customWidth="1"/>
    <col min="135" max="135" width="4.7109375" style="389" customWidth="1"/>
    <col min="136" max="136" width="7.7109375" style="389" customWidth="1"/>
    <col min="137" max="137" width="4.7109375" style="389" customWidth="1"/>
    <col min="138" max="138" width="7.7109375" style="389" customWidth="1"/>
    <col min="139" max="139" width="4.7109375" style="389" customWidth="1"/>
    <col min="140" max="140" width="7.7109375" style="389" customWidth="1"/>
    <col min="141" max="141" width="4.7109375" style="389" customWidth="1"/>
    <col min="142" max="142" width="7.7109375" style="389" customWidth="1"/>
    <col min="143" max="143" width="4.7109375" style="389" customWidth="1"/>
    <col min="144" max="144" width="7.7109375" style="389" customWidth="1"/>
    <col min="145" max="145" width="4.7109375" style="389" customWidth="1"/>
    <col min="146" max="146" width="7.7109375" style="389" customWidth="1"/>
    <col min="147" max="147" width="4.7109375" style="389" customWidth="1"/>
    <col min="148" max="148" width="7.7109375" style="389" customWidth="1"/>
    <col min="149" max="149" width="4.7109375" style="389" customWidth="1"/>
    <col min="150" max="150" width="7.7109375" style="389" customWidth="1"/>
    <col min="151" max="151" width="4.7109375" style="389" customWidth="1"/>
    <col min="152" max="152" width="7.7109375" style="389" customWidth="1"/>
    <col min="153" max="153" width="4.7109375" style="389" customWidth="1"/>
    <col min="154" max="154" width="7.7109375" style="389" customWidth="1"/>
    <col min="155" max="155" width="4.7109375" style="389" customWidth="1"/>
    <col min="156" max="156" width="7.7109375" style="389" customWidth="1"/>
    <col min="157" max="157" width="4.7109375" style="389" customWidth="1"/>
    <col min="158" max="158" width="7.7109375" style="389" customWidth="1"/>
    <col min="159" max="159" width="4.7109375" style="389" customWidth="1"/>
    <col min="160" max="160" width="7.7109375" style="389" customWidth="1"/>
    <col min="161" max="161" width="4.7109375" style="389" customWidth="1"/>
    <col min="162" max="162" width="7.7109375" style="389" customWidth="1"/>
    <col min="163" max="163" width="4.7109375" style="389" customWidth="1"/>
    <col min="164" max="164" width="7.7109375" style="389" customWidth="1"/>
    <col min="165" max="165" width="4.7109375" style="1207" customWidth="1"/>
    <col min="166" max="166" width="5" style="389" customWidth="1"/>
    <col min="167" max="171" width="9.5703125" style="389" customWidth="1"/>
    <col min="172" max="173" width="4.7109375" style="389" customWidth="1"/>
    <col min="174" max="174" width="7.7109375" style="389" customWidth="1"/>
    <col min="175" max="176" width="4.7109375" style="389" customWidth="1"/>
    <col min="177" max="177" width="7.7109375" style="389" customWidth="1"/>
    <col min="178" max="178" width="4.7109375" style="389" customWidth="1"/>
    <col min="179" max="179" width="7.7109375" style="389" customWidth="1"/>
    <col min="180" max="180" width="4.7109375" style="389" customWidth="1"/>
    <col min="181" max="181" width="7.7109375" style="389" customWidth="1"/>
    <col min="182" max="182" width="4.7109375" style="389" customWidth="1"/>
    <col min="183" max="183" width="7.7109375" style="389" customWidth="1"/>
    <col min="184" max="184" width="4.7109375" style="389" customWidth="1"/>
    <col min="185" max="185" width="7.7109375" style="389" customWidth="1"/>
    <col min="186" max="186" width="4.7109375" style="389" customWidth="1"/>
    <col min="187" max="187" width="7.7109375" style="389" customWidth="1"/>
    <col min="188" max="188" width="4.7109375" style="389" customWidth="1"/>
    <col min="189" max="191" width="7.7109375" style="1243" customWidth="1"/>
    <col min="192" max="192" width="4.7109375" style="1243" customWidth="1"/>
    <col min="193" max="193" width="6.7109375" style="1243" customWidth="1"/>
    <col min="194" max="199" width="8.7109375" style="1243" customWidth="1"/>
    <col min="200" max="200" width="12.5703125" style="1243" customWidth="1"/>
    <col min="201" max="201" width="7.140625" style="1243" customWidth="1"/>
    <col min="202" max="202" width="4.7109375" style="1243" customWidth="1"/>
    <col min="203" max="203" width="6.7109375" style="1243" customWidth="1"/>
    <col min="204" max="210" width="8.7109375" style="1243" customWidth="1"/>
    <col min="211" max="211" width="4.28515625" style="1207" customWidth="1"/>
    <col min="212" max="212" width="7.42578125" style="389" customWidth="1"/>
    <col min="213" max="213" width="24.5703125" style="389" customWidth="1"/>
    <col min="214" max="214" width="8.85546875" style="389" customWidth="1"/>
    <col min="215" max="16384" width="7.42578125" style="389"/>
  </cols>
  <sheetData>
    <row r="1" spans="1:353" s="382" customFormat="1" ht="42" customHeight="1">
      <c r="A1" s="372" t="s">
        <v>247</v>
      </c>
      <c r="B1" s="373"/>
      <c r="C1" s="373"/>
      <c r="D1" s="373"/>
      <c r="E1" s="373"/>
      <c r="F1" s="373"/>
      <c r="G1" s="373"/>
      <c r="H1" s="374"/>
      <c r="I1" s="374"/>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c r="AW1" s="373"/>
      <c r="AX1" s="375" t="s">
        <v>249</v>
      </c>
      <c r="AY1" s="373" t="s">
        <v>620</v>
      </c>
      <c r="AZ1" s="373"/>
      <c r="BA1" s="373"/>
      <c r="BB1" s="376"/>
      <c r="BC1" s="377"/>
      <c r="BD1" s="372" t="s">
        <v>247</v>
      </c>
      <c r="BE1" s="373"/>
      <c r="BF1" s="373"/>
      <c r="BG1" s="373"/>
      <c r="BH1" s="373"/>
      <c r="BI1" s="373"/>
      <c r="BJ1" s="373"/>
      <c r="BK1" s="374"/>
      <c r="BL1" s="374"/>
      <c r="BM1" s="373"/>
      <c r="BN1" s="373"/>
      <c r="BO1" s="373"/>
      <c r="BP1" s="373"/>
      <c r="BQ1" s="373"/>
      <c r="BR1" s="373"/>
      <c r="BS1" s="373"/>
      <c r="BT1" s="373"/>
      <c r="BU1" s="373"/>
      <c r="BV1" s="373"/>
      <c r="BW1" s="373"/>
      <c r="BX1" s="373"/>
      <c r="BY1" s="373"/>
      <c r="BZ1" s="373"/>
      <c r="CA1" s="373"/>
      <c r="CB1" s="373"/>
      <c r="CC1" s="373"/>
      <c r="CD1" s="373"/>
      <c r="CE1" s="373"/>
      <c r="CF1" s="373"/>
      <c r="CG1" s="373"/>
      <c r="CH1" s="373"/>
      <c r="CI1" s="373"/>
      <c r="CJ1" s="373"/>
      <c r="CK1" s="373"/>
      <c r="CL1" s="373"/>
      <c r="CM1" s="373"/>
      <c r="CN1" s="373"/>
      <c r="CO1" s="373"/>
      <c r="CP1" s="373"/>
      <c r="CQ1" s="373"/>
      <c r="CR1" s="373"/>
      <c r="CS1" s="373"/>
      <c r="CT1" s="373"/>
      <c r="CU1" s="373"/>
      <c r="CV1" s="373"/>
      <c r="CW1" s="373"/>
      <c r="CX1" s="373"/>
      <c r="CY1" s="373"/>
      <c r="CZ1" s="373"/>
      <c r="DA1" s="375" t="s">
        <v>249</v>
      </c>
      <c r="DB1" s="373" t="str">
        <f>$AY1</f>
        <v>9時-18時</v>
      </c>
      <c r="DC1" s="375"/>
      <c r="DD1" s="373"/>
      <c r="DE1" s="376"/>
      <c r="DF1" s="377"/>
      <c r="DG1" s="372" t="s">
        <v>247</v>
      </c>
      <c r="DH1" s="373"/>
      <c r="DI1" s="373"/>
      <c r="DJ1" s="373"/>
      <c r="DK1" s="373"/>
      <c r="DL1" s="373"/>
      <c r="DM1" s="373"/>
      <c r="DN1" s="374"/>
      <c r="DO1" s="374"/>
      <c r="DP1" s="373"/>
      <c r="DQ1" s="373"/>
      <c r="DR1" s="373"/>
      <c r="DS1" s="373"/>
      <c r="DT1" s="373"/>
      <c r="DU1" s="373"/>
      <c r="DV1" s="373"/>
      <c r="DW1" s="373"/>
      <c r="DX1" s="373"/>
      <c r="DY1" s="373"/>
      <c r="DZ1" s="373"/>
      <c r="EA1" s="373"/>
      <c r="EB1" s="373"/>
      <c r="EC1" s="373"/>
      <c r="ED1" s="373"/>
      <c r="EE1" s="373"/>
      <c r="EF1" s="373"/>
      <c r="EG1" s="373"/>
      <c r="EH1" s="373"/>
      <c r="EI1" s="373"/>
      <c r="EJ1" s="373"/>
      <c r="EK1" s="373"/>
      <c r="EL1" s="373"/>
      <c r="EM1" s="373"/>
      <c r="EN1" s="373"/>
      <c r="EO1" s="373"/>
      <c r="EP1" s="373"/>
      <c r="EQ1" s="373"/>
      <c r="ER1" s="373"/>
      <c r="ES1" s="373"/>
      <c r="ET1" s="373"/>
      <c r="EU1" s="373"/>
      <c r="EV1" s="373"/>
      <c r="EW1" s="373"/>
      <c r="EX1" s="373"/>
      <c r="EY1" s="373"/>
      <c r="EZ1" s="373"/>
      <c r="FA1" s="373"/>
      <c r="FB1" s="373"/>
      <c r="FC1" s="373"/>
      <c r="FD1" s="375" t="s">
        <v>249</v>
      </c>
      <c r="FE1" s="373" t="str">
        <f>$AY1</f>
        <v>9時-18時</v>
      </c>
      <c r="FF1" s="375"/>
      <c r="FG1" s="373"/>
      <c r="FH1" s="376"/>
      <c r="FI1" s="377"/>
      <c r="FJ1" s="372" t="s">
        <v>247</v>
      </c>
      <c r="FK1" s="373"/>
      <c r="FL1" s="373"/>
      <c r="FM1" s="373"/>
      <c r="FN1" s="373"/>
      <c r="FO1" s="373"/>
      <c r="FP1" s="373"/>
      <c r="FQ1" s="374"/>
      <c r="FR1" s="374"/>
      <c r="FS1" s="373"/>
      <c r="FT1" s="373"/>
      <c r="FU1" s="373"/>
      <c r="FV1" s="373"/>
      <c r="FW1" s="373"/>
      <c r="FX1" s="373"/>
      <c r="FY1" s="373"/>
      <c r="FZ1" s="373"/>
      <c r="GA1" s="373"/>
      <c r="GB1" s="373"/>
      <c r="GC1" s="373"/>
      <c r="GD1" s="373"/>
      <c r="GE1" s="373"/>
      <c r="GF1" s="373"/>
      <c r="GG1" s="373"/>
      <c r="GH1" s="373"/>
      <c r="GI1" s="373"/>
      <c r="GJ1" s="373"/>
      <c r="GK1" s="373"/>
      <c r="GL1" s="373"/>
      <c r="GM1" s="373"/>
      <c r="GN1" s="373"/>
      <c r="GO1" s="373"/>
      <c r="GP1" s="373"/>
      <c r="GQ1" s="373"/>
      <c r="GR1" s="373"/>
      <c r="GS1" s="373"/>
      <c r="GT1" s="373"/>
      <c r="GU1" s="375"/>
      <c r="GV1" s="373"/>
      <c r="GW1" s="373"/>
      <c r="GX1" s="373"/>
      <c r="GY1" s="375" t="s">
        <v>448</v>
      </c>
      <c r="GZ1" s="373" t="s">
        <v>619</v>
      </c>
      <c r="HA1" s="373"/>
      <c r="HB1" s="376"/>
      <c r="HC1" s="1469" t="s">
        <v>570</v>
      </c>
      <c r="HD1" s="378"/>
      <c r="HE1" s="379"/>
      <c r="HF1" s="378"/>
      <c r="HG1" s="1467"/>
      <c r="HH1" s="380" t="s">
        <v>250</v>
      </c>
      <c r="HI1" s="381"/>
    </row>
    <row r="2" spans="1:353" ht="20.100000000000001" customHeight="1" thickBot="1">
      <c r="A2" s="383"/>
      <c r="B2" s="383"/>
      <c r="C2" s="383"/>
      <c r="D2" s="383"/>
      <c r="E2" s="383"/>
      <c r="F2" s="383"/>
      <c r="G2" s="383"/>
      <c r="H2" s="383"/>
      <c r="I2" s="383"/>
      <c r="J2" s="383"/>
      <c r="K2" s="383"/>
      <c r="L2" s="383"/>
      <c r="M2" s="383"/>
      <c r="N2" s="383"/>
      <c r="O2" s="383"/>
      <c r="P2" s="383"/>
      <c r="Q2" s="383"/>
      <c r="R2" s="383"/>
      <c r="S2" s="383"/>
      <c r="T2" s="383"/>
      <c r="U2" s="383"/>
      <c r="V2" s="383"/>
      <c r="W2" s="383"/>
      <c r="X2" s="384"/>
      <c r="Y2" s="383"/>
      <c r="Z2" s="383"/>
      <c r="AA2" s="384"/>
      <c r="AB2" s="384"/>
      <c r="AC2" s="384"/>
      <c r="AD2" s="384"/>
      <c r="AE2" s="384"/>
      <c r="AF2" s="384"/>
      <c r="AG2" s="384"/>
      <c r="AH2" s="384"/>
      <c r="AI2" s="384"/>
      <c r="AJ2" s="384"/>
      <c r="AK2" s="384"/>
      <c r="AL2" s="384"/>
      <c r="AM2" s="384"/>
      <c r="AN2" s="384"/>
      <c r="AO2" s="384"/>
      <c r="AP2" s="384"/>
      <c r="AQ2" s="384"/>
      <c r="AR2" s="384"/>
      <c r="AS2" s="384"/>
      <c r="AT2" s="384"/>
      <c r="AU2" s="384"/>
      <c r="AV2" s="384"/>
      <c r="AW2" s="384"/>
      <c r="AX2" s="384"/>
      <c r="AY2" s="384"/>
      <c r="AZ2" s="384"/>
      <c r="BA2" s="384"/>
      <c r="BB2" s="384"/>
      <c r="BC2" s="385"/>
      <c r="BD2" s="383"/>
      <c r="BE2" s="383"/>
      <c r="BF2" s="383"/>
      <c r="BG2" s="383"/>
      <c r="BH2" s="383"/>
      <c r="BI2" s="383"/>
      <c r="BJ2" s="383"/>
      <c r="BK2" s="383"/>
      <c r="BL2" s="383"/>
      <c r="BM2" s="383"/>
      <c r="BN2" s="383"/>
      <c r="BO2" s="383"/>
      <c r="BP2" s="383"/>
      <c r="BQ2" s="383"/>
      <c r="BR2" s="383"/>
      <c r="BS2" s="383"/>
      <c r="BT2" s="383"/>
      <c r="BU2" s="383"/>
      <c r="BV2" s="383"/>
      <c r="BW2" s="383"/>
      <c r="BX2" s="383"/>
      <c r="BY2" s="383"/>
      <c r="BZ2" s="383"/>
      <c r="CA2" s="384"/>
      <c r="CB2" s="383"/>
      <c r="CC2" s="383"/>
      <c r="CD2" s="384"/>
      <c r="CE2" s="384"/>
      <c r="CF2" s="384"/>
      <c r="CG2" s="384"/>
      <c r="CH2" s="384"/>
      <c r="CI2" s="384"/>
      <c r="CJ2" s="384"/>
      <c r="CK2" s="384"/>
      <c r="CL2" s="384"/>
      <c r="CM2" s="384"/>
      <c r="CN2" s="384"/>
      <c r="CO2" s="384"/>
      <c r="CP2" s="384"/>
      <c r="CQ2" s="384"/>
      <c r="CR2" s="384"/>
      <c r="CS2" s="384"/>
      <c r="CT2" s="384"/>
      <c r="CU2" s="384"/>
      <c r="CV2" s="384"/>
      <c r="CW2" s="384"/>
      <c r="CX2" s="384"/>
      <c r="CY2" s="384"/>
      <c r="CZ2" s="384"/>
      <c r="DA2" s="384"/>
      <c r="DB2" s="384"/>
      <c r="DC2" s="384"/>
      <c r="DD2" s="384"/>
      <c r="DE2" s="384"/>
      <c r="DF2" s="386"/>
      <c r="DG2" s="383"/>
      <c r="DH2" s="383"/>
      <c r="DI2" s="383"/>
      <c r="DJ2" s="383"/>
      <c r="DK2" s="383"/>
      <c r="DL2" s="383"/>
      <c r="DM2" s="383"/>
      <c r="DN2" s="383"/>
      <c r="DO2" s="383"/>
      <c r="DP2" s="383"/>
      <c r="DQ2" s="383"/>
      <c r="DR2" s="383"/>
      <c r="DS2" s="383"/>
      <c r="DT2" s="383"/>
      <c r="DU2" s="383"/>
      <c r="DV2" s="383"/>
      <c r="DW2" s="383"/>
      <c r="DX2" s="383"/>
      <c r="DY2" s="383"/>
      <c r="DZ2" s="383"/>
      <c r="EA2" s="383"/>
      <c r="EB2" s="383"/>
      <c r="EC2" s="383"/>
      <c r="ED2" s="384"/>
      <c r="EE2" s="383"/>
      <c r="EF2" s="383"/>
      <c r="EG2" s="384"/>
      <c r="EH2" s="384"/>
      <c r="EI2" s="384"/>
      <c r="EJ2" s="384"/>
      <c r="EK2" s="384"/>
      <c r="EL2" s="384"/>
      <c r="EM2" s="384"/>
      <c r="EN2" s="384"/>
      <c r="EO2" s="384"/>
      <c r="EP2" s="384"/>
      <c r="EQ2" s="384"/>
      <c r="ER2" s="384"/>
      <c r="ES2" s="384"/>
      <c r="ET2" s="384"/>
      <c r="EU2" s="384"/>
      <c r="EV2" s="384"/>
      <c r="EW2" s="384"/>
      <c r="EX2" s="384"/>
      <c r="EY2" s="384"/>
      <c r="EZ2" s="384"/>
      <c r="FA2" s="384"/>
      <c r="FB2" s="384"/>
      <c r="FC2" s="384"/>
      <c r="FD2" s="384"/>
      <c r="FE2" s="384"/>
      <c r="FF2" s="384"/>
      <c r="FG2" s="384"/>
      <c r="FH2" s="384"/>
      <c r="FI2" s="386"/>
      <c r="FJ2" s="383"/>
      <c r="FK2" s="383"/>
      <c r="FL2" s="383"/>
      <c r="FM2" s="383"/>
      <c r="FN2" s="383"/>
      <c r="FO2" s="383"/>
      <c r="FP2" s="383"/>
      <c r="FQ2" s="383"/>
      <c r="FR2" s="383"/>
      <c r="FS2" s="383"/>
      <c r="FT2" s="383"/>
      <c r="FU2" s="383"/>
      <c r="FV2" s="383"/>
      <c r="FW2" s="383"/>
      <c r="FX2" s="383"/>
      <c r="FY2" s="383"/>
      <c r="FZ2" s="383"/>
      <c r="GA2" s="383"/>
      <c r="GB2" s="383"/>
      <c r="GC2" s="383"/>
      <c r="GD2" s="383"/>
      <c r="GE2" s="383"/>
      <c r="GF2" s="383"/>
      <c r="GG2" s="387"/>
      <c r="GH2" s="387"/>
      <c r="GI2" s="387"/>
      <c r="GJ2" s="387"/>
      <c r="GK2" s="387"/>
      <c r="GL2" s="387"/>
      <c r="GM2" s="387"/>
      <c r="GN2" s="387"/>
      <c r="GO2" s="387"/>
      <c r="GP2" s="387"/>
      <c r="GQ2" s="387"/>
      <c r="GR2" s="387"/>
      <c r="GS2" s="387"/>
      <c r="GT2" s="388"/>
      <c r="GU2" s="388"/>
      <c r="GV2" s="387"/>
      <c r="GW2" s="387"/>
      <c r="GX2" s="387"/>
      <c r="GY2" s="387"/>
      <c r="GZ2" s="387"/>
      <c r="HA2" s="387"/>
      <c r="HB2" s="387"/>
      <c r="HC2" s="385"/>
      <c r="HD2" s="383"/>
      <c r="HE2" s="383"/>
      <c r="HF2" s="383"/>
      <c r="HG2" s="383"/>
    </row>
    <row r="3" spans="1:353" ht="20.100000000000001" customHeight="1">
      <c r="A3" s="390" t="s">
        <v>342</v>
      </c>
      <c r="B3" s="391">
        <v>301</v>
      </c>
      <c r="C3" s="392" t="s">
        <v>625</v>
      </c>
      <c r="D3" s="393" t="s">
        <v>626</v>
      </c>
      <c r="E3" s="393"/>
      <c r="F3" s="393"/>
      <c r="G3" s="393"/>
      <c r="H3" s="393"/>
      <c r="I3" s="393"/>
      <c r="J3" s="394"/>
      <c r="K3" s="395" t="s">
        <v>346</v>
      </c>
      <c r="L3" s="396"/>
      <c r="M3" s="395" t="s">
        <v>351</v>
      </c>
      <c r="N3" s="396"/>
      <c r="O3" s="397" t="s">
        <v>773</v>
      </c>
      <c r="P3" s="398"/>
      <c r="Q3" s="398"/>
      <c r="R3" s="398"/>
      <c r="S3" s="398"/>
      <c r="T3" s="398"/>
      <c r="U3" s="398"/>
      <c r="V3" s="399"/>
      <c r="W3" s="400" t="s">
        <v>348</v>
      </c>
      <c r="X3" s="401"/>
      <c r="Y3" s="402"/>
      <c r="Z3" s="403"/>
      <c r="AA3" s="403"/>
      <c r="AB3" s="403"/>
      <c r="AC3" s="403"/>
      <c r="AD3" s="403"/>
      <c r="AE3" s="403"/>
      <c r="AF3" s="403"/>
      <c r="AG3" s="403"/>
      <c r="AH3" s="403"/>
      <c r="AI3" s="403"/>
      <c r="AJ3" s="403"/>
      <c r="AK3" s="403"/>
      <c r="AL3" s="403"/>
      <c r="AM3" s="403"/>
      <c r="AN3" s="403"/>
      <c r="AO3" s="403"/>
      <c r="AP3" s="403"/>
      <c r="AQ3" s="403"/>
      <c r="AR3" s="403"/>
      <c r="AS3" s="403"/>
      <c r="AT3" s="403"/>
      <c r="AU3" s="403"/>
      <c r="AV3" s="403"/>
      <c r="AW3" s="403"/>
      <c r="AX3" s="403"/>
      <c r="AY3" s="403"/>
      <c r="AZ3" s="403"/>
      <c r="BA3" s="403"/>
      <c r="BB3" s="403"/>
      <c r="BC3" s="403"/>
      <c r="BD3" s="390" t="s">
        <v>353</v>
      </c>
      <c r="BE3" s="391">
        <v>301</v>
      </c>
      <c r="BF3" s="392" t="s">
        <v>343</v>
      </c>
      <c r="BG3" s="404" t="s">
        <v>613</v>
      </c>
      <c r="BH3" s="404"/>
      <c r="BI3" s="404"/>
      <c r="BJ3" s="404"/>
      <c r="BK3" s="404"/>
      <c r="BL3" s="404"/>
      <c r="BM3" s="405"/>
      <c r="BN3" s="395" t="s">
        <v>346</v>
      </c>
      <c r="BO3" s="396"/>
      <c r="BP3" s="395" t="s">
        <v>354</v>
      </c>
      <c r="BQ3" s="396"/>
      <c r="BR3" s="397" t="s">
        <v>869</v>
      </c>
      <c r="BS3" s="398"/>
      <c r="BT3" s="398"/>
      <c r="BU3" s="398"/>
      <c r="BV3" s="398"/>
      <c r="BW3" s="398"/>
      <c r="BX3" s="398"/>
      <c r="BY3" s="399"/>
      <c r="BZ3" s="400" t="s">
        <v>348</v>
      </c>
      <c r="CA3" s="401"/>
      <c r="CB3" s="402"/>
      <c r="CC3" s="403"/>
      <c r="CD3" s="403"/>
      <c r="CE3" s="403"/>
      <c r="CF3" s="403"/>
      <c r="CG3" s="403"/>
      <c r="CH3" s="403"/>
      <c r="CI3" s="403"/>
      <c r="CJ3" s="403"/>
      <c r="CK3" s="403"/>
      <c r="CL3" s="403"/>
      <c r="CM3" s="403"/>
      <c r="CN3" s="403"/>
      <c r="CO3" s="403"/>
      <c r="CP3" s="403"/>
      <c r="CQ3" s="403"/>
      <c r="CR3" s="403"/>
      <c r="CS3" s="403"/>
      <c r="CT3" s="403"/>
      <c r="CU3" s="403"/>
      <c r="CV3" s="403"/>
      <c r="CW3" s="403"/>
      <c r="CX3" s="403"/>
      <c r="CY3" s="403"/>
      <c r="CZ3" s="403"/>
      <c r="DA3" s="403"/>
      <c r="DB3" s="403"/>
      <c r="DC3" s="403"/>
      <c r="DD3" s="403"/>
      <c r="DE3" s="403"/>
      <c r="DF3" s="403"/>
      <c r="DG3" s="390" t="s">
        <v>353</v>
      </c>
      <c r="DH3" s="391">
        <v>301</v>
      </c>
      <c r="DI3" s="392" t="s">
        <v>343</v>
      </c>
      <c r="DJ3" s="404" t="s">
        <v>613</v>
      </c>
      <c r="DK3" s="404"/>
      <c r="DL3" s="404"/>
      <c r="DM3" s="404"/>
      <c r="DN3" s="404"/>
      <c r="DO3" s="404"/>
      <c r="DP3" s="405"/>
      <c r="DQ3" s="395" t="s">
        <v>346</v>
      </c>
      <c r="DR3" s="396"/>
      <c r="DS3" s="395" t="s">
        <v>354</v>
      </c>
      <c r="DT3" s="396"/>
      <c r="DU3" s="397" t="s">
        <v>773</v>
      </c>
      <c r="DV3" s="398"/>
      <c r="DW3" s="398"/>
      <c r="DX3" s="398"/>
      <c r="DY3" s="398"/>
      <c r="DZ3" s="398"/>
      <c r="EA3" s="398"/>
      <c r="EB3" s="399"/>
      <c r="EC3" s="400" t="s">
        <v>348</v>
      </c>
      <c r="ED3" s="401"/>
      <c r="EE3" s="402"/>
      <c r="EF3" s="403"/>
      <c r="EG3" s="403"/>
      <c r="EH3" s="403"/>
      <c r="EI3" s="403"/>
      <c r="EJ3" s="403"/>
      <c r="EK3" s="403"/>
      <c r="EL3" s="403"/>
      <c r="EM3" s="403"/>
      <c r="EN3" s="403"/>
      <c r="EO3" s="403"/>
      <c r="EP3" s="403"/>
      <c r="EQ3" s="403"/>
      <c r="ER3" s="403"/>
      <c r="ES3" s="403"/>
      <c r="ET3" s="403"/>
      <c r="EU3" s="403"/>
      <c r="EV3" s="403"/>
      <c r="EW3" s="403"/>
      <c r="EX3" s="403"/>
      <c r="EY3" s="403"/>
      <c r="EZ3" s="403"/>
      <c r="FA3" s="403"/>
      <c r="FB3" s="403"/>
      <c r="FC3" s="403"/>
      <c r="FD3" s="403"/>
      <c r="FE3" s="403"/>
      <c r="FF3" s="403"/>
      <c r="FG3" s="403"/>
      <c r="FH3" s="403"/>
      <c r="FI3" s="403"/>
      <c r="FJ3" s="390" t="s">
        <v>349</v>
      </c>
      <c r="FK3" s="391">
        <v>301</v>
      </c>
      <c r="FL3" s="392" t="s">
        <v>343</v>
      </c>
      <c r="FM3" s="404" t="s">
        <v>613</v>
      </c>
      <c r="FN3" s="404"/>
      <c r="FO3" s="404"/>
      <c r="FP3" s="404"/>
      <c r="FQ3" s="404"/>
      <c r="FR3" s="404"/>
      <c r="FS3" s="405"/>
      <c r="FT3" s="395" t="s">
        <v>346</v>
      </c>
      <c r="FU3" s="396"/>
      <c r="FV3" s="395" t="s">
        <v>354</v>
      </c>
      <c r="FW3" s="396"/>
      <c r="FX3" s="397" t="s">
        <v>875</v>
      </c>
      <c r="FY3" s="398"/>
      <c r="FZ3" s="398"/>
      <c r="GA3" s="398"/>
      <c r="GB3" s="398"/>
      <c r="GC3" s="398"/>
      <c r="GD3" s="398"/>
      <c r="GE3" s="399"/>
      <c r="GF3" s="400" t="s">
        <v>348</v>
      </c>
      <c r="GG3" s="401"/>
      <c r="GH3" s="402"/>
      <c r="GI3" s="406"/>
      <c r="GJ3" s="407" t="s">
        <v>633</v>
      </c>
      <c r="GK3" s="408"/>
      <c r="GL3" s="408"/>
      <c r="GM3" s="408"/>
      <c r="GN3" s="408"/>
      <c r="GO3" s="408"/>
      <c r="GP3" s="408"/>
      <c r="GQ3" s="408"/>
      <c r="GR3" s="409"/>
      <c r="GS3" s="410"/>
      <c r="GT3" s="407" t="s">
        <v>451</v>
      </c>
      <c r="GU3" s="408"/>
      <c r="GV3" s="408"/>
      <c r="GW3" s="408"/>
      <c r="GX3" s="408"/>
      <c r="GY3" s="408"/>
      <c r="GZ3" s="408"/>
      <c r="HA3" s="408"/>
      <c r="HB3" s="409"/>
      <c r="HC3" s="411"/>
      <c r="HD3" s="434"/>
      <c r="HE3" s="413"/>
      <c r="HF3" s="413"/>
      <c r="HG3" s="383"/>
    </row>
    <row r="4" spans="1:353" ht="20.100000000000001" customHeight="1">
      <c r="A4" s="414"/>
      <c r="B4" s="415"/>
      <c r="C4" s="416"/>
      <c r="D4" s="417"/>
      <c r="E4" s="417"/>
      <c r="F4" s="417"/>
      <c r="G4" s="417"/>
      <c r="H4" s="417"/>
      <c r="I4" s="417"/>
      <c r="J4" s="418"/>
      <c r="K4" s="419"/>
      <c r="L4" s="420"/>
      <c r="M4" s="419"/>
      <c r="N4" s="420"/>
      <c r="O4" s="421" t="s">
        <v>355</v>
      </c>
      <c r="P4" s="422"/>
      <c r="Q4" s="423" t="s">
        <v>527</v>
      </c>
      <c r="R4" s="422"/>
      <c r="S4" s="424" t="s">
        <v>357</v>
      </c>
      <c r="T4" s="425"/>
      <c r="U4" s="426" t="s">
        <v>362</v>
      </c>
      <c r="V4" s="427"/>
      <c r="W4" s="428" t="s">
        <v>627</v>
      </c>
      <c r="X4" s="429"/>
      <c r="Y4" s="430"/>
      <c r="Z4" s="403"/>
      <c r="AA4" s="403"/>
      <c r="AB4" s="403"/>
      <c r="AC4" s="403"/>
      <c r="AD4" s="403"/>
      <c r="AE4" s="403"/>
      <c r="AF4" s="403"/>
      <c r="AG4" s="403"/>
      <c r="AH4" s="403"/>
      <c r="AI4" s="403"/>
      <c r="AJ4" s="403"/>
      <c r="AK4" s="403"/>
      <c r="AL4" s="403"/>
      <c r="AM4" s="403"/>
      <c r="AN4" s="403"/>
      <c r="AO4" s="403"/>
      <c r="AP4" s="403"/>
      <c r="AQ4" s="403"/>
      <c r="AR4" s="403"/>
      <c r="AS4" s="403"/>
      <c r="AT4" s="403"/>
      <c r="AU4" s="403"/>
      <c r="AV4" s="403"/>
      <c r="AW4" s="403"/>
      <c r="AX4" s="403"/>
      <c r="AY4" s="403"/>
      <c r="AZ4" s="403"/>
      <c r="BA4" s="403"/>
      <c r="BB4" s="403"/>
      <c r="BC4" s="403"/>
      <c r="BD4" s="414"/>
      <c r="BE4" s="415"/>
      <c r="BF4" s="416"/>
      <c r="BG4" s="431"/>
      <c r="BH4" s="431"/>
      <c r="BI4" s="431"/>
      <c r="BJ4" s="431"/>
      <c r="BK4" s="431"/>
      <c r="BL4" s="431"/>
      <c r="BM4" s="432"/>
      <c r="BN4" s="419"/>
      <c r="BO4" s="420"/>
      <c r="BP4" s="419"/>
      <c r="BQ4" s="420"/>
      <c r="BR4" s="421" t="s">
        <v>355</v>
      </c>
      <c r="BS4" s="422"/>
      <c r="BT4" s="423" t="s">
        <v>356</v>
      </c>
      <c r="BU4" s="422"/>
      <c r="BV4" s="424" t="s">
        <v>361</v>
      </c>
      <c r="BW4" s="425"/>
      <c r="BX4" s="426" t="s">
        <v>358</v>
      </c>
      <c r="BY4" s="427"/>
      <c r="BZ4" s="428" t="s">
        <v>628</v>
      </c>
      <c r="CA4" s="429"/>
      <c r="CB4" s="430"/>
      <c r="CC4" s="403"/>
      <c r="CD4" s="403"/>
      <c r="CE4" s="403"/>
      <c r="CF4" s="403"/>
      <c r="CG4" s="403"/>
      <c r="CH4" s="403"/>
      <c r="CI4" s="403"/>
      <c r="CJ4" s="403"/>
      <c r="CK4" s="403"/>
      <c r="CL4" s="403"/>
      <c r="CM4" s="403"/>
      <c r="CN4" s="403"/>
      <c r="CO4" s="403"/>
      <c r="CP4" s="403"/>
      <c r="CQ4" s="403"/>
      <c r="CR4" s="403"/>
      <c r="CS4" s="403"/>
      <c r="CT4" s="403"/>
      <c r="CU4" s="403"/>
      <c r="CV4" s="403"/>
      <c r="CW4" s="403"/>
      <c r="CX4" s="403"/>
      <c r="CY4" s="403"/>
      <c r="CZ4" s="403"/>
      <c r="DA4" s="403"/>
      <c r="DB4" s="403"/>
      <c r="DC4" s="403"/>
      <c r="DD4" s="403"/>
      <c r="DE4" s="403"/>
      <c r="DF4" s="403"/>
      <c r="DG4" s="414"/>
      <c r="DH4" s="415"/>
      <c r="DI4" s="416"/>
      <c r="DJ4" s="431"/>
      <c r="DK4" s="431"/>
      <c r="DL4" s="431"/>
      <c r="DM4" s="431"/>
      <c r="DN4" s="431"/>
      <c r="DO4" s="431"/>
      <c r="DP4" s="432"/>
      <c r="DQ4" s="419"/>
      <c r="DR4" s="420"/>
      <c r="DS4" s="419"/>
      <c r="DT4" s="420"/>
      <c r="DU4" s="421" t="s">
        <v>360</v>
      </c>
      <c r="DV4" s="422"/>
      <c r="DW4" s="423" t="s">
        <v>356</v>
      </c>
      <c r="DX4" s="422"/>
      <c r="DY4" s="424" t="s">
        <v>361</v>
      </c>
      <c r="DZ4" s="425"/>
      <c r="EA4" s="426" t="s">
        <v>358</v>
      </c>
      <c r="EB4" s="427"/>
      <c r="EC4" s="428" t="s">
        <v>627</v>
      </c>
      <c r="ED4" s="429"/>
      <c r="EE4" s="430"/>
      <c r="EF4" s="403"/>
      <c r="EG4" s="403"/>
      <c r="EH4" s="403"/>
      <c r="EI4" s="403"/>
      <c r="EJ4" s="403"/>
      <c r="EK4" s="403"/>
      <c r="EL4" s="403"/>
      <c r="EM4" s="403"/>
      <c r="EN4" s="403"/>
      <c r="EO4" s="403"/>
      <c r="EP4" s="403"/>
      <c r="EQ4" s="403"/>
      <c r="ER4" s="403"/>
      <c r="ES4" s="403"/>
      <c r="ET4" s="403"/>
      <c r="EU4" s="403"/>
      <c r="EV4" s="403"/>
      <c r="EW4" s="403"/>
      <c r="EX4" s="403"/>
      <c r="EY4" s="403"/>
      <c r="EZ4" s="403"/>
      <c r="FA4" s="403"/>
      <c r="FB4" s="403"/>
      <c r="FC4" s="403"/>
      <c r="FD4" s="403"/>
      <c r="FE4" s="403"/>
      <c r="FF4" s="403"/>
      <c r="FG4" s="403"/>
      <c r="FH4" s="403"/>
      <c r="FI4" s="403"/>
      <c r="FJ4" s="414"/>
      <c r="FK4" s="415"/>
      <c r="FL4" s="416"/>
      <c r="FM4" s="431"/>
      <c r="FN4" s="431"/>
      <c r="FO4" s="431"/>
      <c r="FP4" s="431"/>
      <c r="FQ4" s="431"/>
      <c r="FR4" s="431"/>
      <c r="FS4" s="432"/>
      <c r="FT4" s="419"/>
      <c r="FU4" s="420"/>
      <c r="FV4" s="419"/>
      <c r="FW4" s="420"/>
      <c r="FX4" s="421" t="s">
        <v>355</v>
      </c>
      <c r="FY4" s="422"/>
      <c r="FZ4" s="423" t="s">
        <v>356</v>
      </c>
      <c r="GA4" s="422"/>
      <c r="GB4" s="424" t="s">
        <v>361</v>
      </c>
      <c r="GC4" s="425"/>
      <c r="GD4" s="426" t="s">
        <v>362</v>
      </c>
      <c r="GE4" s="427"/>
      <c r="GF4" s="428" t="s">
        <v>614</v>
      </c>
      <c r="GG4" s="429"/>
      <c r="GH4" s="430"/>
      <c r="GI4" s="406"/>
      <c r="GJ4" s="433"/>
      <c r="GK4" s="433"/>
      <c r="GL4" s="433"/>
      <c r="GM4" s="433"/>
      <c r="GN4" s="433"/>
      <c r="GO4" s="433"/>
      <c r="GP4" s="433"/>
      <c r="GQ4" s="433"/>
      <c r="GR4" s="433"/>
      <c r="GS4" s="410"/>
      <c r="GT4" s="433"/>
      <c r="GU4" s="433"/>
      <c r="GV4" s="433"/>
      <c r="GW4" s="433"/>
      <c r="GX4" s="433"/>
      <c r="GY4" s="433"/>
      <c r="GZ4" s="433"/>
      <c r="HA4" s="433"/>
      <c r="HB4" s="433"/>
      <c r="HC4" s="1470"/>
      <c r="HD4" s="434"/>
      <c r="HE4" s="434"/>
      <c r="HF4" s="497"/>
      <c r="HG4" s="383"/>
      <c r="MO4" s="389" t="s">
        <v>614</v>
      </c>
    </row>
    <row r="5" spans="1:353" ht="24.95" customHeight="1" thickBot="1">
      <c r="A5" s="435" t="s">
        <v>364</v>
      </c>
      <c r="B5" s="436">
        <v>3</v>
      </c>
      <c r="C5" s="437" t="s">
        <v>365</v>
      </c>
      <c r="D5" s="438">
        <v>153.66999999999999</v>
      </c>
      <c r="E5" s="439" t="s">
        <v>366</v>
      </c>
      <c r="F5" s="440">
        <v>2.8</v>
      </c>
      <c r="G5" s="441" t="s">
        <v>556</v>
      </c>
      <c r="H5" s="442"/>
      <c r="I5" s="443">
        <v>430.3</v>
      </c>
      <c r="J5" s="444"/>
      <c r="K5" s="445">
        <v>480</v>
      </c>
      <c r="L5" s="446"/>
      <c r="M5" s="445">
        <v>130</v>
      </c>
      <c r="N5" s="446"/>
      <c r="O5" s="1463" t="s">
        <v>861</v>
      </c>
      <c r="P5" s="447"/>
      <c r="Q5" s="1464" t="s">
        <v>862</v>
      </c>
      <c r="R5" s="448"/>
      <c r="S5" s="1465" t="s">
        <v>863</v>
      </c>
      <c r="T5" s="449"/>
      <c r="U5" s="1466" t="s">
        <v>864</v>
      </c>
      <c r="V5" s="450"/>
      <c r="W5" s="451"/>
      <c r="X5" s="452"/>
      <c r="Y5" s="453"/>
      <c r="Z5" s="411"/>
      <c r="AA5" s="454"/>
      <c r="AB5" s="411"/>
      <c r="AC5" s="454"/>
      <c r="AD5" s="411"/>
      <c r="AE5" s="454"/>
      <c r="AF5" s="411"/>
      <c r="AG5" s="454"/>
      <c r="AH5" s="411"/>
      <c r="AI5" s="454"/>
      <c r="AJ5" s="411"/>
      <c r="AK5" s="454"/>
      <c r="AL5" s="411"/>
      <c r="AM5" s="454"/>
      <c r="AN5" s="411"/>
      <c r="AO5" s="454"/>
      <c r="AP5" s="411"/>
      <c r="AQ5" s="454"/>
      <c r="AR5" s="411"/>
      <c r="AS5" s="454"/>
      <c r="AT5" s="411"/>
      <c r="AU5" s="454"/>
      <c r="AV5" s="411"/>
      <c r="AW5" s="454"/>
      <c r="AX5" s="411"/>
      <c r="AY5" s="454"/>
      <c r="AZ5" s="411"/>
      <c r="BA5" s="454"/>
      <c r="BB5" s="411"/>
      <c r="BC5" s="411"/>
      <c r="BD5" s="435" t="s">
        <v>364</v>
      </c>
      <c r="BE5" s="436">
        <v>3</v>
      </c>
      <c r="BF5" s="437" t="s">
        <v>251</v>
      </c>
      <c r="BG5" s="438">
        <v>153.66999999999999</v>
      </c>
      <c r="BH5" s="439" t="s">
        <v>369</v>
      </c>
      <c r="BI5" s="440">
        <v>2.8</v>
      </c>
      <c r="BJ5" s="441" t="s">
        <v>556</v>
      </c>
      <c r="BK5" s="442"/>
      <c r="BL5" s="443">
        <v>430.3</v>
      </c>
      <c r="BM5" s="444"/>
      <c r="BN5" s="445">
        <v>480</v>
      </c>
      <c r="BO5" s="446"/>
      <c r="BP5" s="445">
        <v>130</v>
      </c>
      <c r="BQ5" s="446"/>
      <c r="BR5" s="1463" t="s">
        <v>865</v>
      </c>
      <c r="BS5" s="447"/>
      <c r="BT5" s="1464" t="s">
        <v>866</v>
      </c>
      <c r="BU5" s="448"/>
      <c r="BV5" s="1465" t="s">
        <v>867</v>
      </c>
      <c r="BW5" s="449"/>
      <c r="BX5" s="1466" t="s">
        <v>868</v>
      </c>
      <c r="BY5" s="450"/>
      <c r="BZ5" s="451"/>
      <c r="CA5" s="452"/>
      <c r="CB5" s="453"/>
      <c r="CC5" s="411"/>
      <c r="CD5" s="454"/>
      <c r="CE5" s="411"/>
      <c r="CF5" s="454"/>
      <c r="CG5" s="411"/>
      <c r="CH5" s="454"/>
      <c r="CI5" s="411"/>
      <c r="CJ5" s="454"/>
      <c r="CK5" s="411"/>
      <c r="CL5" s="454"/>
      <c r="CM5" s="411"/>
      <c r="CN5" s="454"/>
      <c r="CO5" s="411"/>
      <c r="CP5" s="454"/>
      <c r="CQ5" s="411"/>
      <c r="CR5" s="454"/>
      <c r="CS5" s="411"/>
      <c r="CT5" s="454"/>
      <c r="CU5" s="411"/>
      <c r="CV5" s="454"/>
      <c r="CW5" s="411"/>
      <c r="CX5" s="454"/>
      <c r="CY5" s="411"/>
      <c r="CZ5" s="454"/>
      <c r="DA5" s="411"/>
      <c r="DB5" s="454"/>
      <c r="DC5" s="411"/>
      <c r="DD5" s="454"/>
      <c r="DE5" s="411"/>
      <c r="DF5" s="411"/>
      <c r="DG5" s="435" t="s">
        <v>368</v>
      </c>
      <c r="DH5" s="436">
        <v>3</v>
      </c>
      <c r="DI5" s="437" t="s">
        <v>251</v>
      </c>
      <c r="DJ5" s="438">
        <v>153.66999999999999</v>
      </c>
      <c r="DK5" s="439" t="s">
        <v>369</v>
      </c>
      <c r="DL5" s="440">
        <v>2.8</v>
      </c>
      <c r="DM5" s="441" t="s">
        <v>367</v>
      </c>
      <c r="DN5" s="442"/>
      <c r="DO5" s="443">
        <v>430.3</v>
      </c>
      <c r="DP5" s="444"/>
      <c r="DQ5" s="445">
        <v>480</v>
      </c>
      <c r="DR5" s="446"/>
      <c r="DS5" s="445">
        <v>130</v>
      </c>
      <c r="DT5" s="446"/>
      <c r="DU5" s="1463" t="s">
        <v>865</v>
      </c>
      <c r="DV5" s="447"/>
      <c r="DW5" s="1464" t="s">
        <v>866</v>
      </c>
      <c r="DX5" s="448"/>
      <c r="DY5" s="1465" t="s">
        <v>870</v>
      </c>
      <c r="DZ5" s="449"/>
      <c r="EA5" s="1466" t="s">
        <v>868</v>
      </c>
      <c r="EB5" s="450"/>
      <c r="EC5" s="451"/>
      <c r="ED5" s="452"/>
      <c r="EE5" s="453"/>
      <c r="EF5" s="411"/>
      <c r="EG5" s="454"/>
      <c r="EH5" s="411"/>
      <c r="EI5" s="454"/>
      <c r="EJ5" s="411"/>
      <c r="EK5" s="454"/>
      <c r="EL5" s="411"/>
      <c r="EM5" s="454"/>
      <c r="EN5" s="411"/>
      <c r="EO5" s="454"/>
      <c r="EP5" s="411"/>
      <c r="EQ5" s="454"/>
      <c r="ER5" s="411"/>
      <c r="ES5" s="454"/>
      <c r="ET5" s="411"/>
      <c r="EU5" s="454"/>
      <c r="EV5" s="411"/>
      <c r="EW5" s="454"/>
      <c r="EX5" s="411"/>
      <c r="EY5" s="454"/>
      <c r="EZ5" s="411"/>
      <c r="FA5" s="454"/>
      <c r="FB5" s="411"/>
      <c r="FC5" s="454"/>
      <c r="FD5" s="411"/>
      <c r="FE5" s="454"/>
      <c r="FF5" s="411"/>
      <c r="FG5" s="454"/>
      <c r="FH5" s="411"/>
      <c r="FI5" s="411"/>
      <c r="FJ5" s="435" t="s">
        <v>368</v>
      </c>
      <c r="FK5" s="436">
        <v>3</v>
      </c>
      <c r="FL5" s="437" t="s">
        <v>251</v>
      </c>
      <c r="FM5" s="438">
        <v>153.66999999999999</v>
      </c>
      <c r="FN5" s="439" t="s">
        <v>366</v>
      </c>
      <c r="FO5" s="440">
        <v>2.8</v>
      </c>
      <c r="FP5" s="441" t="s">
        <v>367</v>
      </c>
      <c r="FQ5" s="442"/>
      <c r="FR5" s="443">
        <v>430.3</v>
      </c>
      <c r="FS5" s="444"/>
      <c r="FT5" s="445">
        <v>480</v>
      </c>
      <c r="FU5" s="446"/>
      <c r="FV5" s="445">
        <v>130</v>
      </c>
      <c r="FW5" s="446"/>
      <c r="FX5" s="1463" t="s">
        <v>871</v>
      </c>
      <c r="FY5" s="447"/>
      <c r="FZ5" s="1464" t="s">
        <v>872</v>
      </c>
      <c r="GA5" s="448"/>
      <c r="GB5" s="1465" t="s">
        <v>873</v>
      </c>
      <c r="GC5" s="449"/>
      <c r="GD5" s="1466" t="s">
        <v>874</v>
      </c>
      <c r="GE5" s="450"/>
      <c r="GF5" s="451"/>
      <c r="GG5" s="452"/>
      <c r="GH5" s="453"/>
      <c r="GI5" s="455"/>
      <c r="GJ5" s="406"/>
      <c r="GK5" s="456" t="s">
        <v>452</v>
      </c>
      <c r="GL5" s="456"/>
      <c r="GM5" s="456"/>
      <c r="GN5" s="406" t="s">
        <v>634</v>
      </c>
      <c r="GO5" s="457"/>
      <c r="GP5" s="457"/>
      <c r="GQ5" s="457"/>
      <c r="GR5" s="406"/>
      <c r="GS5" s="406"/>
      <c r="GT5" s="410"/>
      <c r="GU5" s="456" t="s">
        <v>454</v>
      </c>
      <c r="GV5" s="456"/>
      <c r="GW5" s="456"/>
      <c r="GX5" s="406" t="s">
        <v>634</v>
      </c>
      <c r="GY5" s="457"/>
      <c r="GZ5" s="457"/>
      <c r="HA5" s="457"/>
      <c r="HB5" s="406"/>
      <c r="HC5" s="458"/>
      <c r="HD5" s="434"/>
      <c r="HE5" s="434"/>
      <c r="HF5" s="497"/>
      <c r="HG5" s="383"/>
    </row>
    <row r="6" spans="1:353" ht="20.100000000000001" customHeight="1" thickBot="1">
      <c r="A6" s="459" t="s">
        <v>370</v>
      </c>
      <c r="B6" s="460"/>
      <c r="C6" s="461" t="s">
        <v>371</v>
      </c>
      <c r="D6" s="461"/>
      <c r="E6" s="461"/>
      <c r="F6" s="462">
        <v>0</v>
      </c>
      <c r="G6" s="462"/>
      <c r="H6" s="461" t="s">
        <v>372</v>
      </c>
      <c r="I6" s="461"/>
      <c r="J6" s="461"/>
      <c r="K6" s="461"/>
      <c r="L6" s="461"/>
      <c r="M6" s="463">
        <v>0</v>
      </c>
      <c r="N6" s="463"/>
      <c r="O6" s="464"/>
      <c r="P6" s="465"/>
      <c r="Q6" s="465" t="s">
        <v>629</v>
      </c>
      <c r="R6" s="466">
        <v>0</v>
      </c>
      <c r="S6" s="466"/>
      <c r="T6" s="467"/>
      <c r="U6" s="468" t="s">
        <v>559</v>
      </c>
      <c r="V6" s="469">
        <v>0</v>
      </c>
      <c r="W6" s="469"/>
      <c r="X6" s="470"/>
      <c r="Y6" s="465"/>
      <c r="Z6" s="465"/>
      <c r="AA6" s="465"/>
      <c r="AB6" s="463"/>
      <c r="AC6" s="463"/>
      <c r="AD6" s="465"/>
      <c r="AE6" s="464"/>
      <c r="AF6" s="460"/>
      <c r="AG6" s="465"/>
      <c r="AH6" s="465"/>
      <c r="AI6" s="470"/>
      <c r="AJ6" s="465"/>
      <c r="AK6" s="470"/>
      <c r="AL6" s="465"/>
      <c r="AM6" s="470"/>
      <c r="AN6" s="465"/>
      <c r="AO6" s="470"/>
      <c r="AP6" s="465"/>
      <c r="AQ6" s="470"/>
      <c r="AR6" s="465"/>
      <c r="AS6" s="470"/>
      <c r="AT6" s="465"/>
      <c r="AU6" s="470"/>
      <c r="AV6" s="465"/>
      <c r="AW6" s="470"/>
      <c r="AX6" s="471"/>
      <c r="AY6" s="470"/>
      <c r="AZ6" s="465"/>
      <c r="BA6" s="470"/>
      <c r="BB6" s="37" t="s">
        <v>30</v>
      </c>
      <c r="BC6" s="472"/>
      <c r="BD6" s="459" t="s">
        <v>377</v>
      </c>
      <c r="BE6" s="460"/>
      <c r="BF6" s="461" t="s">
        <v>371</v>
      </c>
      <c r="BG6" s="461"/>
      <c r="BH6" s="461"/>
      <c r="BI6" s="462">
        <v>0</v>
      </c>
      <c r="BJ6" s="462"/>
      <c r="BK6" s="461" t="s">
        <v>372</v>
      </c>
      <c r="BL6" s="461"/>
      <c r="BM6" s="461"/>
      <c r="BN6" s="461"/>
      <c r="BO6" s="461"/>
      <c r="BP6" s="463">
        <v>0</v>
      </c>
      <c r="BQ6" s="463"/>
      <c r="BR6" s="464"/>
      <c r="BS6" s="465"/>
      <c r="BT6" s="465" t="s">
        <v>252</v>
      </c>
      <c r="BU6" s="466">
        <v>0</v>
      </c>
      <c r="BV6" s="466"/>
      <c r="BW6" s="467"/>
      <c r="BX6" s="468" t="s">
        <v>253</v>
      </c>
      <c r="BY6" s="469">
        <v>0</v>
      </c>
      <c r="BZ6" s="469"/>
      <c r="CA6" s="470"/>
      <c r="CB6" s="465"/>
      <c r="CC6" s="465"/>
      <c r="CD6" s="470"/>
      <c r="CE6" s="463"/>
      <c r="CF6" s="463"/>
      <c r="CG6" s="465"/>
      <c r="CH6" s="464"/>
      <c r="CI6" s="460"/>
      <c r="CJ6" s="465"/>
      <c r="CK6" s="465"/>
      <c r="CL6" s="470"/>
      <c r="CM6" s="465"/>
      <c r="CN6" s="470"/>
      <c r="CO6" s="465"/>
      <c r="CP6" s="470"/>
      <c r="CQ6" s="465"/>
      <c r="CR6" s="470"/>
      <c r="CS6" s="465"/>
      <c r="CT6" s="470"/>
      <c r="CU6" s="465"/>
      <c r="CV6" s="470"/>
      <c r="CW6" s="465"/>
      <c r="CX6" s="470"/>
      <c r="CY6" s="465"/>
      <c r="CZ6" s="470"/>
      <c r="DA6" s="465"/>
      <c r="DB6" s="470"/>
      <c r="DC6" s="465"/>
      <c r="DD6" s="470"/>
      <c r="DE6" s="473" t="s">
        <v>35</v>
      </c>
      <c r="DF6" s="474"/>
      <c r="DG6" s="459" t="s">
        <v>377</v>
      </c>
      <c r="DH6" s="460"/>
      <c r="DI6" s="461" t="s">
        <v>371</v>
      </c>
      <c r="DJ6" s="461"/>
      <c r="DK6" s="461"/>
      <c r="DL6" s="462">
        <v>0</v>
      </c>
      <c r="DM6" s="462"/>
      <c r="DN6" s="461" t="s">
        <v>372</v>
      </c>
      <c r="DO6" s="461"/>
      <c r="DP6" s="461"/>
      <c r="DQ6" s="461"/>
      <c r="DR6" s="461"/>
      <c r="DS6" s="463">
        <v>0</v>
      </c>
      <c r="DT6" s="463"/>
      <c r="DU6" s="464"/>
      <c r="DV6" s="465"/>
      <c r="DW6" s="465" t="s">
        <v>252</v>
      </c>
      <c r="DX6" s="466">
        <v>0</v>
      </c>
      <c r="DY6" s="466"/>
      <c r="DZ6" s="467"/>
      <c r="EA6" s="468" t="s">
        <v>253</v>
      </c>
      <c r="EB6" s="469">
        <v>0</v>
      </c>
      <c r="EC6" s="469"/>
      <c r="ED6" s="470"/>
      <c r="EE6" s="465"/>
      <c r="EF6" s="470"/>
      <c r="EG6" s="465"/>
      <c r="EH6" s="460"/>
      <c r="EI6" s="470"/>
      <c r="EJ6" s="465"/>
      <c r="EK6" s="464"/>
      <c r="EL6" s="460"/>
      <c r="EM6" s="465"/>
      <c r="EN6" s="465"/>
      <c r="EO6" s="470"/>
      <c r="EP6" s="465"/>
      <c r="EQ6" s="470"/>
      <c r="ER6" s="465"/>
      <c r="ES6" s="470"/>
      <c r="ET6" s="465"/>
      <c r="EU6" s="470"/>
      <c r="EV6" s="465"/>
      <c r="EW6" s="470"/>
      <c r="EX6" s="465"/>
      <c r="EY6" s="470"/>
      <c r="EZ6" s="465"/>
      <c r="FA6" s="470"/>
      <c r="FB6" s="465"/>
      <c r="FC6" s="470"/>
      <c r="FD6" s="465"/>
      <c r="FE6" s="470"/>
      <c r="FF6" s="465"/>
      <c r="FG6" s="470"/>
      <c r="FH6" s="475" t="s">
        <v>36</v>
      </c>
      <c r="FI6" s="474"/>
      <c r="FJ6" s="459" t="s">
        <v>380</v>
      </c>
      <c r="FK6" s="460"/>
      <c r="FL6" s="461" t="s">
        <v>371</v>
      </c>
      <c r="FM6" s="461"/>
      <c r="FN6" s="461"/>
      <c r="FO6" s="462">
        <v>0</v>
      </c>
      <c r="FP6" s="462"/>
      <c r="FQ6" s="461" t="s">
        <v>372</v>
      </c>
      <c r="FR6" s="461"/>
      <c r="FS6" s="461"/>
      <c r="FT6" s="461"/>
      <c r="FU6" s="461"/>
      <c r="FV6" s="463">
        <v>0</v>
      </c>
      <c r="FW6" s="463"/>
      <c r="FX6" s="464"/>
      <c r="FY6" s="465"/>
      <c r="FZ6" s="465" t="s">
        <v>561</v>
      </c>
      <c r="GA6" s="466">
        <v>0</v>
      </c>
      <c r="GB6" s="466"/>
      <c r="GC6" s="467"/>
      <c r="GD6" s="468" t="s">
        <v>382</v>
      </c>
      <c r="GE6" s="469">
        <v>0</v>
      </c>
      <c r="GF6" s="469"/>
      <c r="GG6" s="470"/>
      <c r="GH6" s="465"/>
      <c r="GI6" s="465"/>
      <c r="GJ6" s="476"/>
      <c r="GK6" s="477" t="s">
        <v>573</v>
      </c>
      <c r="GL6" s="477"/>
      <c r="GM6" s="477"/>
      <c r="GN6" s="478">
        <v>2</v>
      </c>
      <c r="GO6" s="479"/>
      <c r="GP6" s="479"/>
      <c r="GQ6" s="479"/>
      <c r="GR6" s="476"/>
      <c r="GS6" s="476"/>
      <c r="GT6" s="410"/>
      <c r="GU6" s="477" t="s">
        <v>457</v>
      </c>
      <c r="GV6" s="477"/>
      <c r="GW6" s="477"/>
      <c r="GX6" s="478">
        <v>2</v>
      </c>
      <c r="GY6" s="410"/>
      <c r="GZ6" s="410"/>
      <c r="HA6" s="479"/>
      <c r="HB6" s="479"/>
      <c r="HC6" s="480"/>
      <c r="HD6" s="434"/>
      <c r="HE6" s="434"/>
      <c r="HF6" s="497"/>
      <c r="HG6" s="383"/>
    </row>
    <row r="7" spans="1:353" ht="20.100000000000001" customHeight="1">
      <c r="A7" s="481" t="s">
        <v>254</v>
      </c>
      <c r="B7" s="482"/>
      <c r="C7" s="482"/>
      <c r="D7" s="482"/>
      <c r="E7" s="482"/>
      <c r="F7" s="483"/>
      <c r="G7" s="484" t="s">
        <v>255</v>
      </c>
      <c r="H7" s="485"/>
      <c r="I7" s="485"/>
      <c r="J7" s="485"/>
      <c r="K7" s="485"/>
      <c r="L7" s="485"/>
      <c r="M7" s="485"/>
      <c r="N7" s="485"/>
      <c r="O7" s="485"/>
      <c r="P7" s="485"/>
      <c r="Q7" s="485"/>
      <c r="R7" s="485"/>
      <c r="S7" s="485"/>
      <c r="T7" s="485"/>
      <c r="U7" s="485"/>
      <c r="V7" s="485"/>
      <c r="W7" s="485"/>
      <c r="X7" s="485"/>
      <c r="Y7" s="485"/>
      <c r="Z7" s="485"/>
      <c r="AA7" s="485"/>
      <c r="AB7" s="485"/>
      <c r="AC7" s="485"/>
      <c r="AD7" s="485"/>
      <c r="AE7" s="485"/>
      <c r="AF7" s="485"/>
      <c r="AG7" s="485"/>
      <c r="AH7" s="485"/>
      <c r="AI7" s="485"/>
      <c r="AJ7" s="485"/>
      <c r="AK7" s="485"/>
      <c r="AL7" s="485"/>
      <c r="AM7" s="485"/>
      <c r="AN7" s="485"/>
      <c r="AO7" s="485"/>
      <c r="AP7" s="485"/>
      <c r="AQ7" s="485"/>
      <c r="AR7" s="485"/>
      <c r="AS7" s="485"/>
      <c r="AT7" s="485"/>
      <c r="AU7" s="485"/>
      <c r="AV7" s="485"/>
      <c r="AW7" s="485"/>
      <c r="AX7" s="485"/>
      <c r="AY7" s="485"/>
      <c r="AZ7" s="485"/>
      <c r="BA7" s="485"/>
      <c r="BB7" s="486"/>
      <c r="BC7" s="458"/>
      <c r="BD7" s="481" t="s">
        <v>254</v>
      </c>
      <c r="BE7" s="482"/>
      <c r="BF7" s="482"/>
      <c r="BG7" s="482"/>
      <c r="BH7" s="482"/>
      <c r="BI7" s="483"/>
      <c r="BJ7" s="484" t="s">
        <v>256</v>
      </c>
      <c r="BK7" s="485"/>
      <c r="BL7" s="485"/>
      <c r="BM7" s="485"/>
      <c r="BN7" s="485"/>
      <c r="BO7" s="485"/>
      <c r="BP7" s="485"/>
      <c r="BQ7" s="485"/>
      <c r="BR7" s="485"/>
      <c r="BS7" s="485"/>
      <c r="BT7" s="485"/>
      <c r="BU7" s="485"/>
      <c r="BV7" s="485"/>
      <c r="BW7" s="485"/>
      <c r="BX7" s="485"/>
      <c r="BY7" s="485"/>
      <c r="BZ7" s="485"/>
      <c r="CA7" s="485"/>
      <c r="CB7" s="485"/>
      <c r="CC7" s="485"/>
      <c r="CD7" s="485"/>
      <c r="CE7" s="485"/>
      <c r="CF7" s="485"/>
      <c r="CG7" s="485"/>
      <c r="CH7" s="485"/>
      <c r="CI7" s="485"/>
      <c r="CJ7" s="485"/>
      <c r="CK7" s="485"/>
      <c r="CL7" s="485"/>
      <c r="CM7" s="485"/>
      <c r="CN7" s="485"/>
      <c r="CO7" s="485"/>
      <c r="CP7" s="485"/>
      <c r="CQ7" s="485"/>
      <c r="CR7" s="485"/>
      <c r="CS7" s="485"/>
      <c r="CT7" s="485"/>
      <c r="CU7" s="485"/>
      <c r="CV7" s="485"/>
      <c r="CW7" s="485"/>
      <c r="CX7" s="485"/>
      <c r="CY7" s="485"/>
      <c r="CZ7" s="485"/>
      <c r="DA7" s="485"/>
      <c r="DB7" s="485"/>
      <c r="DC7" s="485"/>
      <c r="DD7" s="485"/>
      <c r="DE7" s="486"/>
      <c r="DF7" s="458"/>
      <c r="DG7" s="481" t="s">
        <v>254</v>
      </c>
      <c r="DH7" s="482"/>
      <c r="DI7" s="482"/>
      <c r="DJ7" s="482"/>
      <c r="DK7" s="482"/>
      <c r="DL7" s="483"/>
      <c r="DM7" s="484" t="s">
        <v>257</v>
      </c>
      <c r="DN7" s="485"/>
      <c r="DO7" s="485"/>
      <c r="DP7" s="485"/>
      <c r="DQ7" s="485"/>
      <c r="DR7" s="485"/>
      <c r="DS7" s="485"/>
      <c r="DT7" s="485"/>
      <c r="DU7" s="485"/>
      <c r="DV7" s="485"/>
      <c r="DW7" s="485"/>
      <c r="DX7" s="485"/>
      <c r="DY7" s="485"/>
      <c r="DZ7" s="485"/>
      <c r="EA7" s="485"/>
      <c r="EB7" s="485"/>
      <c r="EC7" s="485"/>
      <c r="ED7" s="485"/>
      <c r="EE7" s="485"/>
      <c r="EF7" s="485"/>
      <c r="EG7" s="485"/>
      <c r="EH7" s="485"/>
      <c r="EI7" s="485"/>
      <c r="EJ7" s="485"/>
      <c r="EK7" s="485"/>
      <c r="EL7" s="485"/>
      <c r="EM7" s="485"/>
      <c r="EN7" s="485"/>
      <c r="EO7" s="485"/>
      <c r="EP7" s="485"/>
      <c r="EQ7" s="485"/>
      <c r="ER7" s="485"/>
      <c r="ES7" s="485"/>
      <c r="ET7" s="485"/>
      <c r="EU7" s="485"/>
      <c r="EV7" s="485"/>
      <c r="EW7" s="485"/>
      <c r="EX7" s="485"/>
      <c r="EY7" s="485"/>
      <c r="EZ7" s="485"/>
      <c r="FA7" s="485"/>
      <c r="FB7" s="485"/>
      <c r="FC7" s="485"/>
      <c r="FD7" s="485"/>
      <c r="FE7" s="485"/>
      <c r="FF7" s="485"/>
      <c r="FG7" s="485"/>
      <c r="FH7" s="486"/>
      <c r="FI7" s="458"/>
      <c r="FJ7" s="481" t="s">
        <v>254</v>
      </c>
      <c r="FK7" s="482"/>
      <c r="FL7" s="482"/>
      <c r="FM7" s="482"/>
      <c r="FN7" s="482"/>
      <c r="FO7" s="483"/>
      <c r="FP7" s="487" t="s">
        <v>258</v>
      </c>
      <c r="FQ7" s="488"/>
      <c r="FR7" s="488"/>
      <c r="FS7" s="488"/>
      <c r="FT7" s="488"/>
      <c r="FU7" s="488"/>
      <c r="FV7" s="489" t="s">
        <v>259</v>
      </c>
      <c r="FW7" s="490"/>
      <c r="FX7" s="490"/>
      <c r="FY7" s="490"/>
      <c r="FZ7" s="490"/>
      <c r="GA7" s="490"/>
      <c r="GB7" s="490"/>
      <c r="GC7" s="490"/>
      <c r="GD7" s="490"/>
      <c r="GE7" s="491"/>
      <c r="GF7" s="492"/>
      <c r="GG7" s="457"/>
      <c r="GH7" s="457"/>
      <c r="GI7" s="457"/>
      <c r="GJ7" s="493"/>
      <c r="GK7" s="494"/>
      <c r="GL7" s="494"/>
      <c r="GM7" s="494"/>
      <c r="GN7" s="495"/>
      <c r="GO7" s="495"/>
      <c r="GP7" s="494"/>
      <c r="GQ7" s="494"/>
      <c r="GR7" s="494"/>
      <c r="GS7" s="494"/>
      <c r="GT7" s="494"/>
      <c r="GU7" s="494"/>
      <c r="GV7" s="494"/>
      <c r="GW7" s="494"/>
      <c r="GX7" s="494"/>
      <c r="GY7" s="494"/>
      <c r="GZ7" s="494"/>
      <c r="HA7" s="494"/>
      <c r="HB7" s="494"/>
      <c r="HC7" s="534"/>
      <c r="HD7" s="434"/>
      <c r="HE7" s="434"/>
      <c r="HF7" s="497"/>
      <c r="HG7" s="383"/>
    </row>
    <row r="8" spans="1:353" s="524" customFormat="1" ht="20.100000000000001" customHeight="1">
      <c r="A8" s="498"/>
      <c r="B8" s="499"/>
      <c r="C8" s="499"/>
      <c r="D8" s="499"/>
      <c r="E8" s="499"/>
      <c r="F8" s="500"/>
      <c r="G8" s="501">
        <v>1</v>
      </c>
      <c r="H8" s="502"/>
      <c r="I8" s="503">
        <v>2</v>
      </c>
      <c r="J8" s="502"/>
      <c r="K8" s="503">
        <v>3</v>
      </c>
      <c r="L8" s="502"/>
      <c r="M8" s="503">
        <v>4</v>
      </c>
      <c r="N8" s="502"/>
      <c r="O8" s="503">
        <v>5</v>
      </c>
      <c r="P8" s="502"/>
      <c r="Q8" s="503">
        <v>6</v>
      </c>
      <c r="R8" s="502"/>
      <c r="S8" s="503">
        <v>7</v>
      </c>
      <c r="T8" s="502"/>
      <c r="U8" s="503">
        <v>8</v>
      </c>
      <c r="V8" s="502"/>
      <c r="W8" s="503">
        <v>9</v>
      </c>
      <c r="X8" s="502"/>
      <c r="Y8" s="503">
        <v>10</v>
      </c>
      <c r="Z8" s="502"/>
      <c r="AA8" s="503">
        <v>11</v>
      </c>
      <c r="AB8" s="502"/>
      <c r="AC8" s="503">
        <v>12</v>
      </c>
      <c r="AD8" s="502"/>
      <c r="AE8" s="503">
        <v>13</v>
      </c>
      <c r="AF8" s="502"/>
      <c r="AG8" s="503">
        <v>14</v>
      </c>
      <c r="AH8" s="502"/>
      <c r="AI8" s="503">
        <v>15</v>
      </c>
      <c r="AJ8" s="502"/>
      <c r="AK8" s="503">
        <v>16</v>
      </c>
      <c r="AL8" s="502"/>
      <c r="AM8" s="503">
        <v>17</v>
      </c>
      <c r="AN8" s="502"/>
      <c r="AO8" s="503">
        <v>18</v>
      </c>
      <c r="AP8" s="502"/>
      <c r="AQ8" s="503">
        <v>19</v>
      </c>
      <c r="AR8" s="502"/>
      <c r="AS8" s="503">
        <v>20</v>
      </c>
      <c r="AT8" s="502"/>
      <c r="AU8" s="503">
        <v>21</v>
      </c>
      <c r="AV8" s="502"/>
      <c r="AW8" s="503">
        <v>22</v>
      </c>
      <c r="AX8" s="502"/>
      <c r="AY8" s="503">
        <v>23</v>
      </c>
      <c r="AZ8" s="502"/>
      <c r="BA8" s="503">
        <v>24</v>
      </c>
      <c r="BB8" s="504"/>
      <c r="BC8" s="480"/>
      <c r="BD8" s="498"/>
      <c r="BE8" s="499"/>
      <c r="BF8" s="499"/>
      <c r="BG8" s="499"/>
      <c r="BH8" s="499"/>
      <c r="BI8" s="500"/>
      <c r="BJ8" s="505">
        <v>1</v>
      </c>
      <c r="BK8" s="506"/>
      <c r="BL8" s="507">
        <v>2</v>
      </c>
      <c r="BM8" s="506"/>
      <c r="BN8" s="507">
        <v>3</v>
      </c>
      <c r="BO8" s="506"/>
      <c r="BP8" s="507">
        <v>4</v>
      </c>
      <c r="BQ8" s="506"/>
      <c r="BR8" s="507">
        <v>5</v>
      </c>
      <c r="BS8" s="506"/>
      <c r="BT8" s="507">
        <v>6</v>
      </c>
      <c r="BU8" s="506"/>
      <c r="BV8" s="507">
        <v>7</v>
      </c>
      <c r="BW8" s="506"/>
      <c r="BX8" s="507">
        <v>8</v>
      </c>
      <c r="BY8" s="506"/>
      <c r="BZ8" s="507">
        <v>9</v>
      </c>
      <c r="CA8" s="506"/>
      <c r="CB8" s="507">
        <v>10</v>
      </c>
      <c r="CC8" s="506"/>
      <c r="CD8" s="507">
        <v>11</v>
      </c>
      <c r="CE8" s="506"/>
      <c r="CF8" s="507">
        <v>12</v>
      </c>
      <c r="CG8" s="506"/>
      <c r="CH8" s="507">
        <v>13</v>
      </c>
      <c r="CI8" s="506"/>
      <c r="CJ8" s="507">
        <v>14</v>
      </c>
      <c r="CK8" s="506"/>
      <c r="CL8" s="507">
        <v>15</v>
      </c>
      <c r="CM8" s="506"/>
      <c r="CN8" s="507">
        <v>16</v>
      </c>
      <c r="CO8" s="506"/>
      <c r="CP8" s="507">
        <v>17</v>
      </c>
      <c r="CQ8" s="506"/>
      <c r="CR8" s="507">
        <v>18</v>
      </c>
      <c r="CS8" s="506"/>
      <c r="CT8" s="507">
        <v>19</v>
      </c>
      <c r="CU8" s="506"/>
      <c r="CV8" s="507">
        <v>20</v>
      </c>
      <c r="CW8" s="506"/>
      <c r="CX8" s="507">
        <v>21</v>
      </c>
      <c r="CY8" s="506"/>
      <c r="CZ8" s="507">
        <v>22</v>
      </c>
      <c r="DA8" s="506"/>
      <c r="DB8" s="507">
        <v>23</v>
      </c>
      <c r="DC8" s="506"/>
      <c r="DD8" s="507">
        <v>24</v>
      </c>
      <c r="DE8" s="508"/>
      <c r="DF8" s="480"/>
      <c r="DG8" s="498"/>
      <c r="DH8" s="499"/>
      <c r="DI8" s="499"/>
      <c r="DJ8" s="499"/>
      <c r="DK8" s="499"/>
      <c r="DL8" s="500"/>
      <c r="DM8" s="509">
        <v>1</v>
      </c>
      <c r="DN8" s="510"/>
      <c r="DO8" s="511">
        <v>2</v>
      </c>
      <c r="DP8" s="510"/>
      <c r="DQ8" s="511">
        <v>3</v>
      </c>
      <c r="DR8" s="510"/>
      <c r="DS8" s="511">
        <v>4</v>
      </c>
      <c r="DT8" s="510"/>
      <c r="DU8" s="511">
        <v>5</v>
      </c>
      <c r="DV8" s="510"/>
      <c r="DW8" s="511">
        <v>6</v>
      </c>
      <c r="DX8" s="510"/>
      <c r="DY8" s="511">
        <v>7</v>
      </c>
      <c r="DZ8" s="510"/>
      <c r="EA8" s="511">
        <v>8</v>
      </c>
      <c r="EB8" s="510"/>
      <c r="EC8" s="511">
        <v>9</v>
      </c>
      <c r="ED8" s="510"/>
      <c r="EE8" s="511">
        <v>10</v>
      </c>
      <c r="EF8" s="510"/>
      <c r="EG8" s="511">
        <v>11</v>
      </c>
      <c r="EH8" s="510"/>
      <c r="EI8" s="511">
        <v>12</v>
      </c>
      <c r="EJ8" s="510"/>
      <c r="EK8" s="511">
        <v>13</v>
      </c>
      <c r="EL8" s="510"/>
      <c r="EM8" s="511">
        <v>14</v>
      </c>
      <c r="EN8" s="510"/>
      <c r="EO8" s="511">
        <v>15</v>
      </c>
      <c r="EP8" s="510"/>
      <c r="EQ8" s="511">
        <v>16</v>
      </c>
      <c r="ER8" s="510"/>
      <c r="ES8" s="511">
        <v>17</v>
      </c>
      <c r="ET8" s="510"/>
      <c r="EU8" s="511">
        <v>18</v>
      </c>
      <c r="EV8" s="510"/>
      <c r="EW8" s="511">
        <v>19</v>
      </c>
      <c r="EX8" s="510"/>
      <c r="EY8" s="511">
        <v>20</v>
      </c>
      <c r="EZ8" s="510"/>
      <c r="FA8" s="511">
        <v>21</v>
      </c>
      <c r="FB8" s="510"/>
      <c r="FC8" s="511">
        <v>22</v>
      </c>
      <c r="FD8" s="510"/>
      <c r="FE8" s="511">
        <v>23</v>
      </c>
      <c r="FF8" s="510"/>
      <c r="FG8" s="511">
        <v>24</v>
      </c>
      <c r="FH8" s="512"/>
      <c r="FI8" s="480"/>
      <c r="FJ8" s="498"/>
      <c r="FK8" s="499"/>
      <c r="FL8" s="499"/>
      <c r="FM8" s="499"/>
      <c r="FN8" s="499"/>
      <c r="FO8" s="500"/>
      <c r="FP8" s="513" t="s">
        <v>260</v>
      </c>
      <c r="FQ8" s="514"/>
      <c r="FR8" s="515"/>
      <c r="FS8" s="516" t="s">
        <v>261</v>
      </c>
      <c r="FT8" s="516"/>
      <c r="FU8" s="517"/>
      <c r="FV8" s="518"/>
      <c r="FW8" s="519"/>
      <c r="FX8" s="519"/>
      <c r="FY8" s="519"/>
      <c r="FZ8" s="519"/>
      <c r="GA8" s="519"/>
      <c r="GB8" s="519"/>
      <c r="GC8" s="519"/>
      <c r="GD8" s="519"/>
      <c r="GE8" s="520"/>
      <c r="GF8" s="492"/>
      <c r="GG8" s="476"/>
      <c r="GH8" s="476"/>
      <c r="GI8" s="476"/>
      <c r="GJ8" s="521" t="s">
        <v>429</v>
      </c>
      <c r="GK8" s="521"/>
      <c r="GL8" s="522"/>
      <c r="GM8" s="523"/>
      <c r="GN8" s="522"/>
      <c r="GO8" s="523"/>
      <c r="GP8" s="522"/>
      <c r="GQ8" s="522"/>
      <c r="GR8" s="522"/>
      <c r="GS8" s="522"/>
      <c r="GT8" s="521" t="s">
        <v>429</v>
      </c>
      <c r="GU8" s="521"/>
      <c r="GV8" s="410"/>
      <c r="GW8" s="476"/>
      <c r="GX8" s="479"/>
      <c r="GY8" s="476"/>
      <c r="GZ8" s="479"/>
      <c r="HA8" s="523"/>
      <c r="HB8" s="523"/>
      <c r="HC8" s="523"/>
      <c r="HD8" s="434"/>
      <c r="HE8" s="434"/>
      <c r="HF8" s="1468"/>
      <c r="HG8" s="1468"/>
    </row>
    <row r="9" spans="1:353" ht="22.5" customHeight="1">
      <c r="A9" s="525" t="s">
        <v>262</v>
      </c>
      <c r="B9" s="526" t="s">
        <v>263</v>
      </c>
      <c r="C9" s="527" t="s">
        <v>264</v>
      </c>
      <c r="D9" s="527" t="s">
        <v>599</v>
      </c>
      <c r="E9" s="528" t="s">
        <v>600</v>
      </c>
      <c r="F9" s="529" t="s">
        <v>267</v>
      </c>
      <c r="G9" s="530" t="s">
        <v>601</v>
      </c>
      <c r="H9" s="531" t="s">
        <v>602</v>
      </c>
      <c r="I9" s="532" t="s">
        <v>270</v>
      </c>
      <c r="J9" s="531" t="s">
        <v>602</v>
      </c>
      <c r="K9" s="532" t="s">
        <v>270</v>
      </c>
      <c r="L9" s="531" t="s">
        <v>602</v>
      </c>
      <c r="M9" s="532" t="s">
        <v>270</v>
      </c>
      <c r="N9" s="531" t="s">
        <v>602</v>
      </c>
      <c r="O9" s="532" t="s">
        <v>270</v>
      </c>
      <c r="P9" s="531" t="s">
        <v>602</v>
      </c>
      <c r="Q9" s="532" t="s">
        <v>270</v>
      </c>
      <c r="R9" s="531" t="s">
        <v>602</v>
      </c>
      <c r="S9" s="532" t="s">
        <v>270</v>
      </c>
      <c r="T9" s="531" t="s">
        <v>602</v>
      </c>
      <c r="U9" s="532" t="s">
        <v>270</v>
      </c>
      <c r="V9" s="531" t="s">
        <v>602</v>
      </c>
      <c r="W9" s="532" t="s">
        <v>270</v>
      </c>
      <c r="X9" s="531" t="s">
        <v>602</v>
      </c>
      <c r="Y9" s="532" t="s">
        <v>270</v>
      </c>
      <c r="Z9" s="531" t="s">
        <v>602</v>
      </c>
      <c r="AA9" s="532" t="s">
        <v>270</v>
      </c>
      <c r="AB9" s="531" t="s">
        <v>602</v>
      </c>
      <c r="AC9" s="532" t="s">
        <v>270</v>
      </c>
      <c r="AD9" s="531" t="s">
        <v>602</v>
      </c>
      <c r="AE9" s="532" t="s">
        <v>270</v>
      </c>
      <c r="AF9" s="531" t="s">
        <v>602</v>
      </c>
      <c r="AG9" s="532" t="s">
        <v>270</v>
      </c>
      <c r="AH9" s="531" t="s">
        <v>602</v>
      </c>
      <c r="AI9" s="532" t="s">
        <v>270</v>
      </c>
      <c r="AJ9" s="531" t="s">
        <v>602</v>
      </c>
      <c r="AK9" s="532" t="s">
        <v>270</v>
      </c>
      <c r="AL9" s="531" t="s">
        <v>602</v>
      </c>
      <c r="AM9" s="532" t="s">
        <v>270</v>
      </c>
      <c r="AN9" s="531" t="s">
        <v>602</v>
      </c>
      <c r="AO9" s="532" t="s">
        <v>270</v>
      </c>
      <c r="AP9" s="531" t="s">
        <v>602</v>
      </c>
      <c r="AQ9" s="532" t="s">
        <v>270</v>
      </c>
      <c r="AR9" s="531" t="s">
        <v>602</v>
      </c>
      <c r="AS9" s="532" t="s">
        <v>270</v>
      </c>
      <c r="AT9" s="531" t="s">
        <v>602</v>
      </c>
      <c r="AU9" s="532" t="s">
        <v>270</v>
      </c>
      <c r="AV9" s="531" t="s">
        <v>602</v>
      </c>
      <c r="AW9" s="532" t="s">
        <v>270</v>
      </c>
      <c r="AX9" s="531" t="s">
        <v>602</v>
      </c>
      <c r="AY9" s="532" t="s">
        <v>270</v>
      </c>
      <c r="AZ9" s="531" t="s">
        <v>602</v>
      </c>
      <c r="BA9" s="532" t="s">
        <v>270</v>
      </c>
      <c r="BB9" s="533" t="s">
        <v>271</v>
      </c>
      <c r="BC9" s="496"/>
      <c r="BD9" s="525" t="s">
        <v>262</v>
      </c>
      <c r="BE9" s="526" t="s">
        <v>263</v>
      </c>
      <c r="BF9" s="527" t="s">
        <v>264</v>
      </c>
      <c r="BG9" s="527" t="s">
        <v>599</v>
      </c>
      <c r="BH9" s="528" t="s">
        <v>600</v>
      </c>
      <c r="BI9" s="529" t="s">
        <v>267</v>
      </c>
      <c r="BJ9" s="530" t="s">
        <v>601</v>
      </c>
      <c r="BK9" s="531" t="s">
        <v>602</v>
      </c>
      <c r="BL9" s="532" t="s">
        <v>270</v>
      </c>
      <c r="BM9" s="531" t="s">
        <v>602</v>
      </c>
      <c r="BN9" s="532" t="s">
        <v>270</v>
      </c>
      <c r="BO9" s="531" t="s">
        <v>602</v>
      </c>
      <c r="BP9" s="532" t="s">
        <v>270</v>
      </c>
      <c r="BQ9" s="531" t="s">
        <v>602</v>
      </c>
      <c r="BR9" s="532" t="s">
        <v>270</v>
      </c>
      <c r="BS9" s="531" t="s">
        <v>602</v>
      </c>
      <c r="BT9" s="532" t="s">
        <v>270</v>
      </c>
      <c r="BU9" s="531" t="s">
        <v>602</v>
      </c>
      <c r="BV9" s="532" t="s">
        <v>270</v>
      </c>
      <c r="BW9" s="531" t="s">
        <v>602</v>
      </c>
      <c r="BX9" s="532" t="s">
        <v>270</v>
      </c>
      <c r="BY9" s="531" t="s">
        <v>602</v>
      </c>
      <c r="BZ9" s="532" t="s">
        <v>270</v>
      </c>
      <c r="CA9" s="531" t="s">
        <v>602</v>
      </c>
      <c r="CB9" s="532" t="s">
        <v>270</v>
      </c>
      <c r="CC9" s="531" t="s">
        <v>602</v>
      </c>
      <c r="CD9" s="532" t="s">
        <v>270</v>
      </c>
      <c r="CE9" s="531" t="s">
        <v>602</v>
      </c>
      <c r="CF9" s="532" t="s">
        <v>270</v>
      </c>
      <c r="CG9" s="531" t="s">
        <v>602</v>
      </c>
      <c r="CH9" s="532" t="s">
        <v>270</v>
      </c>
      <c r="CI9" s="531" t="s">
        <v>602</v>
      </c>
      <c r="CJ9" s="532" t="s">
        <v>270</v>
      </c>
      <c r="CK9" s="531" t="s">
        <v>602</v>
      </c>
      <c r="CL9" s="532" t="s">
        <v>270</v>
      </c>
      <c r="CM9" s="531" t="s">
        <v>602</v>
      </c>
      <c r="CN9" s="532" t="s">
        <v>270</v>
      </c>
      <c r="CO9" s="531" t="s">
        <v>602</v>
      </c>
      <c r="CP9" s="532" t="s">
        <v>270</v>
      </c>
      <c r="CQ9" s="531" t="s">
        <v>602</v>
      </c>
      <c r="CR9" s="532" t="s">
        <v>270</v>
      </c>
      <c r="CS9" s="531" t="s">
        <v>602</v>
      </c>
      <c r="CT9" s="532" t="s">
        <v>270</v>
      </c>
      <c r="CU9" s="531" t="s">
        <v>602</v>
      </c>
      <c r="CV9" s="532" t="s">
        <v>270</v>
      </c>
      <c r="CW9" s="531" t="s">
        <v>602</v>
      </c>
      <c r="CX9" s="532" t="s">
        <v>270</v>
      </c>
      <c r="CY9" s="531" t="s">
        <v>602</v>
      </c>
      <c r="CZ9" s="532" t="s">
        <v>270</v>
      </c>
      <c r="DA9" s="531" t="s">
        <v>602</v>
      </c>
      <c r="DB9" s="532" t="s">
        <v>270</v>
      </c>
      <c r="DC9" s="531" t="s">
        <v>602</v>
      </c>
      <c r="DD9" s="532" t="s">
        <v>270</v>
      </c>
      <c r="DE9" s="533" t="s">
        <v>271</v>
      </c>
      <c r="DF9" s="496"/>
      <c r="DG9" s="525" t="s">
        <v>262</v>
      </c>
      <c r="DH9" s="526" t="s">
        <v>263</v>
      </c>
      <c r="DI9" s="527" t="s">
        <v>264</v>
      </c>
      <c r="DJ9" s="527" t="s">
        <v>599</v>
      </c>
      <c r="DK9" s="528" t="s">
        <v>600</v>
      </c>
      <c r="DL9" s="529" t="s">
        <v>267</v>
      </c>
      <c r="DM9" s="530" t="s">
        <v>601</v>
      </c>
      <c r="DN9" s="531" t="s">
        <v>602</v>
      </c>
      <c r="DO9" s="532" t="s">
        <v>270</v>
      </c>
      <c r="DP9" s="531" t="s">
        <v>602</v>
      </c>
      <c r="DQ9" s="532" t="s">
        <v>270</v>
      </c>
      <c r="DR9" s="531" t="s">
        <v>602</v>
      </c>
      <c r="DS9" s="532" t="s">
        <v>270</v>
      </c>
      <c r="DT9" s="531" t="s">
        <v>602</v>
      </c>
      <c r="DU9" s="532" t="s">
        <v>270</v>
      </c>
      <c r="DV9" s="531" t="s">
        <v>602</v>
      </c>
      <c r="DW9" s="532" t="s">
        <v>270</v>
      </c>
      <c r="DX9" s="531" t="s">
        <v>602</v>
      </c>
      <c r="DY9" s="532" t="s">
        <v>270</v>
      </c>
      <c r="DZ9" s="531" t="s">
        <v>602</v>
      </c>
      <c r="EA9" s="532" t="s">
        <v>270</v>
      </c>
      <c r="EB9" s="531" t="s">
        <v>602</v>
      </c>
      <c r="EC9" s="532" t="s">
        <v>270</v>
      </c>
      <c r="ED9" s="531" t="s">
        <v>602</v>
      </c>
      <c r="EE9" s="532" t="s">
        <v>270</v>
      </c>
      <c r="EF9" s="531" t="s">
        <v>602</v>
      </c>
      <c r="EG9" s="532" t="s">
        <v>270</v>
      </c>
      <c r="EH9" s="531" t="s">
        <v>602</v>
      </c>
      <c r="EI9" s="532" t="s">
        <v>270</v>
      </c>
      <c r="EJ9" s="531" t="s">
        <v>602</v>
      </c>
      <c r="EK9" s="532" t="s">
        <v>270</v>
      </c>
      <c r="EL9" s="531" t="s">
        <v>602</v>
      </c>
      <c r="EM9" s="532" t="s">
        <v>270</v>
      </c>
      <c r="EN9" s="531" t="s">
        <v>602</v>
      </c>
      <c r="EO9" s="532" t="s">
        <v>270</v>
      </c>
      <c r="EP9" s="531" t="s">
        <v>602</v>
      </c>
      <c r="EQ9" s="532" t="s">
        <v>270</v>
      </c>
      <c r="ER9" s="531" t="s">
        <v>602</v>
      </c>
      <c r="ES9" s="532" t="s">
        <v>270</v>
      </c>
      <c r="ET9" s="531" t="s">
        <v>602</v>
      </c>
      <c r="EU9" s="532" t="s">
        <v>270</v>
      </c>
      <c r="EV9" s="531" t="s">
        <v>602</v>
      </c>
      <c r="EW9" s="532" t="s">
        <v>270</v>
      </c>
      <c r="EX9" s="531" t="s">
        <v>602</v>
      </c>
      <c r="EY9" s="532" t="s">
        <v>270</v>
      </c>
      <c r="EZ9" s="531" t="s">
        <v>602</v>
      </c>
      <c r="FA9" s="532" t="s">
        <v>270</v>
      </c>
      <c r="FB9" s="531" t="s">
        <v>602</v>
      </c>
      <c r="FC9" s="532" t="s">
        <v>270</v>
      </c>
      <c r="FD9" s="531" t="s">
        <v>602</v>
      </c>
      <c r="FE9" s="532" t="s">
        <v>270</v>
      </c>
      <c r="FF9" s="531" t="s">
        <v>602</v>
      </c>
      <c r="FG9" s="532" t="s">
        <v>270</v>
      </c>
      <c r="FH9" s="533" t="s">
        <v>271</v>
      </c>
      <c r="FI9" s="534"/>
      <c r="FJ9" s="535" t="s">
        <v>262</v>
      </c>
      <c r="FK9" s="526" t="s">
        <v>263</v>
      </c>
      <c r="FL9" s="527" t="s">
        <v>264</v>
      </c>
      <c r="FM9" s="527" t="s">
        <v>599</v>
      </c>
      <c r="FN9" s="528" t="s">
        <v>600</v>
      </c>
      <c r="FO9" s="529" t="s">
        <v>267</v>
      </c>
      <c r="FP9" s="536" t="s">
        <v>272</v>
      </c>
      <c r="FQ9" s="537" t="s">
        <v>270</v>
      </c>
      <c r="FR9" s="531" t="s">
        <v>271</v>
      </c>
      <c r="FS9" s="538" t="s">
        <v>272</v>
      </c>
      <c r="FT9" s="537" t="s">
        <v>270</v>
      </c>
      <c r="FU9" s="531" t="s">
        <v>271</v>
      </c>
      <c r="FV9" s="518"/>
      <c r="FW9" s="519"/>
      <c r="FX9" s="519"/>
      <c r="FY9" s="519"/>
      <c r="FZ9" s="519"/>
      <c r="GA9" s="519"/>
      <c r="GB9" s="519"/>
      <c r="GC9" s="519"/>
      <c r="GD9" s="539"/>
      <c r="GE9" s="540"/>
      <c r="GF9" s="492"/>
      <c r="GG9" s="541"/>
      <c r="GH9" s="541"/>
      <c r="GI9" s="541"/>
      <c r="GJ9" s="522"/>
      <c r="GK9" s="523" t="s">
        <v>458</v>
      </c>
      <c r="GL9" s="522"/>
      <c r="GM9" s="523"/>
      <c r="GN9" s="522"/>
      <c r="GO9" s="542">
        <v>0.92</v>
      </c>
      <c r="GP9" s="522"/>
      <c r="GQ9" s="522"/>
      <c r="GR9" s="522"/>
      <c r="GS9" s="522"/>
      <c r="GT9" s="543"/>
      <c r="GU9" s="476" t="s">
        <v>459</v>
      </c>
      <c r="GV9" s="410"/>
      <c r="GW9" s="476"/>
      <c r="GX9" s="544">
        <v>1</v>
      </c>
      <c r="GY9" s="476"/>
      <c r="GZ9" s="479"/>
      <c r="HA9" s="523"/>
      <c r="HB9" s="523"/>
      <c r="HC9" s="523"/>
      <c r="HD9" s="434"/>
      <c r="HE9" s="434"/>
      <c r="HF9" s="1472"/>
      <c r="HG9" s="1472"/>
    </row>
    <row r="10" spans="1:353" ht="20.100000000000001" customHeight="1">
      <c r="A10" s="545"/>
      <c r="B10" s="546" t="s">
        <v>220</v>
      </c>
      <c r="C10" s="547" t="s">
        <v>74</v>
      </c>
      <c r="D10" s="548">
        <f>ROUND(16.2*0.85,2)</f>
        <v>13.77</v>
      </c>
      <c r="E10" s="546" t="s">
        <v>616</v>
      </c>
      <c r="F10" s="547"/>
      <c r="G10" s="549">
        <v>0</v>
      </c>
      <c r="H10" s="550">
        <f>ROUND(ROUND(16.2*0.85,2)*0.46*0,0)</f>
        <v>0</v>
      </c>
      <c r="I10" s="551">
        <v>0</v>
      </c>
      <c r="J10" s="552">
        <f>ROUND(ROUND(16.2*0.85,2)*0.46*0,0)</f>
        <v>0</v>
      </c>
      <c r="K10" s="553">
        <v>0</v>
      </c>
      <c r="L10" s="552">
        <f>ROUND(ROUND(16.2*0.85,2)*0.46*0,0)</f>
        <v>0</v>
      </c>
      <c r="M10" s="553">
        <v>0</v>
      </c>
      <c r="N10" s="552">
        <f>ROUND(ROUND(16.2*0.85,2)*0.46*0,0)</f>
        <v>0</v>
      </c>
      <c r="O10" s="553">
        <v>0</v>
      </c>
      <c r="P10" s="552">
        <f>ROUND(ROUND(16.2*0.85,2)*0.46*0,0)</f>
        <v>0</v>
      </c>
      <c r="Q10" s="553">
        <v>0</v>
      </c>
      <c r="R10" s="552">
        <f>ROUND(ROUND(16.2*0.85,2)*0.46*0,0)</f>
        <v>0</v>
      </c>
      <c r="S10" s="553">
        <v>0</v>
      </c>
      <c r="T10" s="552">
        <f>ROUND(ROUND(16.2*0.85,2)*0.46*0,0)</f>
        <v>0</v>
      </c>
      <c r="U10" s="553">
        <v>0</v>
      </c>
      <c r="V10" s="552">
        <f>ROUND(ROUND(16.2*0.85,2)*0.46*0,0)</f>
        <v>0</v>
      </c>
      <c r="W10" s="553">
        <v>116</v>
      </c>
      <c r="X10" s="552">
        <f>ROUND(ROUND(16.2*0.85,2)*0.46*116,0)</f>
        <v>735</v>
      </c>
      <c r="Y10" s="553">
        <v>129</v>
      </c>
      <c r="Z10" s="552">
        <f>ROUND(ROUND(16.2*0.85,2)*0.46*129,0)</f>
        <v>817</v>
      </c>
      <c r="AA10" s="553">
        <v>199</v>
      </c>
      <c r="AB10" s="552">
        <f>ROUND(ROUND(16.2*0.85,2)*0.46*199,0)</f>
        <v>1261</v>
      </c>
      <c r="AC10" s="553">
        <v>265</v>
      </c>
      <c r="AD10" s="552">
        <f>ROUND(ROUND(16.2*0.85,2)*0.46*265,0)</f>
        <v>1679</v>
      </c>
      <c r="AE10" s="553">
        <v>298</v>
      </c>
      <c r="AF10" s="552">
        <f>ROUND(ROUND(16.2*0.85,2)*0.46*298,0)</f>
        <v>1888</v>
      </c>
      <c r="AG10" s="553">
        <v>285</v>
      </c>
      <c r="AH10" s="552">
        <f>ROUND(ROUND(16.2*0.85,2)*0.46*285,0)</f>
        <v>1805</v>
      </c>
      <c r="AI10" s="553">
        <v>230</v>
      </c>
      <c r="AJ10" s="552">
        <f>ROUND(ROUND(16.2*0.85,2)*0.46*230,0)</f>
        <v>1457</v>
      </c>
      <c r="AK10" s="553">
        <v>152</v>
      </c>
      <c r="AL10" s="552">
        <f>ROUND(ROUND(16.2*0.85,2)*0.46*152,0)</f>
        <v>963</v>
      </c>
      <c r="AM10" s="553">
        <v>76</v>
      </c>
      <c r="AN10" s="552">
        <f>ROUND(ROUND(16.2*0.85,2)*0.46*76,0)</f>
        <v>481</v>
      </c>
      <c r="AO10" s="553">
        <v>16</v>
      </c>
      <c r="AP10" s="552">
        <f>ROUND(ROUND(16.2*0.85,2)*0.46*16,0)</f>
        <v>101</v>
      </c>
      <c r="AQ10" s="553">
        <v>0</v>
      </c>
      <c r="AR10" s="552">
        <f>ROUND(ROUND(16.2*0.85,2)*0.46*0,0)</f>
        <v>0</v>
      </c>
      <c r="AS10" s="553">
        <v>0</v>
      </c>
      <c r="AT10" s="552">
        <f>ROUND(ROUND(16.2*0.85,2)*0.46*0,0)</f>
        <v>0</v>
      </c>
      <c r="AU10" s="553">
        <v>0</v>
      </c>
      <c r="AV10" s="552">
        <f>ROUND(ROUND(16.2*0.85,2)*0.46*0,0)</f>
        <v>0</v>
      </c>
      <c r="AW10" s="553">
        <v>0</v>
      </c>
      <c r="AX10" s="552">
        <f>ROUND(ROUND(16.2*0.85,2)*0.46*0,0)</f>
        <v>0</v>
      </c>
      <c r="AY10" s="553">
        <v>0</v>
      </c>
      <c r="AZ10" s="552">
        <f>ROUND(ROUND(16.2*0.85,2)*0.46*0,0)</f>
        <v>0</v>
      </c>
      <c r="BA10" s="553">
        <v>0</v>
      </c>
      <c r="BB10" s="554">
        <f>ROUND(ROUND(16.2*0.85,2)*0.46*0,0)</f>
        <v>0</v>
      </c>
      <c r="BC10" s="555"/>
      <c r="BD10" s="545"/>
      <c r="BE10" s="546"/>
      <c r="BF10" s="547"/>
      <c r="BG10" s="548"/>
      <c r="BH10" s="546"/>
      <c r="BI10" s="547"/>
      <c r="BJ10" s="549">
        <v>0</v>
      </c>
      <c r="BK10" s="550">
        <f>ROUND(ROUND(16.2*0.85,2)*0.46*0,0)</f>
        <v>0</v>
      </c>
      <c r="BL10" s="551">
        <v>0</v>
      </c>
      <c r="BM10" s="552">
        <f>ROUND(ROUND(16.2*0.85,2)*0.46*0,0)</f>
        <v>0</v>
      </c>
      <c r="BN10" s="553">
        <v>0</v>
      </c>
      <c r="BO10" s="552">
        <f>ROUND(ROUND(16.2*0.85,2)*0.46*0,0)</f>
        <v>0</v>
      </c>
      <c r="BP10" s="553">
        <v>0</v>
      </c>
      <c r="BQ10" s="552">
        <f>ROUND(ROUND(16.2*0.85,2)*0.46*0,0)</f>
        <v>0</v>
      </c>
      <c r="BR10" s="553">
        <v>0</v>
      </c>
      <c r="BS10" s="552">
        <f>ROUND(ROUND(16.2*0.85,2)*0.46*0,0)</f>
        <v>0</v>
      </c>
      <c r="BT10" s="553">
        <v>0</v>
      </c>
      <c r="BU10" s="552">
        <f>ROUND(ROUND(16.2*0.85,2)*0.46*0,0)</f>
        <v>0</v>
      </c>
      <c r="BV10" s="553">
        <v>0</v>
      </c>
      <c r="BW10" s="552">
        <f>ROUND(ROUND(16.2*0.85,2)*0.46*0,0)</f>
        <v>0</v>
      </c>
      <c r="BX10" s="553">
        <v>0</v>
      </c>
      <c r="BY10" s="552">
        <f>ROUND(ROUND(16.2*0.85,2)*0.46*0,0)</f>
        <v>0</v>
      </c>
      <c r="BZ10" s="553">
        <v>103</v>
      </c>
      <c r="CA10" s="552">
        <f>ROUND(ROUND(16.2*0.85,2)*0.46*103,0)</f>
        <v>652</v>
      </c>
      <c r="CB10" s="553">
        <v>121</v>
      </c>
      <c r="CC10" s="552">
        <f>ROUND(ROUND(16.2*0.85,2)*0.46*121,0)</f>
        <v>766</v>
      </c>
      <c r="CD10" s="553">
        <v>203</v>
      </c>
      <c r="CE10" s="552">
        <f>ROUND(ROUND(16.2*0.85,2)*0.46*203,0)</f>
        <v>1286</v>
      </c>
      <c r="CF10" s="553">
        <v>279</v>
      </c>
      <c r="CG10" s="552">
        <f>ROUND(ROUND(16.2*0.85,2)*0.46*279,0)</f>
        <v>1767</v>
      </c>
      <c r="CH10" s="553">
        <v>314</v>
      </c>
      <c r="CI10" s="552">
        <f>ROUND(ROUND(16.2*0.85,2)*0.46*314,0)</f>
        <v>1989</v>
      </c>
      <c r="CJ10" s="553">
        <v>306</v>
      </c>
      <c r="CK10" s="552">
        <f>ROUND(ROUND(16.2*0.85,2)*0.46*306,0)</f>
        <v>1938</v>
      </c>
      <c r="CL10" s="553">
        <v>259</v>
      </c>
      <c r="CM10" s="552">
        <f>ROUND(ROUND(16.2*0.85,2)*0.46*259,0)</f>
        <v>1641</v>
      </c>
      <c r="CN10" s="553">
        <v>180</v>
      </c>
      <c r="CO10" s="552">
        <f>ROUND(ROUND(16.2*0.85,2)*0.46*180,0)</f>
        <v>1140</v>
      </c>
      <c r="CP10" s="553">
        <v>89</v>
      </c>
      <c r="CQ10" s="552">
        <f>ROUND(ROUND(16.2*0.85,2)*0.46*89,0)</f>
        <v>564</v>
      </c>
      <c r="CR10" s="553">
        <v>19</v>
      </c>
      <c r="CS10" s="552">
        <f>ROUND(ROUND(16.2*0.85,2)*0.46*19,0)</f>
        <v>120</v>
      </c>
      <c r="CT10" s="553">
        <v>0</v>
      </c>
      <c r="CU10" s="552">
        <f>ROUND(ROUND(16.2*0.85,2)*0.46*0,0)</f>
        <v>0</v>
      </c>
      <c r="CV10" s="553">
        <v>0</v>
      </c>
      <c r="CW10" s="552">
        <f>ROUND(ROUND(16.2*0.85,2)*0.46*0,0)</f>
        <v>0</v>
      </c>
      <c r="CX10" s="553">
        <v>0</v>
      </c>
      <c r="CY10" s="552">
        <f>ROUND(ROUND(16.2*0.85,2)*0.46*0,0)</f>
        <v>0</v>
      </c>
      <c r="CZ10" s="553">
        <v>0</v>
      </c>
      <c r="DA10" s="552">
        <f>ROUND(ROUND(16.2*0.85,2)*0.46*0,0)</f>
        <v>0</v>
      </c>
      <c r="DB10" s="553">
        <v>0</v>
      </c>
      <c r="DC10" s="552">
        <f>ROUND(ROUND(16.2*0.85,2)*0.46*0,0)</f>
        <v>0</v>
      </c>
      <c r="DD10" s="553">
        <v>0</v>
      </c>
      <c r="DE10" s="554">
        <f>ROUND(ROUND(16.2*0.85,2)*0.46*0,0)</f>
        <v>0</v>
      </c>
      <c r="DF10" s="555"/>
      <c r="DG10" s="545"/>
      <c r="DH10" s="546"/>
      <c r="DI10" s="547"/>
      <c r="DJ10" s="548"/>
      <c r="DK10" s="546"/>
      <c r="DL10" s="547"/>
      <c r="DM10" s="549">
        <v>0</v>
      </c>
      <c r="DN10" s="550">
        <f>ROUND(ROUND(16.2*0.85,2)*0.46*0,0)</f>
        <v>0</v>
      </c>
      <c r="DO10" s="551">
        <v>0</v>
      </c>
      <c r="DP10" s="552">
        <f>ROUND(ROUND(16.2*0.85,2)*0.46*0,0)</f>
        <v>0</v>
      </c>
      <c r="DQ10" s="553">
        <v>0</v>
      </c>
      <c r="DR10" s="552">
        <f>ROUND(ROUND(16.2*0.85,2)*0.46*0,0)</f>
        <v>0</v>
      </c>
      <c r="DS10" s="553">
        <v>0</v>
      </c>
      <c r="DT10" s="552">
        <f>ROUND(ROUND(16.2*0.85,2)*0.46*0,0)</f>
        <v>0</v>
      </c>
      <c r="DU10" s="553">
        <v>0</v>
      </c>
      <c r="DV10" s="552">
        <f>ROUND(ROUND(16.2*0.85,2)*0.46*0,0)</f>
        <v>0</v>
      </c>
      <c r="DW10" s="553">
        <v>0</v>
      </c>
      <c r="DX10" s="552">
        <f>ROUND(ROUND(16.2*0.85,2)*0.46*0,0)</f>
        <v>0</v>
      </c>
      <c r="DY10" s="553">
        <v>0</v>
      </c>
      <c r="DZ10" s="552">
        <f>ROUND(ROUND(16.2*0.85,2)*0.46*0,0)</f>
        <v>0</v>
      </c>
      <c r="EA10" s="553">
        <v>0</v>
      </c>
      <c r="EB10" s="552">
        <f>ROUND(ROUND(16.2*0.85,2)*0.46*0,0)</f>
        <v>0</v>
      </c>
      <c r="EC10" s="553">
        <v>121</v>
      </c>
      <c r="ED10" s="552">
        <f>ROUND(ROUND(16.2*0.85,2)*0.46*121,0)</f>
        <v>766</v>
      </c>
      <c r="EE10" s="553">
        <v>272</v>
      </c>
      <c r="EF10" s="552">
        <f>ROUND(ROUND(16.2*0.85,2)*0.46*272,0)</f>
        <v>1723</v>
      </c>
      <c r="EG10" s="553">
        <v>410</v>
      </c>
      <c r="EH10" s="552">
        <f>ROUND(ROUND(16.2*0.85,2)*0.46*410,0)</f>
        <v>2597</v>
      </c>
      <c r="EI10" s="553">
        <v>492</v>
      </c>
      <c r="EJ10" s="552">
        <f>ROUND(ROUND(16.2*0.85,2)*0.46*492,0)</f>
        <v>3116</v>
      </c>
      <c r="EK10" s="553">
        <v>510</v>
      </c>
      <c r="EL10" s="552">
        <f>ROUND(ROUND(16.2*0.85,2)*0.46*510,0)</f>
        <v>3230</v>
      </c>
      <c r="EM10" s="553">
        <v>476</v>
      </c>
      <c r="EN10" s="552">
        <f>ROUND(ROUND(16.2*0.85,2)*0.46*476,0)</f>
        <v>3015</v>
      </c>
      <c r="EO10" s="553">
        <v>386</v>
      </c>
      <c r="EP10" s="552">
        <f>ROUND(ROUND(16.2*0.85,2)*0.46*386,0)</f>
        <v>2445</v>
      </c>
      <c r="EQ10" s="553">
        <v>257</v>
      </c>
      <c r="ER10" s="552">
        <f>ROUND(ROUND(16.2*0.85,2)*0.46*257,0)</f>
        <v>1628</v>
      </c>
      <c r="ES10" s="553">
        <v>104</v>
      </c>
      <c r="ET10" s="552">
        <f>ROUND(ROUND(16.2*0.85,2)*0.46*104,0)</f>
        <v>659</v>
      </c>
      <c r="EU10" s="553">
        <v>-1</v>
      </c>
      <c r="EV10" s="552">
        <f>ROUND(ROUND(16.2*0.85,2)*0.46*-1,0)</f>
        <v>-6</v>
      </c>
      <c r="EW10" s="553">
        <v>0</v>
      </c>
      <c r="EX10" s="552">
        <f>ROUND(ROUND(16.2*0.85,2)*0.46*0,0)</f>
        <v>0</v>
      </c>
      <c r="EY10" s="553">
        <v>0</v>
      </c>
      <c r="EZ10" s="552">
        <f>ROUND(ROUND(16.2*0.85,2)*0.46*0,0)</f>
        <v>0</v>
      </c>
      <c r="FA10" s="553">
        <v>0</v>
      </c>
      <c r="FB10" s="552">
        <f>ROUND(ROUND(16.2*0.85,2)*0.46*0,0)</f>
        <v>0</v>
      </c>
      <c r="FC10" s="553">
        <v>0</v>
      </c>
      <c r="FD10" s="552">
        <f>ROUND(ROUND(16.2*0.85,2)*0.46*0,0)</f>
        <v>0</v>
      </c>
      <c r="FE10" s="553">
        <v>0</v>
      </c>
      <c r="FF10" s="552">
        <f>ROUND(ROUND(16.2*0.85,2)*0.46*0,0)</f>
        <v>0</v>
      </c>
      <c r="FG10" s="553">
        <v>0</v>
      </c>
      <c r="FH10" s="554">
        <f>ROUND(ROUND(16.2*0.85,2)*0.46*0,0)</f>
        <v>0</v>
      </c>
      <c r="FI10" s="556"/>
      <c r="FJ10" s="557"/>
      <c r="FK10" s="546"/>
      <c r="FL10" s="547"/>
      <c r="FM10" s="548"/>
      <c r="FN10" s="546"/>
      <c r="FO10" s="547"/>
      <c r="FP10" s="558"/>
      <c r="FQ10" s="551"/>
      <c r="FR10" s="550" t="s">
        <v>533</v>
      </c>
      <c r="FS10" s="559"/>
      <c r="FT10" s="551"/>
      <c r="FU10" s="560" t="s">
        <v>603</v>
      </c>
      <c r="FV10" s="561" t="s">
        <v>274</v>
      </c>
      <c r="FW10" s="1286"/>
      <c r="FX10" s="1287" t="s">
        <v>275</v>
      </c>
      <c r="FY10" s="1288"/>
      <c r="FZ10" s="1289" t="s">
        <v>276</v>
      </c>
      <c r="GA10" s="1290"/>
      <c r="GB10" s="1291" t="s">
        <v>622</v>
      </c>
      <c r="GC10" s="1292"/>
      <c r="GD10" s="569" t="s">
        <v>624</v>
      </c>
      <c r="GE10" s="570"/>
      <c r="GF10" s="492"/>
      <c r="GG10" s="541"/>
      <c r="GH10" s="541"/>
      <c r="GI10" s="541"/>
      <c r="GJ10" s="571"/>
      <c r="GK10" s="493"/>
      <c r="GL10" s="493"/>
      <c r="GM10" s="572"/>
      <c r="GN10" s="572"/>
      <c r="GO10" s="571"/>
      <c r="GP10" s="493"/>
      <c r="GQ10" s="493"/>
      <c r="GR10" s="493"/>
      <c r="GS10" s="493"/>
      <c r="GT10" s="493"/>
      <c r="GU10" s="493"/>
      <c r="GV10" s="493"/>
      <c r="GW10" s="572"/>
      <c r="GX10" s="572"/>
      <c r="GY10" s="572"/>
      <c r="GZ10" s="571"/>
      <c r="HA10" s="493"/>
      <c r="HB10" s="493"/>
      <c r="HC10" s="573"/>
      <c r="HD10" s="792"/>
      <c r="HE10" s="434"/>
      <c r="HF10" s="1472"/>
      <c r="HG10" s="1472"/>
    </row>
    <row r="11" spans="1:353" ht="20.100000000000001" customHeight="1">
      <c r="A11" s="545"/>
      <c r="B11" s="574"/>
      <c r="C11" s="575"/>
      <c r="D11" s="576"/>
      <c r="E11" s="574"/>
      <c r="F11" s="575"/>
      <c r="G11" s="577"/>
      <c r="H11" s="578"/>
      <c r="I11" s="579"/>
      <c r="J11" s="580"/>
      <c r="K11" s="581"/>
      <c r="L11" s="580"/>
      <c r="M11" s="581"/>
      <c r="N11" s="580"/>
      <c r="O11" s="581"/>
      <c r="P11" s="580"/>
      <c r="Q11" s="581"/>
      <c r="R11" s="580"/>
      <c r="S11" s="581"/>
      <c r="T11" s="580"/>
      <c r="U11" s="581"/>
      <c r="V11" s="580"/>
      <c r="W11" s="581"/>
      <c r="X11" s="580"/>
      <c r="Y11" s="581"/>
      <c r="Z11" s="580"/>
      <c r="AA11" s="581"/>
      <c r="AB11" s="580"/>
      <c r="AC11" s="581"/>
      <c r="AD11" s="580"/>
      <c r="AE11" s="581"/>
      <c r="AF11" s="580"/>
      <c r="AG11" s="581"/>
      <c r="AH11" s="580"/>
      <c r="AI11" s="581"/>
      <c r="AJ11" s="580"/>
      <c r="AK11" s="581"/>
      <c r="AL11" s="580"/>
      <c r="AM11" s="581"/>
      <c r="AN11" s="580"/>
      <c r="AO11" s="581"/>
      <c r="AP11" s="580"/>
      <c r="AQ11" s="581"/>
      <c r="AR11" s="580"/>
      <c r="AS11" s="581"/>
      <c r="AT11" s="580"/>
      <c r="AU11" s="581"/>
      <c r="AV11" s="580"/>
      <c r="AW11" s="581"/>
      <c r="AX11" s="580"/>
      <c r="AY11" s="581"/>
      <c r="AZ11" s="580"/>
      <c r="BA11" s="581"/>
      <c r="BB11" s="582"/>
      <c r="BC11" s="555"/>
      <c r="BD11" s="545"/>
      <c r="BE11" s="574"/>
      <c r="BF11" s="575"/>
      <c r="BG11" s="576"/>
      <c r="BH11" s="574"/>
      <c r="BI11" s="575"/>
      <c r="BJ11" s="577"/>
      <c r="BK11" s="578"/>
      <c r="BL11" s="579"/>
      <c r="BM11" s="580"/>
      <c r="BN11" s="581"/>
      <c r="BO11" s="580"/>
      <c r="BP11" s="581"/>
      <c r="BQ11" s="580"/>
      <c r="BR11" s="581"/>
      <c r="BS11" s="580"/>
      <c r="BT11" s="581"/>
      <c r="BU11" s="580"/>
      <c r="BV11" s="581"/>
      <c r="BW11" s="580"/>
      <c r="BX11" s="581"/>
      <c r="BY11" s="580"/>
      <c r="BZ11" s="581"/>
      <c r="CA11" s="580"/>
      <c r="CB11" s="581"/>
      <c r="CC11" s="580"/>
      <c r="CD11" s="581"/>
      <c r="CE11" s="580"/>
      <c r="CF11" s="581"/>
      <c r="CG11" s="580"/>
      <c r="CH11" s="581"/>
      <c r="CI11" s="580"/>
      <c r="CJ11" s="581"/>
      <c r="CK11" s="580"/>
      <c r="CL11" s="581"/>
      <c r="CM11" s="580"/>
      <c r="CN11" s="581"/>
      <c r="CO11" s="580"/>
      <c r="CP11" s="581"/>
      <c r="CQ11" s="580"/>
      <c r="CR11" s="581"/>
      <c r="CS11" s="580"/>
      <c r="CT11" s="581"/>
      <c r="CU11" s="580"/>
      <c r="CV11" s="581"/>
      <c r="CW11" s="580"/>
      <c r="CX11" s="581"/>
      <c r="CY11" s="580"/>
      <c r="CZ11" s="581"/>
      <c r="DA11" s="580"/>
      <c r="DB11" s="581"/>
      <c r="DC11" s="580"/>
      <c r="DD11" s="581"/>
      <c r="DE11" s="582"/>
      <c r="DF11" s="555"/>
      <c r="DG11" s="545"/>
      <c r="DH11" s="574"/>
      <c r="DI11" s="575"/>
      <c r="DJ11" s="576"/>
      <c r="DK11" s="574"/>
      <c r="DL11" s="575"/>
      <c r="DM11" s="577"/>
      <c r="DN11" s="578"/>
      <c r="DO11" s="579"/>
      <c r="DP11" s="580"/>
      <c r="DQ11" s="581"/>
      <c r="DR11" s="580"/>
      <c r="DS11" s="581"/>
      <c r="DT11" s="580"/>
      <c r="DU11" s="581"/>
      <c r="DV11" s="580"/>
      <c r="DW11" s="581"/>
      <c r="DX11" s="580"/>
      <c r="DY11" s="581"/>
      <c r="DZ11" s="580"/>
      <c r="EA11" s="581"/>
      <c r="EB11" s="580"/>
      <c r="EC11" s="581"/>
      <c r="ED11" s="580"/>
      <c r="EE11" s="581"/>
      <c r="EF11" s="580"/>
      <c r="EG11" s="581"/>
      <c r="EH11" s="580"/>
      <c r="EI11" s="581"/>
      <c r="EJ11" s="580"/>
      <c r="EK11" s="581"/>
      <c r="EL11" s="580"/>
      <c r="EM11" s="581"/>
      <c r="EN11" s="580"/>
      <c r="EO11" s="581"/>
      <c r="EP11" s="580"/>
      <c r="EQ11" s="581"/>
      <c r="ER11" s="580"/>
      <c r="ES11" s="581"/>
      <c r="ET11" s="580"/>
      <c r="EU11" s="581"/>
      <c r="EV11" s="580"/>
      <c r="EW11" s="581"/>
      <c r="EX11" s="580"/>
      <c r="EY11" s="581"/>
      <c r="EZ11" s="580"/>
      <c r="FA11" s="581"/>
      <c r="FB11" s="580"/>
      <c r="FC11" s="581"/>
      <c r="FD11" s="580"/>
      <c r="FE11" s="581"/>
      <c r="FF11" s="580"/>
      <c r="FG11" s="581"/>
      <c r="FH11" s="582"/>
      <c r="FI11" s="556"/>
      <c r="FJ11" s="557"/>
      <c r="FK11" s="574"/>
      <c r="FL11" s="575"/>
      <c r="FM11" s="576"/>
      <c r="FN11" s="574"/>
      <c r="FO11" s="575"/>
      <c r="FP11" s="583"/>
      <c r="FQ11" s="579"/>
      <c r="FR11" s="578" t="s">
        <v>533</v>
      </c>
      <c r="FS11" s="584"/>
      <c r="FT11" s="579"/>
      <c r="FU11" s="585" t="s">
        <v>603</v>
      </c>
      <c r="FV11" s="586"/>
      <c r="FW11" s="587"/>
      <c r="FX11" s="588"/>
      <c r="FY11" s="589"/>
      <c r="FZ11" s="590"/>
      <c r="GA11" s="591"/>
      <c r="GB11" s="592"/>
      <c r="GC11" s="593"/>
      <c r="GD11" s="592"/>
      <c r="GE11" s="594"/>
      <c r="GF11" s="492"/>
      <c r="GG11" s="595"/>
      <c r="GH11" s="595"/>
      <c r="GI11" s="595"/>
      <c r="GJ11" s="522"/>
      <c r="GK11" s="573" t="s">
        <v>460</v>
      </c>
      <c r="GL11" s="410"/>
      <c r="GM11" s="476"/>
      <c r="GN11" s="479"/>
      <c r="GO11" s="476"/>
      <c r="GP11" s="410"/>
      <c r="GQ11" s="522"/>
      <c r="GR11" s="522"/>
      <c r="GS11" s="522"/>
      <c r="GT11" s="541"/>
      <c r="GU11" s="573" t="s">
        <v>461</v>
      </c>
      <c r="GV11" s="410"/>
      <c r="GW11" s="476"/>
      <c r="GX11" s="479"/>
      <c r="GY11" s="476"/>
      <c r="GZ11" s="410"/>
      <c r="HA11" s="523"/>
      <c r="HB11" s="523"/>
      <c r="HC11" s="406"/>
      <c r="HD11" s="792"/>
      <c r="HE11" s="434"/>
      <c r="HF11" s="1472"/>
      <c r="HG11" s="1472"/>
    </row>
    <row r="12" spans="1:353" ht="20.100000000000001" customHeight="1">
      <c r="A12" s="545"/>
      <c r="B12" s="574"/>
      <c r="C12" s="575"/>
      <c r="D12" s="576"/>
      <c r="E12" s="574"/>
      <c r="F12" s="575"/>
      <c r="G12" s="577"/>
      <c r="H12" s="578"/>
      <c r="I12" s="579"/>
      <c r="J12" s="580"/>
      <c r="K12" s="581"/>
      <c r="L12" s="580"/>
      <c r="M12" s="581"/>
      <c r="N12" s="580"/>
      <c r="O12" s="581"/>
      <c r="P12" s="580"/>
      <c r="Q12" s="581"/>
      <c r="R12" s="580"/>
      <c r="S12" s="581"/>
      <c r="T12" s="580"/>
      <c r="U12" s="581"/>
      <c r="V12" s="580"/>
      <c r="W12" s="581"/>
      <c r="X12" s="580"/>
      <c r="Y12" s="581"/>
      <c r="Z12" s="580"/>
      <c r="AA12" s="581"/>
      <c r="AB12" s="580"/>
      <c r="AC12" s="581"/>
      <c r="AD12" s="580"/>
      <c r="AE12" s="581"/>
      <c r="AF12" s="580"/>
      <c r="AG12" s="581"/>
      <c r="AH12" s="580"/>
      <c r="AI12" s="581"/>
      <c r="AJ12" s="580"/>
      <c r="AK12" s="581"/>
      <c r="AL12" s="580"/>
      <c r="AM12" s="581"/>
      <c r="AN12" s="580"/>
      <c r="AO12" s="581"/>
      <c r="AP12" s="580"/>
      <c r="AQ12" s="581"/>
      <c r="AR12" s="580"/>
      <c r="AS12" s="581"/>
      <c r="AT12" s="580"/>
      <c r="AU12" s="581"/>
      <c r="AV12" s="580"/>
      <c r="AW12" s="581"/>
      <c r="AX12" s="580"/>
      <c r="AY12" s="581"/>
      <c r="AZ12" s="580"/>
      <c r="BA12" s="581"/>
      <c r="BB12" s="582"/>
      <c r="BC12" s="555"/>
      <c r="BD12" s="545"/>
      <c r="BE12" s="574"/>
      <c r="BF12" s="575"/>
      <c r="BG12" s="576"/>
      <c r="BH12" s="574"/>
      <c r="BI12" s="575"/>
      <c r="BJ12" s="577"/>
      <c r="BK12" s="578"/>
      <c r="BL12" s="579"/>
      <c r="BM12" s="580"/>
      <c r="BN12" s="581"/>
      <c r="BO12" s="580"/>
      <c r="BP12" s="581"/>
      <c r="BQ12" s="580"/>
      <c r="BR12" s="581"/>
      <c r="BS12" s="580"/>
      <c r="BT12" s="581"/>
      <c r="BU12" s="580"/>
      <c r="BV12" s="581"/>
      <c r="BW12" s="580"/>
      <c r="BX12" s="581"/>
      <c r="BY12" s="580"/>
      <c r="BZ12" s="581"/>
      <c r="CA12" s="580"/>
      <c r="CB12" s="581"/>
      <c r="CC12" s="580"/>
      <c r="CD12" s="581"/>
      <c r="CE12" s="580"/>
      <c r="CF12" s="581"/>
      <c r="CG12" s="580"/>
      <c r="CH12" s="581"/>
      <c r="CI12" s="580"/>
      <c r="CJ12" s="581"/>
      <c r="CK12" s="580"/>
      <c r="CL12" s="581"/>
      <c r="CM12" s="580"/>
      <c r="CN12" s="581"/>
      <c r="CO12" s="580"/>
      <c r="CP12" s="581"/>
      <c r="CQ12" s="580"/>
      <c r="CR12" s="581"/>
      <c r="CS12" s="580"/>
      <c r="CT12" s="581"/>
      <c r="CU12" s="580"/>
      <c r="CV12" s="581"/>
      <c r="CW12" s="580"/>
      <c r="CX12" s="581"/>
      <c r="CY12" s="580"/>
      <c r="CZ12" s="581"/>
      <c r="DA12" s="580"/>
      <c r="DB12" s="581"/>
      <c r="DC12" s="580"/>
      <c r="DD12" s="581"/>
      <c r="DE12" s="582"/>
      <c r="DF12" s="555"/>
      <c r="DG12" s="545"/>
      <c r="DH12" s="574"/>
      <c r="DI12" s="575"/>
      <c r="DJ12" s="576"/>
      <c r="DK12" s="574"/>
      <c r="DL12" s="575"/>
      <c r="DM12" s="577"/>
      <c r="DN12" s="578"/>
      <c r="DO12" s="579"/>
      <c r="DP12" s="580"/>
      <c r="DQ12" s="581"/>
      <c r="DR12" s="580"/>
      <c r="DS12" s="581"/>
      <c r="DT12" s="580"/>
      <c r="DU12" s="581"/>
      <c r="DV12" s="580"/>
      <c r="DW12" s="581"/>
      <c r="DX12" s="580"/>
      <c r="DY12" s="581"/>
      <c r="DZ12" s="580"/>
      <c r="EA12" s="581"/>
      <c r="EB12" s="580"/>
      <c r="EC12" s="581"/>
      <c r="ED12" s="580"/>
      <c r="EE12" s="581"/>
      <c r="EF12" s="580"/>
      <c r="EG12" s="581"/>
      <c r="EH12" s="580"/>
      <c r="EI12" s="581"/>
      <c r="EJ12" s="580"/>
      <c r="EK12" s="581"/>
      <c r="EL12" s="580"/>
      <c r="EM12" s="581"/>
      <c r="EN12" s="580"/>
      <c r="EO12" s="581"/>
      <c r="EP12" s="580"/>
      <c r="EQ12" s="581"/>
      <c r="ER12" s="580"/>
      <c r="ES12" s="581"/>
      <c r="ET12" s="580"/>
      <c r="EU12" s="581"/>
      <c r="EV12" s="580"/>
      <c r="EW12" s="581"/>
      <c r="EX12" s="580"/>
      <c r="EY12" s="581"/>
      <c r="EZ12" s="580"/>
      <c r="FA12" s="581"/>
      <c r="FB12" s="580"/>
      <c r="FC12" s="581"/>
      <c r="FD12" s="580"/>
      <c r="FE12" s="581"/>
      <c r="FF12" s="580"/>
      <c r="FG12" s="581"/>
      <c r="FH12" s="582"/>
      <c r="FI12" s="556"/>
      <c r="FJ12" s="557"/>
      <c r="FK12" s="574"/>
      <c r="FL12" s="575"/>
      <c r="FM12" s="576"/>
      <c r="FN12" s="574"/>
      <c r="FO12" s="575"/>
      <c r="FP12" s="583"/>
      <c r="FQ12" s="579"/>
      <c r="FR12" s="578" t="s">
        <v>603</v>
      </c>
      <c r="FS12" s="584"/>
      <c r="FT12" s="579"/>
      <c r="FU12" s="585" t="s">
        <v>603</v>
      </c>
      <c r="FV12" s="586"/>
      <c r="FW12" s="587"/>
      <c r="FX12" s="588"/>
      <c r="FY12" s="589"/>
      <c r="FZ12" s="590"/>
      <c r="GA12" s="591"/>
      <c r="GB12" s="592"/>
      <c r="GC12" s="593"/>
      <c r="GD12" s="592"/>
      <c r="GE12" s="594"/>
      <c r="GF12" s="492"/>
      <c r="GG12" s="595"/>
      <c r="GH12" s="595"/>
      <c r="GI12" s="595"/>
      <c r="GJ12" s="410"/>
      <c r="GK12" s="596" t="s">
        <v>353</v>
      </c>
      <c r="GL12" s="597"/>
      <c r="GM12" s="598" t="s">
        <v>468</v>
      </c>
      <c r="GN12" s="599" t="s">
        <v>578</v>
      </c>
      <c r="GO12" s="600" t="s">
        <v>464</v>
      </c>
      <c r="GP12" s="601" t="s">
        <v>465</v>
      </c>
      <c r="GQ12" s="600" t="s">
        <v>579</v>
      </c>
      <c r="GR12" s="600" t="s">
        <v>467</v>
      </c>
      <c r="GS12" s="602"/>
      <c r="GT12" s="541"/>
      <c r="GU12" s="596" t="s">
        <v>349</v>
      </c>
      <c r="GV12" s="597"/>
      <c r="GW12" s="598" t="s">
        <v>462</v>
      </c>
      <c r="GX12" s="603" t="s">
        <v>469</v>
      </c>
      <c r="GY12" s="604"/>
      <c r="GZ12" s="605" t="s">
        <v>464</v>
      </c>
      <c r="HA12" s="606" t="s">
        <v>470</v>
      </c>
      <c r="HB12" s="607"/>
      <c r="HC12" s="608"/>
      <c r="HD12" s="792"/>
      <c r="HE12" s="434"/>
      <c r="HF12" s="1472"/>
      <c r="HG12" s="1472"/>
    </row>
    <row r="13" spans="1:353" ht="20.100000000000001" customHeight="1">
      <c r="A13" s="545"/>
      <c r="B13" s="609"/>
      <c r="C13" s="610"/>
      <c r="D13" s="611"/>
      <c r="E13" s="609"/>
      <c r="F13" s="610"/>
      <c r="G13" s="612"/>
      <c r="H13" s="613"/>
      <c r="I13" s="614"/>
      <c r="J13" s="615"/>
      <c r="K13" s="616"/>
      <c r="L13" s="615"/>
      <c r="M13" s="616"/>
      <c r="N13" s="615"/>
      <c r="O13" s="616"/>
      <c r="P13" s="615"/>
      <c r="Q13" s="616"/>
      <c r="R13" s="615"/>
      <c r="S13" s="616"/>
      <c r="T13" s="615"/>
      <c r="U13" s="616"/>
      <c r="V13" s="615"/>
      <c r="W13" s="616"/>
      <c r="X13" s="615"/>
      <c r="Y13" s="616"/>
      <c r="Z13" s="615"/>
      <c r="AA13" s="616"/>
      <c r="AB13" s="615"/>
      <c r="AC13" s="616"/>
      <c r="AD13" s="615"/>
      <c r="AE13" s="616"/>
      <c r="AF13" s="615"/>
      <c r="AG13" s="616"/>
      <c r="AH13" s="615"/>
      <c r="AI13" s="616"/>
      <c r="AJ13" s="615"/>
      <c r="AK13" s="616"/>
      <c r="AL13" s="615"/>
      <c r="AM13" s="616"/>
      <c r="AN13" s="615"/>
      <c r="AO13" s="616"/>
      <c r="AP13" s="615"/>
      <c r="AQ13" s="616"/>
      <c r="AR13" s="615"/>
      <c r="AS13" s="616"/>
      <c r="AT13" s="615"/>
      <c r="AU13" s="616"/>
      <c r="AV13" s="615"/>
      <c r="AW13" s="616"/>
      <c r="AX13" s="615"/>
      <c r="AY13" s="616"/>
      <c r="AZ13" s="615"/>
      <c r="BA13" s="616"/>
      <c r="BB13" s="617"/>
      <c r="BC13" s="555"/>
      <c r="BD13" s="545"/>
      <c r="BE13" s="609"/>
      <c r="BF13" s="610"/>
      <c r="BG13" s="611"/>
      <c r="BH13" s="609"/>
      <c r="BI13" s="610"/>
      <c r="BJ13" s="612"/>
      <c r="BK13" s="613"/>
      <c r="BL13" s="614"/>
      <c r="BM13" s="615"/>
      <c r="BN13" s="616"/>
      <c r="BO13" s="615"/>
      <c r="BP13" s="616"/>
      <c r="BQ13" s="615"/>
      <c r="BR13" s="616"/>
      <c r="BS13" s="615"/>
      <c r="BT13" s="616"/>
      <c r="BU13" s="615"/>
      <c r="BV13" s="616"/>
      <c r="BW13" s="615"/>
      <c r="BX13" s="616"/>
      <c r="BY13" s="615"/>
      <c r="BZ13" s="616"/>
      <c r="CA13" s="615"/>
      <c r="CB13" s="616"/>
      <c r="CC13" s="615"/>
      <c r="CD13" s="616"/>
      <c r="CE13" s="615"/>
      <c r="CF13" s="616"/>
      <c r="CG13" s="615"/>
      <c r="CH13" s="616"/>
      <c r="CI13" s="615"/>
      <c r="CJ13" s="616"/>
      <c r="CK13" s="615"/>
      <c r="CL13" s="616"/>
      <c r="CM13" s="615"/>
      <c r="CN13" s="616"/>
      <c r="CO13" s="615"/>
      <c r="CP13" s="616"/>
      <c r="CQ13" s="615"/>
      <c r="CR13" s="616"/>
      <c r="CS13" s="615"/>
      <c r="CT13" s="616"/>
      <c r="CU13" s="615"/>
      <c r="CV13" s="616"/>
      <c r="CW13" s="615"/>
      <c r="CX13" s="616"/>
      <c r="CY13" s="615"/>
      <c r="CZ13" s="616"/>
      <c r="DA13" s="615"/>
      <c r="DB13" s="616"/>
      <c r="DC13" s="615"/>
      <c r="DD13" s="616"/>
      <c r="DE13" s="617"/>
      <c r="DF13" s="555"/>
      <c r="DG13" s="545"/>
      <c r="DH13" s="609"/>
      <c r="DI13" s="610"/>
      <c r="DJ13" s="611"/>
      <c r="DK13" s="609"/>
      <c r="DL13" s="610"/>
      <c r="DM13" s="612"/>
      <c r="DN13" s="613"/>
      <c r="DO13" s="614"/>
      <c r="DP13" s="615"/>
      <c r="DQ13" s="616"/>
      <c r="DR13" s="615"/>
      <c r="DS13" s="616"/>
      <c r="DT13" s="615"/>
      <c r="DU13" s="616"/>
      <c r="DV13" s="615"/>
      <c r="DW13" s="616"/>
      <c r="DX13" s="615"/>
      <c r="DY13" s="616"/>
      <c r="DZ13" s="615"/>
      <c r="EA13" s="616"/>
      <c r="EB13" s="615"/>
      <c r="EC13" s="616"/>
      <c r="ED13" s="615"/>
      <c r="EE13" s="616"/>
      <c r="EF13" s="615"/>
      <c r="EG13" s="616"/>
      <c r="EH13" s="615"/>
      <c r="EI13" s="616"/>
      <c r="EJ13" s="615"/>
      <c r="EK13" s="616"/>
      <c r="EL13" s="615"/>
      <c r="EM13" s="616"/>
      <c r="EN13" s="615"/>
      <c r="EO13" s="616"/>
      <c r="EP13" s="615"/>
      <c r="EQ13" s="616"/>
      <c r="ER13" s="615"/>
      <c r="ES13" s="616"/>
      <c r="ET13" s="615"/>
      <c r="EU13" s="616"/>
      <c r="EV13" s="615"/>
      <c r="EW13" s="616"/>
      <c r="EX13" s="615"/>
      <c r="EY13" s="616"/>
      <c r="EZ13" s="615"/>
      <c r="FA13" s="616"/>
      <c r="FB13" s="615"/>
      <c r="FC13" s="616"/>
      <c r="FD13" s="615"/>
      <c r="FE13" s="616"/>
      <c r="FF13" s="615"/>
      <c r="FG13" s="616"/>
      <c r="FH13" s="617"/>
      <c r="FI13" s="556"/>
      <c r="FJ13" s="557"/>
      <c r="FK13" s="609"/>
      <c r="FL13" s="610"/>
      <c r="FM13" s="611"/>
      <c r="FN13" s="609"/>
      <c r="FO13" s="610"/>
      <c r="FP13" s="618"/>
      <c r="FQ13" s="614"/>
      <c r="FR13" s="613" t="s">
        <v>534</v>
      </c>
      <c r="FS13" s="619"/>
      <c r="FT13" s="614"/>
      <c r="FU13" s="620" t="s">
        <v>603</v>
      </c>
      <c r="FV13" s="586"/>
      <c r="FW13" s="587"/>
      <c r="FX13" s="588"/>
      <c r="FY13" s="589"/>
      <c r="FZ13" s="590"/>
      <c r="GA13" s="591"/>
      <c r="GB13" s="592"/>
      <c r="GC13" s="593"/>
      <c r="GD13" s="592"/>
      <c r="GE13" s="594"/>
      <c r="GF13" s="492"/>
      <c r="GG13" s="595"/>
      <c r="GH13" s="595"/>
      <c r="GI13" s="595"/>
      <c r="GJ13" s="410"/>
      <c r="GK13" s="621">
        <v>301</v>
      </c>
      <c r="GL13" s="622"/>
      <c r="GM13" s="623" t="s">
        <v>635</v>
      </c>
      <c r="GN13" s="624">
        <v>16.2</v>
      </c>
      <c r="GO13" s="625">
        <v>0</v>
      </c>
      <c r="GP13" s="625">
        <v>1</v>
      </c>
      <c r="GQ13" s="626">
        <v>0</v>
      </c>
      <c r="GR13" s="627">
        <v>16.2</v>
      </c>
      <c r="GS13" s="571"/>
      <c r="GT13" s="410"/>
      <c r="GU13" s="621">
        <v>301</v>
      </c>
      <c r="GV13" s="622"/>
      <c r="GW13" s="628" t="s">
        <v>636</v>
      </c>
      <c r="GX13" s="629">
        <v>16.2</v>
      </c>
      <c r="GY13" s="630"/>
      <c r="GZ13" s="631">
        <v>0.65</v>
      </c>
      <c r="HA13" s="632">
        <v>10.53</v>
      </c>
      <c r="HB13" s="633"/>
      <c r="HC13" s="523"/>
      <c r="HD13" s="792"/>
      <c r="HE13" s="434"/>
      <c r="HF13" s="383"/>
      <c r="HG13" s="383"/>
    </row>
    <row r="14" spans="1:353" ht="20.100000000000001" customHeight="1">
      <c r="A14" s="634"/>
      <c r="B14" s="635"/>
      <c r="C14" s="635"/>
      <c r="D14" s="636" t="s">
        <v>535</v>
      </c>
      <c r="E14" s="635"/>
      <c r="F14" s="635"/>
      <c r="G14" s="637"/>
      <c r="H14" s="638">
        <f>SUM(H10:H13)</f>
        <v>0</v>
      </c>
      <c r="I14" s="728"/>
      <c r="J14" s="638">
        <f>SUM(J10:J13)</f>
        <v>0</v>
      </c>
      <c r="K14" s="728"/>
      <c r="L14" s="638">
        <f>SUM(L10:L13)</f>
        <v>0</v>
      </c>
      <c r="M14" s="728"/>
      <c r="N14" s="638">
        <f>SUM(N10:N13)</f>
        <v>0</v>
      </c>
      <c r="O14" s="728"/>
      <c r="P14" s="638">
        <f>SUM(P10:P13)</f>
        <v>0</v>
      </c>
      <c r="Q14" s="728"/>
      <c r="R14" s="638">
        <f>SUM(R10:R13)</f>
        <v>0</v>
      </c>
      <c r="S14" s="728"/>
      <c r="T14" s="638">
        <f>SUM(T10:T13)</f>
        <v>0</v>
      </c>
      <c r="U14" s="728"/>
      <c r="V14" s="638">
        <f>SUM(V10:V13)</f>
        <v>0</v>
      </c>
      <c r="W14" s="728"/>
      <c r="X14" s="638">
        <f>SUM(X10:X13)</f>
        <v>735</v>
      </c>
      <c r="Y14" s="728"/>
      <c r="Z14" s="638">
        <f>SUM(Z10:Z13)</f>
        <v>817</v>
      </c>
      <c r="AA14" s="728"/>
      <c r="AB14" s="638">
        <f>SUM(AB10:AB13)</f>
        <v>1261</v>
      </c>
      <c r="AC14" s="728"/>
      <c r="AD14" s="638">
        <f>SUM(AD10:AD13)</f>
        <v>1679</v>
      </c>
      <c r="AE14" s="728"/>
      <c r="AF14" s="638">
        <f>SUM(AF10:AF13)</f>
        <v>1888</v>
      </c>
      <c r="AG14" s="728"/>
      <c r="AH14" s="638">
        <f>SUM(AH10:AH13)</f>
        <v>1805</v>
      </c>
      <c r="AI14" s="728"/>
      <c r="AJ14" s="638">
        <f>SUM(AJ10:AJ13)</f>
        <v>1457</v>
      </c>
      <c r="AK14" s="728"/>
      <c r="AL14" s="638">
        <f>SUM(AL10:AL13)</f>
        <v>963</v>
      </c>
      <c r="AM14" s="728"/>
      <c r="AN14" s="638">
        <f>SUM(AN10:AN13)</f>
        <v>481</v>
      </c>
      <c r="AO14" s="728"/>
      <c r="AP14" s="638">
        <f>SUM(AP10:AP13)</f>
        <v>101</v>
      </c>
      <c r="AQ14" s="728"/>
      <c r="AR14" s="638">
        <f>SUM(AR10:AR13)</f>
        <v>0</v>
      </c>
      <c r="AS14" s="728"/>
      <c r="AT14" s="638">
        <f>SUM(AT10:AT13)</f>
        <v>0</v>
      </c>
      <c r="AU14" s="728"/>
      <c r="AV14" s="638">
        <f>SUM(AV10:AV13)</f>
        <v>0</v>
      </c>
      <c r="AW14" s="728"/>
      <c r="AX14" s="638">
        <f>SUM(AX10:AX13)</f>
        <v>0</v>
      </c>
      <c r="AY14" s="728"/>
      <c r="AZ14" s="638">
        <f>SUM(AZ10:AZ13)</f>
        <v>0</v>
      </c>
      <c r="BA14" s="728"/>
      <c r="BB14" s="640">
        <f>SUM(BB10:BB13)</f>
        <v>0</v>
      </c>
      <c r="BC14" s="641"/>
      <c r="BD14" s="634"/>
      <c r="BE14" s="635"/>
      <c r="BF14" s="635"/>
      <c r="BG14" s="636" t="s">
        <v>604</v>
      </c>
      <c r="BH14" s="635"/>
      <c r="BI14" s="635"/>
      <c r="BJ14" s="637"/>
      <c r="BK14" s="638">
        <f>SUM(BK10:BK13)</f>
        <v>0</v>
      </c>
      <c r="BL14" s="728"/>
      <c r="BM14" s="638">
        <f>SUM(BM10:BM13)</f>
        <v>0</v>
      </c>
      <c r="BN14" s="728"/>
      <c r="BO14" s="638">
        <f>SUM(BO10:BO13)</f>
        <v>0</v>
      </c>
      <c r="BP14" s="728"/>
      <c r="BQ14" s="638">
        <f>SUM(BQ10:BQ13)</f>
        <v>0</v>
      </c>
      <c r="BR14" s="728"/>
      <c r="BS14" s="638">
        <f>SUM(BS10:BS13)</f>
        <v>0</v>
      </c>
      <c r="BT14" s="728"/>
      <c r="BU14" s="638">
        <f>SUM(BU10:BU13)</f>
        <v>0</v>
      </c>
      <c r="BV14" s="728"/>
      <c r="BW14" s="638">
        <f>SUM(BW10:BW13)</f>
        <v>0</v>
      </c>
      <c r="BX14" s="728"/>
      <c r="BY14" s="638">
        <f>SUM(BY10:BY13)</f>
        <v>0</v>
      </c>
      <c r="BZ14" s="728"/>
      <c r="CA14" s="638">
        <f>SUM(CA10:CA13)</f>
        <v>652</v>
      </c>
      <c r="CB14" s="728"/>
      <c r="CC14" s="638">
        <f>SUM(CC10:CC13)</f>
        <v>766</v>
      </c>
      <c r="CD14" s="728"/>
      <c r="CE14" s="638">
        <f>SUM(CE10:CE13)</f>
        <v>1286</v>
      </c>
      <c r="CF14" s="728"/>
      <c r="CG14" s="638">
        <f>SUM(CG10:CG13)</f>
        <v>1767</v>
      </c>
      <c r="CH14" s="728"/>
      <c r="CI14" s="638">
        <f>SUM(CI10:CI13)</f>
        <v>1989</v>
      </c>
      <c r="CJ14" s="728"/>
      <c r="CK14" s="638">
        <f>SUM(CK10:CK13)</f>
        <v>1938</v>
      </c>
      <c r="CL14" s="728"/>
      <c r="CM14" s="638">
        <f>SUM(CM10:CM13)</f>
        <v>1641</v>
      </c>
      <c r="CN14" s="728"/>
      <c r="CO14" s="638">
        <f>SUM(CO10:CO13)</f>
        <v>1140</v>
      </c>
      <c r="CP14" s="728"/>
      <c r="CQ14" s="638">
        <f>SUM(CQ10:CQ13)</f>
        <v>564</v>
      </c>
      <c r="CR14" s="728"/>
      <c r="CS14" s="638">
        <f>SUM(CS10:CS13)</f>
        <v>120</v>
      </c>
      <c r="CT14" s="728"/>
      <c r="CU14" s="638">
        <f>SUM(CU10:CU13)</f>
        <v>0</v>
      </c>
      <c r="CV14" s="728"/>
      <c r="CW14" s="638">
        <f>SUM(CW10:CW13)</f>
        <v>0</v>
      </c>
      <c r="CX14" s="728"/>
      <c r="CY14" s="638">
        <f>SUM(CY10:CY13)</f>
        <v>0</v>
      </c>
      <c r="CZ14" s="728"/>
      <c r="DA14" s="638">
        <f>SUM(DA10:DA13)</f>
        <v>0</v>
      </c>
      <c r="DB14" s="728"/>
      <c r="DC14" s="638">
        <f>SUM(DC10:DC13)</f>
        <v>0</v>
      </c>
      <c r="DD14" s="728"/>
      <c r="DE14" s="640">
        <f>SUM(DE10:DE13)</f>
        <v>0</v>
      </c>
      <c r="DF14" s="641"/>
      <c r="DG14" s="634"/>
      <c r="DH14" s="635"/>
      <c r="DI14" s="635"/>
      <c r="DJ14" s="636" t="s">
        <v>605</v>
      </c>
      <c r="DK14" s="635"/>
      <c r="DL14" s="635"/>
      <c r="DM14" s="637"/>
      <c r="DN14" s="638">
        <f>SUM(DN10:DN13)</f>
        <v>0</v>
      </c>
      <c r="DO14" s="728"/>
      <c r="DP14" s="638">
        <f>SUM(DP10:DP13)</f>
        <v>0</v>
      </c>
      <c r="DQ14" s="728"/>
      <c r="DR14" s="638">
        <f>SUM(DR10:DR13)</f>
        <v>0</v>
      </c>
      <c r="DS14" s="728"/>
      <c r="DT14" s="638">
        <f>SUM(DT10:DT13)</f>
        <v>0</v>
      </c>
      <c r="DU14" s="728"/>
      <c r="DV14" s="638">
        <f>SUM(DV10:DV13)</f>
        <v>0</v>
      </c>
      <c r="DW14" s="728"/>
      <c r="DX14" s="638">
        <f>SUM(DX10:DX13)</f>
        <v>0</v>
      </c>
      <c r="DY14" s="728"/>
      <c r="DZ14" s="638">
        <f>SUM(DZ10:DZ13)</f>
        <v>0</v>
      </c>
      <c r="EA14" s="728"/>
      <c r="EB14" s="638">
        <f>SUM(EB10:EB13)</f>
        <v>0</v>
      </c>
      <c r="EC14" s="728"/>
      <c r="ED14" s="638">
        <f>SUM(ED10:ED13)</f>
        <v>766</v>
      </c>
      <c r="EE14" s="728"/>
      <c r="EF14" s="638">
        <f>SUM(EF10:EF13)</f>
        <v>1723</v>
      </c>
      <c r="EG14" s="728"/>
      <c r="EH14" s="638">
        <f>SUM(EH10:EH13)</f>
        <v>2597</v>
      </c>
      <c r="EI14" s="728"/>
      <c r="EJ14" s="638">
        <f>SUM(EJ10:EJ13)</f>
        <v>3116</v>
      </c>
      <c r="EK14" s="728"/>
      <c r="EL14" s="638">
        <f>SUM(EL10:EL13)</f>
        <v>3230</v>
      </c>
      <c r="EM14" s="728"/>
      <c r="EN14" s="638">
        <f>SUM(EN10:EN13)</f>
        <v>3015</v>
      </c>
      <c r="EO14" s="728"/>
      <c r="EP14" s="638">
        <f>SUM(EP10:EP13)</f>
        <v>2445</v>
      </c>
      <c r="EQ14" s="728"/>
      <c r="ER14" s="638">
        <f>SUM(ER10:ER13)</f>
        <v>1628</v>
      </c>
      <c r="ES14" s="728"/>
      <c r="ET14" s="638">
        <f>SUM(ET10:ET13)</f>
        <v>659</v>
      </c>
      <c r="EU14" s="728"/>
      <c r="EV14" s="638">
        <f>SUM(EV10:EV13)</f>
        <v>-6</v>
      </c>
      <c r="EW14" s="728"/>
      <c r="EX14" s="638">
        <f>SUM(EX10:EX13)</f>
        <v>0</v>
      </c>
      <c r="EY14" s="728"/>
      <c r="EZ14" s="638">
        <f>SUM(EZ10:EZ13)</f>
        <v>0</v>
      </c>
      <c r="FA14" s="728"/>
      <c r="FB14" s="638">
        <f>SUM(FB10:FB13)</f>
        <v>0</v>
      </c>
      <c r="FC14" s="728"/>
      <c r="FD14" s="638">
        <f>SUM(FD10:FD13)</f>
        <v>0</v>
      </c>
      <c r="FE14" s="728"/>
      <c r="FF14" s="638">
        <f>SUM(FF10:FF13)</f>
        <v>0</v>
      </c>
      <c r="FG14" s="728"/>
      <c r="FH14" s="640">
        <f>SUM(FH10:FH13)</f>
        <v>0</v>
      </c>
      <c r="FI14" s="642"/>
      <c r="FJ14" s="557"/>
      <c r="FK14" s="635"/>
      <c r="FL14" s="635"/>
      <c r="FM14" s="636" t="s">
        <v>535</v>
      </c>
      <c r="FN14" s="635"/>
      <c r="FO14" s="635"/>
      <c r="FP14" s="643"/>
      <c r="FQ14" s="644"/>
      <c r="FR14" s="638">
        <f>SUM(FR10:FR13)</f>
        <v>0</v>
      </c>
      <c r="FS14" s="645"/>
      <c r="FT14" s="644"/>
      <c r="FU14" s="646">
        <f>SUM(FU10:FU13)</f>
        <v>0</v>
      </c>
      <c r="FV14" s="586"/>
      <c r="FW14" s="587"/>
      <c r="FX14" s="588"/>
      <c r="FY14" s="589"/>
      <c r="FZ14" s="590"/>
      <c r="GA14" s="591"/>
      <c r="GB14" s="592"/>
      <c r="GC14" s="593"/>
      <c r="GD14" s="592"/>
      <c r="GE14" s="594"/>
      <c r="GF14" s="647"/>
      <c r="GG14" s="648"/>
      <c r="GH14" s="648"/>
      <c r="GI14" s="648"/>
      <c r="GJ14" s="608"/>
      <c r="GK14" s="621"/>
      <c r="GL14" s="622"/>
      <c r="GM14" s="623"/>
      <c r="GN14" s="624"/>
      <c r="GO14" s="625"/>
      <c r="GP14" s="649"/>
      <c r="GQ14" s="626">
        <v>0</v>
      </c>
      <c r="GR14" s="627">
        <v>0</v>
      </c>
      <c r="GS14" s="608"/>
      <c r="GT14" s="650"/>
      <c r="GU14" s="621"/>
      <c r="GV14" s="622"/>
      <c r="GW14" s="628"/>
      <c r="GX14" s="629"/>
      <c r="GY14" s="630"/>
      <c r="GZ14" s="631"/>
      <c r="HA14" s="632">
        <v>0</v>
      </c>
      <c r="HB14" s="633"/>
      <c r="HC14" s="523"/>
      <c r="HD14" s="1471"/>
      <c r="HE14" s="412"/>
      <c r="HF14" s="412"/>
      <c r="HG14" s="412"/>
    </row>
    <row r="15" spans="1:353" ht="24" customHeight="1">
      <c r="A15" s="525" t="s">
        <v>278</v>
      </c>
      <c r="B15" s="651" t="s">
        <v>263</v>
      </c>
      <c r="C15" s="652" t="s">
        <v>264</v>
      </c>
      <c r="D15" s="653" t="s">
        <v>599</v>
      </c>
      <c r="E15" s="653" t="s">
        <v>280</v>
      </c>
      <c r="F15" s="654" t="s">
        <v>281</v>
      </c>
      <c r="G15" s="655" t="s">
        <v>606</v>
      </c>
      <c r="H15" s="656" t="s">
        <v>607</v>
      </c>
      <c r="I15" s="657" t="s">
        <v>284</v>
      </c>
      <c r="J15" s="656" t="s">
        <v>608</v>
      </c>
      <c r="K15" s="657" t="s">
        <v>284</v>
      </c>
      <c r="L15" s="656" t="s">
        <v>539</v>
      </c>
      <c r="M15" s="657" t="s">
        <v>284</v>
      </c>
      <c r="N15" s="656" t="s">
        <v>539</v>
      </c>
      <c r="O15" s="657" t="s">
        <v>284</v>
      </c>
      <c r="P15" s="656" t="s">
        <v>539</v>
      </c>
      <c r="Q15" s="657" t="s">
        <v>284</v>
      </c>
      <c r="R15" s="656" t="s">
        <v>539</v>
      </c>
      <c r="S15" s="657" t="s">
        <v>284</v>
      </c>
      <c r="T15" s="656" t="s">
        <v>540</v>
      </c>
      <c r="U15" s="657" t="s">
        <v>284</v>
      </c>
      <c r="V15" s="656" t="s">
        <v>608</v>
      </c>
      <c r="W15" s="657" t="s">
        <v>284</v>
      </c>
      <c r="X15" s="656" t="s">
        <v>539</v>
      </c>
      <c r="Y15" s="657" t="s">
        <v>284</v>
      </c>
      <c r="Z15" s="656" t="s">
        <v>608</v>
      </c>
      <c r="AA15" s="657" t="s">
        <v>284</v>
      </c>
      <c r="AB15" s="656" t="s">
        <v>608</v>
      </c>
      <c r="AC15" s="657" t="s">
        <v>284</v>
      </c>
      <c r="AD15" s="656" t="s">
        <v>539</v>
      </c>
      <c r="AE15" s="657" t="s">
        <v>284</v>
      </c>
      <c r="AF15" s="656" t="s">
        <v>608</v>
      </c>
      <c r="AG15" s="657" t="s">
        <v>284</v>
      </c>
      <c r="AH15" s="656" t="s">
        <v>607</v>
      </c>
      <c r="AI15" s="657" t="s">
        <v>284</v>
      </c>
      <c r="AJ15" s="656" t="s">
        <v>608</v>
      </c>
      <c r="AK15" s="657" t="s">
        <v>284</v>
      </c>
      <c r="AL15" s="656" t="s">
        <v>607</v>
      </c>
      <c r="AM15" s="657" t="s">
        <v>284</v>
      </c>
      <c r="AN15" s="656" t="s">
        <v>608</v>
      </c>
      <c r="AO15" s="657" t="s">
        <v>284</v>
      </c>
      <c r="AP15" s="656" t="s">
        <v>608</v>
      </c>
      <c r="AQ15" s="657" t="s">
        <v>284</v>
      </c>
      <c r="AR15" s="656" t="s">
        <v>540</v>
      </c>
      <c r="AS15" s="657" t="s">
        <v>284</v>
      </c>
      <c r="AT15" s="656" t="s">
        <v>539</v>
      </c>
      <c r="AU15" s="657" t="s">
        <v>284</v>
      </c>
      <c r="AV15" s="656" t="s">
        <v>539</v>
      </c>
      <c r="AW15" s="657" t="s">
        <v>284</v>
      </c>
      <c r="AX15" s="656" t="s">
        <v>539</v>
      </c>
      <c r="AY15" s="657" t="s">
        <v>284</v>
      </c>
      <c r="AZ15" s="656" t="s">
        <v>608</v>
      </c>
      <c r="BA15" s="657" t="s">
        <v>284</v>
      </c>
      <c r="BB15" s="658" t="s">
        <v>286</v>
      </c>
      <c r="BC15" s="659"/>
      <c r="BD15" s="525" t="s">
        <v>278</v>
      </c>
      <c r="BE15" s="651" t="s">
        <v>263</v>
      </c>
      <c r="BF15" s="652" t="s">
        <v>264</v>
      </c>
      <c r="BG15" s="653" t="s">
        <v>609</v>
      </c>
      <c r="BH15" s="653" t="s">
        <v>280</v>
      </c>
      <c r="BI15" s="654" t="s">
        <v>281</v>
      </c>
      <c r="BJ15" s="655" t="s">
        <v>610</v>
      </c>
      <c r="BK15" s="656" t="s">
        <v>608</v>
      </c>
      <c r="BL15" s="657" t="s">
        <v>284</v>
      </c>
      <c r="BM15" s="656" t="s">
        <v>607</v>
      </c>
      <c r="BN15" s="657" t="s">
        <v>284</v>
      </c>
      <c r="BO15" s="656" t="s">
        <v>607</v>
      </c>
      <c r="BP15" s="657" t="s">
        <v>284</v>
      </c>
      <c r="BQ15" s="656" t="s">
        <v>607</v>
      </c>
      <c r="BR15" s="657" t="s">
        <v>284</v>
      </c>
      <c r="BS15" s="656" t="s">
        <v>539</v>
      </c>
      <c r="BT15" s="657" t="s">
        <v>284</v>
      </c>
      <c r="BU15" s="656" t="s">
        <v>539</v>
      </c>
      <c r="BV15" s="657" t="s">
        <v>284</v>
      </c>
      <c r="BW15" s="656" t="s">
        <v>540</v>
      </c>
      <c r="BX15" s="657" t="s">
        <v>284</v>
      </c>
      <c r="BY15" s="656" t="s">
        <v>540</v>
      </c>
      <c r="BZ15" s="657" t="s">
        <v>284</v>
      </c>
      <c r="CA15" s="656" t="s">
        <v>607</v>
      </c>
      <c r="CB15" s="657" t="s">
        <v>284</v>
      </c>
      <c r="CC15" s="656" t="s">
        <v>608</v>
      </c>
      <c r="CD15" s="657" t="s">
        <v>284</v>
      </c>
      <c r="CE15" s="656" t="s">
        <v>608</v>
      </c>
      <c r="CF15" s="657" t="s">
        <v>284</v>
      </c>
      <c r="CG15" s="656" t="s">
        <v>607</v>
      </c>
      <c r="CH15" s="657" t="s">
        <v>284</v>
      </c>
      <c r="CI15" s="656" t="s">
        <v>539</v>
      </c>
      <c r="CJ15" s="657" t="s">
        <v>284</v>
      </c>
      <c r="CK15" s="656" t="s">
        <v>608</v>
      </c>
      <c r="CL15" s="657" t="s">
        <v>284</v>
      </c>
      <c r="CM15" s="656" t="s">
        <v>539</v>
      </c>
      <c r="CN15" s="657" t="s">
        <v>284</v>
      </c>
      <c r="CO15" s="656" t="s">
        <v>539</v>
      </c>
      <c r="CP15" s="657" t="s">
        <v>284</v>
      </c>
      <c r="CQ15" s="656" t="s">
        <v>539</v>
      </c>
      <c r="CR15" s="657" t="s">
        <v>284</v>
      </c>
      <c r="CS15" s="656" t="s">
        <v>607</v>
      </c>
      <c r="CT15" s="657" t="s">
        <v>284</v>
      </c>
      <c r="CU15" s="656" t="s">
        <v>540</v>
      </c>
      <c r="CV15" s="657" t="s">
        <v>284</v>
      </c>
      <c r="CW15" s="656" t="s">
        <v>540</v>
      </c>
      <c r="CX15" s="657" t="s">
        <v>284</v>
      </c>
      <c r="CY15" s="656" t="s">
        <v>540</v>
      </c>
      <c r="CZ15" s="657" t="s">
        <v>284</v>
      </c>
      <c r="DA15" s="656" t="s">
        <v>540</v>
      </c>
      <c r="DB15" s="657" t="s">
        <v>284</v>
      </c>
      <c r="DC15" s="656" t="s">
        <v>539</v>
      </c>
      <c r="DD15" s="657" t="s">
        <v>284</v>
      </c>
      <c r="DE15" s="658" t="s">
        <v>286</v>
      </c>
      <c r="DF15" s="659"/>
      <c r="DG15" s="525" t="s">
        <v>278</v>
      </c>
      <c r="DH15" s="660" t="s">
        <v>263</v>
      </c>
      <c r="DI15" s="661" t="s">
        <v>264</v>
      </c>
      <c r="DJ15" s="662" t="s">
        <v>599</v>
      </c>
      <c r="DK15" s="662" t="s">
        <v>280</v>
      </c>
      <c r="DL15" s="663" t="s">
        <v>281</v>
      </c>
      <c r="DM15" s="655" t="s">
        <v>606</v>
      </c>
      <c r="DN15" s="656" t="s">
        <v>608</v>
      </c>
      <c r="DO15" s="657" t="s">
        <v>284</v>
      </c>
      <c r="DP15" s="656" t="s">
        <v>539</v>
      </c>
      <c r="DQ15" s="657" t="s">
        <v>284</v>
      </c>
      <c r="DR15" s="656" t="s">
        <v>608</v>
      </c>
      <c r="DS15" s="657" t="s">
        <v>284</v>
      </c>
      <c r="DT15" s="656" t="s">
        <v>608</v>
      </c>
      <c r="DU15" s="657" t="s">
        <v>284</v>
      </c>
      <c r="DV15" s="656" t="s">
        <v>608</v>
      </c>
      <c r="DW15" s="657" t="s">
        <v>284</v>
      </c>
      <c r="DX15" s="656" t="s">
        <v>608</v>
      </c>
      <c r="DY15" s="657" t="s">
        <v>284</v>
      </c>
      <c r="DZ15" s="656" t="s">
        <v>539</v>
      </c>
      <c r="EA15" s="657" t="s">
        <v>284</v>
      </c>
      <c r="EB15" s="656" t="s">
        <v>608</v>
      </c>
      <c r="EC15" s="657" t="s">
        <v>284</v>
      </c>
      <c r="ED15" s="656" t="s">
        <v>539</v>
      </c>
      <c r="EE15" s="657" t="s">
        <v>284</v>
      </c>
      <c r="EF15" s="656" t="s">
        <v>607</v>
      </c>
      <c r="EG15" s="657" t="s">
        <v>284</v>
      </c>
      <c r="EH15" s="656" t="s">
        <v>607</v>
      </c>
      <c r="EI15" s="657" t="s">
        <v>284</v>
      </c>
      <c r="EJ15" s="656" t="s">
        <v>539</v>
      </c>
      <c r="EK15" s="657" t="s">
        <v>284</v>
      </c>
      <c r="EL15" s="656" t="s">
        <v>540</v>
      </c>
      <c r="EM15" s="657" t="s">
        <v>284</v>
      </c>
      <c r="EN15" s="656" t="s">
        <v>539</v>
      </c>
      <c r="EO15" s="657" t="s">
        <v>284</v>
      </c>
      <c r="EP15" s="656" t="s">
        <v>539</v>
      </c>
      <c r="EQ15" s="657" t="s">
        <v>284</v>
      </c>
      <c r="ER15" s="656" t="s">
        <v>608</v>
      </c>
      <c r="ES15" s="657" t="s">
        <v>284</v>
      </c>
      <c r="ET15" s="656" t="s">
        <v>539</v>
      </c>
      <c r="EU15" s="657" t="s">
        <v>284</v>
      </c>
      <c r="EV15" s="656" t="s">
        <v>607</v>
      </c>
      <c r="EW15" s="657" t="s">
        <v>284</v>
      </c>
      <c r="EX15" s="656" t="s">
        <v>540</v>
      </c>
      <c r="EY15" s="657" t="s">
        <v>284</v>
      </c>
      <c r="EZ15" s="656" t="s">
        <v>608</v>
      </c>
      <c r="FA15" s="657" t="s">
        <v>284</v>
      </c>
      <c r="FB15" s="656" t="s">
        <v>539</v>
      </c>
      <c r="FC15" s="657" t="s">
        <v>284</v>
      </c>
      <c r="FD15" s="656" t="s">
        <v>607</v>
      </c>
      <c r="FE15" s="657" t="s">
        <v>284</v>
      </c>
      <c r="FF15" s="656" t="s">
        <v>540</v>
      </c>
      <c r="FG15" s="657" t="s">
        <v>284</v>
      </c>
      <c r="FH15" s="658" t="s">
        <v>286</v>
      </c>
      <c r="FI15" s="664"/>
      <c r="FJ15" s="535" t="s">
        <v>278</v>
      </c>
      <c r="FK15" s="651" t="s">
        <v>263</v>
      </c>
      <c r="FL15" s="652" t="s">
        <v>264</v>
      </c>
      <c r="FM15" s="653" t="s">
        <v>609</v>
      </c>
      <c r="FN15" s="653" t="s">
        <v>280</v>
      </c>
      <c r="FO15" s="654" t="s">
        <v>281</v>
      </c>
      <c r="FP15" s="665" t="s">
        <v>272</v>
      </c>
      <c r="FQ15" s="666" t="s">
        <v>284</v>
      </c>
      <c r="FR15" s="656" t="s">
        <v>286</v>
      </c>
      <c r="FS15" s="667" t="s">
        <v>272</v>
      </c>
      <c r="FT15" s="666" t="s">
        <v>284</v>
      </c>
      <c r="FU15" s="668" t="s">
        <v>286</v>
      </c>
      <c r="FV15" s="586"/>
      <c r="FW15" s="587"/>
      <c r="FX15" s="588"/>
      <c r="FY15" s="589"/>
      <c r="FZ15" s="590"/>
      <c r="GA15" s="591"/>
      <c r="GB15" s="592"/>
      <c r="GC15" s="593"/>
      <c r="GD15" s="592"/>
      <c r="GE15" s="594"/>
      <c r="GF15" s="669"/>
      <c r="GG15" s="670"/>
      <c r="GH15" s="670"/>
      <c r="GI15" s="670"/>
      <c r="GJ15" s="522"/>
      <c r="GK15" s="621"/>
      <c r="GL15" s="622"/>
      <c r="GM15" s="623"/>
      <c r="GN15" s="624"/>
      <c r="GO15" s="625"/>
      <c r="GP15" s="649"/>
      <c r="GQ15" s="626">
        <v>0</v>
      </c>
      <c r="GR15" s="627">
        <v>0</v>
      </c>
      <c r="GS15" s="522"/>
      <c r="GT15" s="670"/>
      <c r="GU15" s="621"/>
      <c r="GV15" s="622"/>
      <c r="GW15" s="628"/>
      <c r="GX15" s="629"/>
      <c r="GY15" s="630"/>
      <c r="GZ15" s="631"/>
      <c r="HA15" s="632">
        <v>0</v>
      </c>
      <c r="HB15" s="633"/>
      <c r="HC15" s="671"/>
      <c r="HD15" s="659"/>
      <c r="HE15" s="412"/>
      <c r="HF15" s="412"/>
      <c r="HG15" s="412"/>
    </row>
    <row r="16" spans="1:353" ht="20.100000000000001" customHeight="1">
      <c r="A16" s="545"/>
      <c r="B16" s="547" t="s">
        <v>215</v>
      </c>
      <c r="C16" s="672" t="s">
        <v>74</v>
      </c>
      <c r="D16" s="548">
        <v>32.200000000000003</v>
      </c>
      <c r="E16" s="673">
        <v>1.02</v>
      </c>
      <c r="F16" s="674"/>
      <c r="G16" s="675">
        <v>0</v>
      </c>
      <c r="H16" s="552">
        <f>ROUND(32.2*1.02*0,0)</f>
        <v>0</v>
      </c>
      <c r="I16" s="676">
        <v>0</v>
      </c>
      <c r="J16" s="552">
        <f>ROUND(32.2*1.02*0,0)</f>
        <v>0</v>
      </c>
      <c r="K16" s="676">
        <v>0</v>
      </c>
      <c r="L16" s="552">
        <f>ROUND(32.2*1.02*0,0)</f>
        <v>0</v>
      </c>
      <c r="M16" s="676">
        <v>0</v>
      </c>
      <c r="N16" s="552">
        <f>ROUND(32.2*1.02*0,0)</f>
        <v>0</v>
      </c>
      <c r="O16" s="676">
        <v>0</v>
      </c>
      <c r="P16" s="552">
        <f>ROUND(32.2*1.02*0,0)</f>
        <v>0</v>
      </c>
      <c r="Q16" s="676">
        <v>0</v>
      </c>
      <c r="R16" s="552">
        <f>ROUND(32.2*1.02*0,0)</f>
        <v>0</v>
      </c>
      <c r="S16" s="676">
        <v>0</v>
      </c>
      <c r="T16" s="552">
        <f>ROUND(32.2*1.02*0,0)</f>
        <v>0</v>
      </c>
      <c r="U16" s="676">
        <v>0</v>
      </c>
      <c r="V16" s="552">
        <f>ROUND(32.2*1.02*0,0)</f>
        <v>0</v>
      </c>
      <c r="W16" s="676">
        <v>0</v>
      </c>
      <c r="X16" s="552">
        <f>ROUND(32.2*1.02*0,0)</f>
        <v>0</v>
      </c>
      <c r="Y16" s="676">
        <v>1.1000000000000001</v>
      </c>
      <c r="Z16" s="552">
        <f>ROUND(32.2*1.02*1.1,0)</f>
        <v>36</v>
      </c>
      <c r="AA16" s="676">
        <v>3.9</v>
      </c>
      <c r="AB16" s="552">
        <f>ROUND(32.2*1.02*3.9,0)</f>
        <v>128</v>
      </c>
      <c r="AC16" s="676">
        <v>6.8</v>
      </c>
      <c r="AD16" s="552">
        <f>ROUND(32.2*1.02*6.8,0)</f>
        <v>223</v>
      </c>
      <c r="AE16" s="676">
        <v>9.5</v>
      </c>
      <c r="AF16" s="552">
        <f>ROUND(32.2*1.02*9.5,0)</f>
        <v>312</v>
      </c>
      <c r="AG16" s="676">
        <v>11.6</v>
      </c>
      <c r="AH16" s="552">
        <f>ROUND(32.2*1.02*11.6,0)</f>
        <v>381</v>
      </c>
      <c r="AI16" s="676">
        <v>12.7</v>
      </c>
      <c r="AJ16" s="552">
        <f>ROUND(32.2*1.02*12.7,0)</f>
        <v>417</v>
      </c>
      <c r="AK16" s="676">
        <v>12.5</v>
      </c>
      <c r="AL16" s="552">
        <f>ROUND(32.2*1.02*12.5,0)</f>
        <v>411</v>
      </c>
      <c r="AM16" s="676">
        <v>11</v>
      </c>
      <c r="AN16" s="552">
        <f>ROUND(32.2*1.02*11,0)</f>
        <v>361</v>
      </c>
      <c r="AO16" s="676">
        <v>8.6999999999999993</v>
      </c>
      <c r="AP16" s="552">
        <f>ROUND(32.2*1.02*8.7,0)</f>
        <v>286</v>
      </c>
      <c r="AQ16" s="676">
        <v>0</v>
      </c>
      <c r="AR16" s="552">
        <f>ROUND(32.2*1.02*0,0)</f>
        <v>0</v>
      </c>
      <c r="AS16" s="676">
        <v>0</v>
      </c>
      <c r="AT16" s="552">
        <f>ROUND(32.2*1.02*0,0)</f>
        <v>0</v>
      </c>
      <c r="AU16" s="676">
        <v>0</v>
      </c>
      <c r="AV16" s="552">
        <f>ROUND(32.2*1.02*0,0)</f>
        <v>0</v>
      </c>
      <c r="AW16" s="676">
        <v>0</v>
      </c>
      <c r="AX16" s="552">
        <f>ROUND(32.2*1.02*0,0)</f>
        <v>0</v>
      </c>
      <c r="AY16" s="676">
        <v>0</v>
      </c>
      <c r="AZ16" s="552">
        <f>ROUND(32.2*1.02*0,0)</f>
        <v>0</v>
      </c>
      <c r="BA16" s="676">
        <v>0</v>
      </c>
      <c r="BB16" s="677">
        <f>ROUND(32.2*1.02*0,0)</f>
        <v>0</v>
      </c>
      <c r="BC16" s="555"/>
      <c r="BD16" s="545"/>
      <c r="BE16" s="547" t="s">
        <v>215</v>
      </c>
      <c r="BF16" s="672" t="s">
        <v>74</v>
      </c>
      <c r="BG16" s="548">
        <v>32.200000000000003</v>
      </c>
      <c r="BH16" s="673">
        <v>1.02</v>
      </c>
      <c r="BI16" s="674"/>
      <c r="BJ16" s="675">
        <v>0</v>
      </c>
      <c r="BK16" s="552">
        <f>ROUND(32.2*1.02*0,0)</f>
        <v>0</v>
      </c>
      <c r="BL16" s="676">
        <v>0</v>
      </c>
      <c r="BM16" s="552">
        <f>ROUND(32.2*1.02*0,0)</f>
        <v>0</v>
      </c>
      <c r="BN16" s="676">
        <v>0</v>
      </c>
      <c r="BO16" s="552">
        <f>ROUND(32.2*1.02*0,0)</f>
        <v>0</v>
      </c>
      <c r="BP16" s="676">
        <v>0</v>
      </c>
      <c r="BQ16" s="552">
        <f>ROUND(32.2*1.02*0,0)</f>
        <v>0</v>
      </c>
      <c r="BR16" s="676">
        <v>0</v>
      </c>
      <c r="BS16" s="552">
        <f>ROUND(32.2*1.02*0,0)</f>
        <v>0</v>
      </c>
      <c r="BT16" s="676">
        <v>0</v>
      </c>
      <c r="BU16" s="552">
        <f>ROUND(32.2*1.02*0,0)</f>
        <v>0</v>
      </c>
      <c r="BV16" s="676">
        <v>0</v>
      </c>
      <c r="BW16" s="552">
        <f>ROUND(32.2*1.02*0,0)</f>
        <v>0</v>
      </c>
      <c r="BX16" s="676">
        <v>0</v>
      </c>
      <c r="BY16" s="552">
        <f>ROUND(32.2*1.02*0,0)</f>
        <v>0</v>
      </c>
      <c r="BZ16" s="676">
        <v>0</v>
      </c>
      <c r="CA16" s="552">
        <f>ROUND(32.2*1.02*0,0)</f>
        <v>0</v>
      </c>
      <c r="CB16" s="676">
        <v>1.4</v>
      </c>
      <c r="CC16" s="552">
        <f>ROUND(32.2*1.02*1.4,0)</f>
        <v>46</v>
      </c>
      <c r="CD16" s="676">
        <v>4.5</v>
      </c>
      <c r="CE16" s="552">
        <f>ROUND(32.2*1.02*4.5,0)</f>
        <v>148</v>
      </c>
      <c r="CF16" s="676">
        <v>7.7</v>
      </c>
      <c r="CG16" s="552">
        <f>ROUND(32.2*1.02*7.7,0)</f>
        <v>253</v>
      </c>
      <c r="CH16" s="676">
        <v>10.6</v>
      </c>
      <c r="CI16" s="552">
        <f>ROUND(32.2*1.02*10.6,0)</f>
        <v>348</v>
      </c>
      <c r="CJ16" s="676">
        <v>12.8</v>
      </c>
      <c r="CK16" s="552">
        <f>ROUND(32.2*1.02*12.8,0)</f>
        <v>420</v>
      </c>
      <c r="CL16" s="676">
        <v>14</v>
      </c>
      <c r="CM16" s="552">
        <f>ROUND(32.2*1.02*14,0)</f>
        <v>460</v>
      </c>
      <c r="CN16" s="676">
        <v>14</v>
      </c>
      <c r="CO16" s="552">
        <f>ROUND(32.2*1.02*14,0)</f>
        <v>460</v>
      </c>
      <c r="CP16" s="676">
        <v>12.7</v>
      </c>
      <c r="CQ16" s="552">
        <f>ROUND(32.2*1.02*12.7,0)</f>
        <v>417</v>
      </c>
      <c r="CR16" s="676">
        <v>10.3</v>
      </c>
      <c r="CS16" s="552">
        <f>ROUND(32.2*1.02*10.3,0)</f>
        <v>338</v>
      </c>
      <c r="CT16" s="676">
        <v>0</v>
      </c>
      <c r="CU16" s="552">
        <f>ROUND(32.2*1.02*0,0)</f>
        <v>0</v>
      </c>
      <c r="CV16" s="676">
        <v>0</v>
      </c>
      <c r="CW16" s="552">
        <f>ROUND(32.2*1.02*0,0)</f>
        <v>0</v>
      </c>
      <c r="CX16" s="676">
        <v>0</v>
      </c>
      <c r="CY16" s="552">
        <f>ROUND(32.2*1.02*0,0)</f>
        <v>0</v>
      </c>
      <c r="CZ16" s="676">
        <v>0</v>
      </c>
      <c r="DA16" s="552">
        <f>ROUND(32.2*1.02*0,0)</f>
        <v>0</v>
      </c>
      <c r="DB16" s="676">
        <v>0</v>
      </c>
      <c r="DC16" s="552">
        <f>ROUND(32.2*1.02*0,0)</f>
        <v>0</v>
      </c>
      <c r="DD16" s="676">
        <v>0</v>
      </c>
      <c r="DE16" s="677">
        <f>ROUND(32.2*1.02*0,0)</f>
        <v>0</v>
      </c>
      <c r="DF16" s="555"/>
      <c r="DG16" s="545"/>
      <c r="DH16" s="547" t="s">
        <v>215</v>
      </c>
      <c r="DI16" s="672" t="s">
        <v>74</v>
      </c>
      <c r="DJ16" s="548">
        <v>32.200000000000003</v>
      </c>
      <c r="DK16" s="673">
        <v>1.02</v>
      </c>
      <c r="DL16" s="674"/>
      <c r="DM16" s="675">
        <v>0</v>
      </c>
      <c r="DN16" s="552">
        <f>ROUND(32.2*1.02*0,0)</f>
        <v>0</v>
      </c>
      <c r="DO16" s="676">
        <v>0</v>
      </c>
      <c r="DP16" s="552">
        <f>ROUND(32.2*1.02*0,0)</f>
        <v>0</v>
      </c>
      <c r="DQ16" s="676">
        <v>0</v>
      </c>
      <c r="DR16" s="552">
        <f>ROUND(32.2*1.02*0,0)</f>
        <v>0</v>
      </c>
      <c r="DS16" s="676">
        <v>0</v>
      </c>
      <c r="DT16" s="552">
        <f>ROUND(32.2*1.02*0,0)</f>
        <v>0</v>
      </c>
      <c r="DU16" s="676">
        <v>0</v>
      </c>
      <c r="DV16" s="552">
        <f>ROUND(32.2*1.02*0,0)</f>
        <v>0</v>
      </c>
      <c r="DW16" s="676">
        <v>0</v>
      </c>
      <c r="DX16" s="552">
        <f>ROUND(32.2*1.02*0,0)</f>
        <v>0</v>
      </c>
      <c r="DY16" s="676">
        <v>0</v>
      </c>
      <c r="DZ16" s="552">
        <f>ROUND(32.2*1.02*0,0)</f>
        <v>0</v>
      </c>
      <c r="EA16" s="676">
        <v>0</v>
      </c>
      <c r="EB16" s="552">
        <f>ROUND(32.2*1.02*0,0)</f>
        <v>0</v>
      </c>
      <c r="EC16" s="676">
        <v>0</v>
      </c>
      <c r="ED16" s="552">
        <f>ROUND(32.2*1.02*0,0)</f>
        <v>0</v>
      </c>
      <c r="EE16" s="676">
        <v>0</v>
      </c>
      <c r="EF16" s="552">
        <f>ROUND(32.2*1.02*0,0)</f>
        <v>0</v>
      </c>
      <c r="EG16" s="676">
        <v>2.8</v>
      </c>
      <c r="EH16" s="552">
        <f>ROUND(32.2*1.02*2.8,0)</f>
        <v>92</v>
      </c>
      <c r="EI16" s="676">
        <v>7.1</v>
      </c>
      <c r="EJ16" s="552">
        <f>ROUND(32.2*1.02*7.1,0)</f>
        <v>233</v>
      </c>
      <c r="EK16" s="676">
        <v>10.8</v>
      </c>
      <c r="EL16" s="552">
        <f>ROUND(32.2*1.02*10.8,0)</f>
        <v>355</v>
      </c>
      <c r="EM16" s="676">
        <v>13.2</v>
      </c>
      <c r="EN16" s="552">
        <f>ROUND(32.2*1.02*13.2,0)</f>
        <v>434</v>
      </c>
      <c r="EO16" s="676">
        <v>14.2</v>
      </c>
      <c r="EP16" s="552">
        <f>ROUND(32.2*1.02*14.2,0)</f>
        <v>466</v>
      </c>
      <c r="EQ16" s="676">
        <v>13.4</v>
      </c>
      <c r="ER16" s="552">
        <f>ROUND(32.2*1.02*13.4,0)</f>
        <v>440</v>
      </c>
      <c r="ES16" s="676">
        <v>10.9</v>
      </c>
      <c r="ET16" s="552">
        <f>ROUND(32.2*1.02*10.9,0)</f>
        <v>358</v>
      </c>
      <c r="EU16" s="676">
        <v>6.9</v>
      </c>
      <c r="EV16" s="552">
        <f>ROUND(32.2*1.02*6.9,0)</f>
        <v>227</v>
      </c>
      <c r="EW16" s="676">
        <v>0</v>
      </c>
      <c r="EX16" s="552">
        <f>ROUND(32.2*1.02*0,0)</f>
        <v>0</v>
      </c>
      <c r="EY16" s="676">
        <v>0</v>
      </c>
      <c r="EZ16" s="552">
        <f>ROUND(32.2*1.02*0,0)</f>
        <v>0</v>
      </c>
      <c r="FA16" s="676">
        <v>0</v>
      </c>
      <c r="FB16" s="552">
        <f>ROUND(32.2*1.02*0,0)</f>
        <v>0</v>
      </c>
      <c r="FC16" s="676">
        <v>0</v>
      </c>
      <c r="FD16" s="552">
        <f>ROUND(32.2*1.02*0,0)</f>
        <v>0</v>
      </c>
      <c r="FE16" s="676">
        <v>0</v>
      </c>
      <c r="FF16" s="552">
        <f>ROUND(32.2*1.02*0,0)</f>
        <v>0</v>
      </c>
      <c r="FG16" s="676">
        <v>0</v>
      </c>
      <c r="FH16" s="677">
        <f>ROUND(32.2*1.02*0,0)</f>
        <v>0</v>
      </c>
      <c r="FI16" s="556"/>
      <c r="FJ16" s="557"/>
      <c r="FK16" s="547" t="s">
        <v>215</v>
      </c>
      <c r="FL16" s="672" t="s">
        <v>74</v>
      </c>
      <c r="FM16" s="548">
        <v>32.200000000000003</v>
      </c>
      <c r="FN16" s="673">
        <v>1.02</v>
      </c>
      <c r="FO16" s="674"/>
      <c r="FP16" s="678">
        <v>9</v>
      </c>
      <c r="FQ16" s="679">
        <v>23.5</v>
      </c>
      <c r="FR16" s="552">
        <f>ROUND(32.2*1.02*23.5,0)</f>
        <v>772</v>
      </c>
      <c r="FS16" s="680">
        <v>9</v>
      </c>
      <c r="FT16" s="679">
        <v>23.9</v>
      </c>
      <c r="FU16" s="560">
        <f>ROUND(32.2*1.02*23.9,0)</f>
        <v>785</v>
      </c>
      <c r="FV16" s="586"/>
      <c r="FW16" s="587"/>
      <c r="FX16" s="588"/>
      <c r="FY16" s="589"/>
      <c r="FZ16" s="590"/>
      <c r="GA16" s="591"/>
      <c r="GB16" s="592"/>
      <c r="GC16" s="593"/>
      <c r="GD16" s="592"/>
      <c r="GE16" s="594"/>
      <c r="GF16" s="681"/>
      <c r="GG16" s="670"/>
      <c r="GH16" s="670"/>
      <c r="GI16" s="670"/>
      <c r="GJ16" s="410"/>
      <c r="GK16" s="621"/>
      <c r="GL16" s="622"/>
      <c r="GM16" s="623"/>
      <c r="GN16" s="624"/>
      <c r="GO16" s="625"/>
      <c r="GP16" s="649"/>
      <c r="GQ16" s="626">
        <v>0</v>
      </c>
      <c r="GR16" s="627">
        <v>0</v>
      </c>
      <c r="GS16" s="406"/>
      <c r="GT16" s="682"/>
      <c r="GU16" s="621"/>
      <c r="GV16" s="622"/>
      <c r="GW16" s="628"/>
      <c r="GX16" s="629"/>
      <c r="GY16" s="630"/>
      <c r="GZ16" s="631"/>
      <c r="HA16" s="632">
        <v>0</v>
      </c>
      <c r="HB16" s="633"/>
      <c r="HC16" s="683"/>
      <c r="HD16" s="412"/>
      <c r="HE16" s="412"/>
      <c r="HF16" s="412"/>
      <c r="HG16" s="412"/>
    </row>
    <row r="17" spans="1:218" ht="20.100000000000001" customHeight="1">
      <c r="A17" s="545"/>
      <c r="B17" s="575" t="s">
        <v>220</v>
      </c>
      <c r="C17" s="684" t="s">
        <v>74</v>
      </c>
      <c r="D17" s="576">
        <v>16.2</v>
      </c>
      <c r="E17" s="685" t="s">
        <v>615</v>
      </c>
      <c r="F17" s="686"/>
      <c r="G17" s="687">
        <v>0</v>
      </c>
      <c r="H17" s="580">
        <f>ROUND(16.2*2.4*0,0)</f>
        <v>0</v>
      </c>
      <c r="I17" s="688">
        <v>0</v>
      </c>
      <c r="J17" s="580">
        <f>ROUND(16.2*2.4*0,0)</f>
        <v>0</v>
      </c>
      <c r="K17" s="688">
        <v>0</v>
      </c>
      <c r="L17" s="580">
        <f>ROUND(16.2*2.4*0,0)</f>
        <v>0</v>
      </c>
      <c r="M17" s="688">
        <v>0</v>
      </c>
      <c r="N17" s="580">
        <f>ROUND(16.2*2.4*0,0)</f>
        <v>0</v>
      </c>
      <c r="O17" s="688">
        <v>0</v>
      </c>
      <c r="P17" s="580">
        <f>ROUND(16.2*2.4*0,0)</f>
        <v>0</v>
      </c>
      <c r="Q17" s="688">
        <v>0</v>
      </c>
      <c r="R17" s="580">
        <f>ROUND(16.2*2.4*0,0)</f>
        <v>0</v>
      </c>
      <c r="S17" s="688">
        <v>0</v>
      </c>
      <c r="T17" s="580">
        <f>ROUND(16.2*2.4*0,0)</f>
        <v>0</v>
      </c>
      <c r="U17" s="688">
        <v>0</v>
      </c>
      <c r="V17" s="580">
        <f>ROUND(16.2*2.4*0,0)</f>
        <v>0</v>
      </c>
      <c r="W17" s="688">
        <v>0</v>
      </c>
      <c r="X17" s="580">
        <f>ROUND(16.2*2.4*0,0)</f>
        <v>0</v>
      </c>
      <c r="Y17" s="688">
        <v>1</v>
      </c>
      <c r="Z17" s="580">
        <f>ROUND(16.2*2.4*1,0)</f>
        <v>39</v>
      </c>
      <c r="AA17" s="688">
        <v>2.1</v>
      </c>
      <c r="AB17" s="580">
        <f>ROUND(16.2*2.4*2.1,0)</f>
        <v>82</v>
      </c>
      <c r="AC17" s="688">
        <v>2.8</v>
      </c>
      <c r="AD17" s="580">
        <f>ROUND(16.2*2.4*2.8,0)</f>
        <v>109</v>
      </c>
      <c r="AE17" s="688">
        <v>3.6</v>
      </c>
      <c r="AF17" s="580">
        <f>ROUND(16.2*2.4*3.6,0)</f>
        <v>140</v>
      </c>
      <c r="AG17" s="688">
        <v>3.7</v>
      </c>
      <c r="AH17" s="580">
        <f>ROUND(16.2*2.4*3.7,0)</f>
        <v>144</v>
      </c>
      <c r="AI17" s="688">
        <v>3.6</v>
      </c>
      <c r="AJ17" s="580">
        <f>ROUND(16.2*2.4*3.6,0)</f>
        <v>140</v>
      </c>
      <c r="AK17" s="688">
        <v>3</v>
      </c>
      <c r="AL17" s="580">
        <f>ROUND(16.2*2.4*3,0)</f>
        <v>117</v>
      </c>
      <c r="AM17" s="688">
        <v>1.8</v>
      </c>
      <c r="AN17" s="580">
        <f>ROUND(16.2*2.4*1.8,0)</f>
        <v>70</v>
      </c>
      <c r="AO17" s="688">
        <v>0.60000000000000098</v>
      </c>
      <c r="AP17" s="580">
        <f>ROUND(16.2*2.4*0.600000000000001,0)</f>
        <v>23</v>
      </c>
      <c r="AQ17" s="688">
        <v>0</v>
      </c>
      <c r="AR17" s="580">
        <f>ROUND(16.2*2.4*0,0)</f>
        <v>0</v>
      </c>
      <c r="AS17" s="688">
        <v>0</v>
      </c>
      <c r="AT17" s="580">
        <f>ROUND(16.2*2.4*0,0)</f>
        <v>0</v>
      </c>
      <c r="AU17" s="688">
        <v>0</v>
      </c>
      <c r="AV17" s="580">
        <f>ROUND(16.2*2.4*0,0)</f>
        <v>0</v>
      </c>
      <c r="AW17" s="688">
        <v>0</v>
      </c>
      <c r="AX17" s="580">
        <f>ROUND(16.2*2.4*0,0)</f>
        <v>0</v>
      </c>
      <c r="AY17" s="688">
        <v>0</v>
      </c>
      <c r="AZ17" s="580">
        <f>ROUND(16.2*2.4*0,0)</f>
        <v>0</v>
      </c>
      <c r="BA17" s="688">
        <v>0</v>
      </c>
      <c r="BB17" s="582">
        <f>ROUND(16.2*2.4*0,0)</f>
        <v>0</v>
      </c>
      <c r="BC17" s="555"/>
      <c r="BD17" s="545"/>
      <c r="BE17" s="575" t="s">
        <v>220</v>
      </c>
      <c r="BF17" s="684" t="s">
        <v>74</v>
      </c>
      <c r="BG17" s="576">
        <v>16.2</v>
      </c>
      <c r="BH17" s="685" t="s">
        <v>615</v>
      </c>
      <c r="BI17" s="686"/>
      <c r="BJ17" s="687">
        <v>0</v>
      </c>
      <c r="BK17" s="580">
        <f>ROUND(16.2*2.4*0,0)</f>
        <v>0</v>
      </c>
      <c r="BL17" s="688">
        <v>0</v>
      </c>
      <c r="BM17" s="580">
        <f>ROUND(16.2*2.4*0,0)</f>
        <v>0</v>
      </c>
      <c r="BN17" s="688">
        <v>0</v>
      </c>
      <c r="BO17" s="580">
        <f>ROUND(16.2*2.4*0,0)</f>
        <v>0</v>
      </c>
      <c r="BP17" s="688">
        <v>0</v>
      </c>
      <c r="BQ17" s="580">
        <f>ROUND(16.2*2.4*0,0)</f>
        <v>0</v>
      </c>
      <c r="BR17" s="688">
        <v>0</v>
      </c>
      <c r="BS17" s="580">
        <f>ROUND(16.2*2.4*0,0)</f>
        <v>0</v>
      </c>
      <c r="BT17" s="688">
        <v>0</v>
      </c>
      <c r="BU17" s="580">
        <f>ROUND(16.2*2.4*0,0)</f>
        <v>0</v>
      </c>
      <c r="BV17" s="688">
        <v>0</v>
      </c>
      <c r="BW17" s="580">
        <f>ROUND(16.2*2.4*0,0)</f>
        <v>0</v>
      </c>
      <c r="BX17" s="688">
        <v>0</v>
      </c>
      <c r="BY17" s="580">
        <f>ROUND(16.2*2.4*0,0)</f>
        <v>0</v>
      </c>
      <c r="BZ17" s="688">
        <v>0.60000000000000098</v>
      </c>
      <c r="CA17" s="580">
        <f>ROUND(16.2*2.4*0.600000000000001,0)</f>
        <v>23</v>
      </c>
      <c r="CB17" s="688">
        <v>2.1</v>
      </c>
      <c r="CC17" s="580">
        <f>ROUND(16.2*2.4*2.1,0)</f>
        <v>82</v>
      </c>
      <c r="CD17" s="688">
        <v>2.9</v>
      </c>
      <c r="CE17" s="580">
        <f>ROUND(16.2*2.4*2.9,0)</f>
        <v>113</v>
      </c>
      <c r="CF17" s="688">
        <v>3.6</v>
      </c>
      <c r="CG17" s="580">
        <f>ROUND(16.2*2.4*3.6,0)</f>
        <v>140</v>
      </c>
      <c r="CH17" s="688">
        <v>4.2</v>
      </c>
      <c r="CI17" s="580">
        <f>ROUND(16.2*2.4*4.2,0)</f>
        <v>163</v>
      </c>
      <c r="CJ17" s="688">
        <v>4.5</v>
      </c>
      <c r="CK17" s="580">
        <f>ROUND(16.2*2.4*4.5,0)</f>
        <v>175</v>
      </c>
      <c r="CL17" s="688">
        <v>4.2</v>
      </c>
      <c r="CM17" s="580">
        <f>ROUND(16.2*2.4*4.2,0)</f>
        <v>163</v>
      </c>
      <c r="CN17" s="688">
        <v>3.9</v>
      </c>
      <c r="CO17" s="580">
        <f>ROUND(16.2*2.4*3.9,0)</f>
        <v>152</v>
      </c>
      <c r="CP17" s="688">
        <v>2.9</v>
      </c>
      <c r="CQ17" s="580">
        <f>ROUND(16.2*2.4*2.9,0)</f>
        <v>113</v>
      </c>
      <c r="CR17" s="688">
        <v>1.4</v>
      </c>
      <c r="CS17" s="580">
        <f>ROUND(16.2*2.4*1.4,0)</f>
        <v>54</v>
      </c>
      <c r="CT17" s="688">
        <v>0</v>
      </c>
      <c r="CU17" s="580">
        <f>ROUND(16.2*2.4*0,0)</f>
        <v>0</v>
      </c>
      <c r="CV17" s="688">
        <v>0</v>
      </c>
      <c r="CW17" s="580">
        <f>ROUND(16.2*2.4*0,0)</f>
        <v>0</v>
      </c>
      <c r="CX17" s="688">
        <v>0</v>
      </c>
      <c r="CY17" s="580">
        <f>ROUND(16.2*2.4*0,0)</f>
        <v>0</v>
      </c>
      <c r="CZ17" s="688">
        <v>0</v>
      </c>
      <c r="DA17" s="580">
        <f>ROUND(16.2*2.4*0,0)</f>
        <v>0</v>
      </c>
      <c r="DB17" s="688">
        <v>0</v>
      </c>
      <c r="DC17" s="580">
        <f>ROUND(16.2*2.4*0,0)</f>
        <v>0</v>
      </c>
      <c r="DD17" s="688">
        <v>0</v>
      </c>
      <c r="DE17" s="582">
        <f>ROUND(16.2*2.4*0,0)</f>
        <v>0</v>
      </c>
      <c r="DF17" s="555"/>
      <c r="DG17" s="545"/>
      <c r="DH17" s="575" t="s">
        <v>220</v>
      </c>
      <c r="DI17" s="684" t="s">
        <v>74</v>
      </c>
      <c r="DJ17" s="576">
        <v>16.2</v>
      </c>
      <c r="DK17" s="685" t="s">
        <v>615</v>
      </c>
      <c r="DL17" s="686"/>
      <c r="DM17" s="687">
        <v>0</v>
      </c>
      <c r="DN17" s="580">
        <f>ROUND(16.2*2.4*0,0)</f>
        <v>0</v>
      </c>
      <c r="DO17" s="688">
        <v>0</v>
      </c>
      <c r="DP17" s="580">
        <f>ROUND(16.2*2.4*0,0)</f>
        <v>0</v>
      </c>
      <c r="DQ17" s="688">
        <v>0</v>
      </c>
      <c r="DR17" s="580">
        <f>ROUND(16.2*2.4*0,0)</f>
        <v>0</v>
      </c>
      <c r="DS17" s="688">
        <v>0</v>
      </c>
      <c r="DT17" s="580">
        <f>ROUND(16.2*2.4*0,0)</f>
        <v>0</v>
      </c>
      <c r="DU17" s="688">
        <v>0</v>
      </c>
      <c r="DV17" s="580">
        <f>ROUND(16.2*2.4*0,0)</f>
        <v>0</v>
      </c>
      <c r="DW17" s="688">
        <v>0</v>
      </c>
      <c r="DX17" s="580">
        <f>ROUND(16.2*2.4*0,0)</f>
        <v>0</v>
      </c>
      <c r="DY17" s="688">
        <v>0</v>
      </c>
      <c r="DZ17" s="580">
        <f>ROUND(16.2*2.4*0,0)</f>
        <v>0</v>
      </c>
      <c r="EA17" s="688">
        <v>0</v>
      </c>
      <c r="EB17" s="580">
        <f>ROUND(16.2*2.4*0,0)</f>
        <v>0</v>
      </c>
      <c r="EC17" s="688">
        <v>0</v>
      </c>
      <c r="ED17" s="580">
        <f>ROUND(16.2*2.4*0,0)</f>
        <v>0</v>
      </c>
      <c r="EE17" s="688">
        <v>0</v>
      </c>
      <c r="EF17" s="580">
        <f>ROUND(16.2*2.4*0,0)</f>
        <v>0</v>
      </c>
      <c r="EG17" s="688">
        <v>0</v>
      </c>
      <c r="EH17" s="580">
        <f>ROUND(16.2*2.4*0,0)</f>
        <v>0</v>
      </c>
      <c r="EI17" s="688">
        <v>0</v>
      </c>
      <c r="EJ17" s="580">
        <f>ROUND(16.2*2.4*0,0)</f>
        <v>0</v>
      </c>
      <c r="EK17" s="688">
        <v>0</v>
      </c>
      <c r="EL17" s="580">
        <f>ROUND(16.2*2.4*0,0)</f>
        <v>0</v>
      </c>
      <c r="EM17" s="688">
        <v>0</v>
      </c>
      <c r="EN17" s="580">
        <f>ROUND(16.2*2.4*0,0)</f>
        <v>0</v>
      </c>
      <c r="EO17" s="688">
        <v>0</v>
      </c>
      <c r="EP17" s="580">
        <f>ROUND(16.2*2.4*0,0)</f>
        <v>0</v>
      </c>
      <c r="EQ17" s="688">
        <v>0</v>
      </c>
      <c r="ER17" s="580">
        <f>ROUND(16.2*2.4*0,0)</f>
        <v>0</v>
      </c>
      <c r="ES17" s="688">
        <v>0</v>
      </c>
      <c r="ET17" s="580">
        <f>ROUND(16.2*2.4*0,0)</f>
        <v>0</v>
      </c>
      <c r="EU17" s="688">
        <v>0</v>
      </c>
      <c r="EV17" s="580">
        <f>ROUND(16.2*2.4*0,0)</f>
        <v>0</v>
      </c>
      <c r="EW17" s="688">
        <v>0</v>
      </c>
      <c r="EX17" s="580">
        <f>ROUND(16.2*2.4*0,0)</f>
        <v>0</v>
      </c>
      <c r="EY17" s="688">
        <v>0</v>
      </c>
      <c r="EZ17" s="580">
        <f>ROUND(16.2*2.4*0,0)</f>
        <v>0</v>
      </c>
      <c r="FA17" s="688">
        <v>0</v>
      </c>
      <c r="FB17" s="580">
        <f>ROUND(16.2*2.4*0,0)</f>
        <v>0</v>
      </c>
      <c r="FC17" s="688">
        <v>0</v>
      </c>
      <c r="FD17" s="580">
        <f>ROUND(16.2*2.4*0,0)</f>
        <v>0</v>
      </c>
      <c r="FE17" s="688">
        <v>0</v>
      </c>
      <c r="FF17" s="580">
        <f>ROUND(16.2*2.4*0,0)</f>
        <v>0</v>
      </c>
      <c r="FG17" s="688">
        <v>0</v>
      </c>
      <c r="FH17" s="582">
        <f>ROUND(16.2*2.4*0,0)</f>
        <v>0</v>
      </c>
      <c r="FI17" s="556"/>
      <c r="FJ17" s="557"/>
      <c r="FK17" s="575" t="s">
        <v>220</v>
      </c>
      <c r="FL17" s="684" t="s">
        <v>74</v>
      </c>
      <c r="FM17" s="576">
        <v>16.2</v>
      </c>
      <c r="FN17" s="685" t="s">
        <v>615</v>
      </c>
      <c r="FO17" s="686"/>
      <c r="FP17" s="689">
        <v>9</v>
      </c>
      <c r="FQ17" s="690">
        <v>23.5</v>
      </c>
      <c r="FR17" s="580">
        <f>ROUND(16.2*2.4*23.5,0)</f>
        <v>914</v>
      </c>
      <c r="FS17" s="691">
        <v>9</v>
      </c>
      <c r="FT17" s="690">
        <v>23.9</v>
      </c>
      <c r="FU17" s="585">
        <f>ROUND(16.2*2.4*23.9,0)</f>
        <v>929</v>
      </c>
      <c r="FV17" s="586"/>
      <c r="FW17" s="587"/>
      <c r="FX17" s="588"/>
      <c r="FY17" s="589"/>
      <c r="FZ17" s="590"/>
      <c r="GA17" s="591"/>
      <c r="GB17" s="592"/>
      <c r="GC17" s="593"/>
      <c r="GD17" s="592"/>
      <c r="GE17" s="594"/>
      <c r="GF17" s="681"/>
      <c r="GG17" s="595"/>
      <c r="GH17" s="595"/>
      <c r="GI17" s="595"/>
      <c r="GJ17" s="573"/>
      <c r="GK17" s="621"/>
      <c r="GL17" s="622"/>
      <c r="GM17" s="623"/>
      <c r="GN17" s="624"/>
      <c r="GO17" s="625"/>
      <c r="GP17" s="649"/>
      <c r="GQ17" s="626">
        <v>0</v>
      </c>
      <c r="GR17" s="627">
        <v>0</v>
      </c>
      <c r="GS17" s="692"/>
      <c r="GT17" s="682"/>
      <c r="GU17" s="621"/>
      <c r="GV17" s="622"/>
      <c r="GW17" s="628"/>
      <c r="GX17" s="629"/>
      <c r="GY17" s="630"/>
      <c r="GZ17" s="631"/>
      <c r="HA17" s="632">
        <v>0</v>
      </c>
      <c r="HB17" s="633"/>
      <c r="HC17" s="523"/>
      <c r="HD17" s="412"/>
      <c r="HE17" s="412"/>
      <c r="HF17" s="412"/>
      <c r="HG17" s="412"/>
    </row>
    <row r="18" spans="1:218" ht="20.100000000000001" customHeight="1">
      <c r="A18" s="545"/>
      <c r="B18" s="693" t="s">
        <v>237</v>
      </c>
      <c r="C18" s="684"/>
      <c r="D18" s="576">
        <v>33.880000000000003</v>
      </c>
      <c r="E18" s="685">
        <v>2.35</v>
      </c>
      <c r="F18" s="686"/>
      <c r="G18" s="687">
        <v>0</v>
      </c>
      <c r="H18" s="580">
        <f>ROUND(33.88*2.35*0,0)</f>
        <v>0</v>
      </c>
      <c r="I18" s="688">
        <v>0</v>
      </c>
      <c r="J18" s="580">
        <f>ROUND(33.88*2.35*0,0)</f>
        <v>0</v>
      </c>
      <c r="K18" s="688">
        <v>0</v>
      </c>
      <c r="L18" s="580">
        <f>ROUND(33.88*2.35*0,0)</f>
        <v>0</v>
      </c>
      <c r="M18" s="688">
        <v>0</v>
      </c>
      <c r="N18" s="580">
        <f>ROUND(33.88*2.35*0,0)</f>
        <v>0</v>
      </c>
      <c r="O18" s="688">
        <v>0</v>
      </c>
      <c r="P18" s="580">
        <f>ROUND(33.88*2.35*0,0)</f>
        <v>0</v>
      </c>
      <c r="Q18" s="688">
        <v>0</v>
      </c>
      <c r="R18" s="580">
        <f>ROUND(33.88*2.35*0,0)</f>
        <v>0</v>
      </c>
      <c r="S18" s="688">
        <v>0</v>
      </c>
      <c r="T18" s="580">
        <f>ROUND(33.88*2.35*0,0)</f>
        <v>0</v>
      </c>
      <c r="U18" s="688">
        <v>0</v>
      </c>
      <c r="V18" s="580">
        <f>ROUND(33.88*2.35*0,0)</f>
        <v>0</v>
      </c>
      <c r="W18" s="688">
        <v>0</v>
      </c>
      <c r="X18" s="580">
        <f>ROUND(33.88*2.35*0,0)</f>
        <v>0</v>
      </c>
      <c r="Y18" s="688">
        <v>0.3</v>
      </c>
      <c r="Z18" s="580">
        <f>ROUND(33.88*2.35*0.3,0)</f>
        <v>24</v>
      </c>
      <c r="AA18" s="688">
        <v>0.6</v>
      </c>
      <c r="AB18" s="580">
        <f>ROUND(33.88*2.35*0.6,0)</f>
        <v>48</v>
      </c>
      <c r="AC18" s="688">
        <v>0.8</v>
      </c>
      <c r="AD18" s="580">
        <f>ROUND(33.88*2.35*0.8,0)</f>
        <v>64</v>
      </c>
      <c r="AE18" s="688">
        <v>1.1000000000000001</v>
      </c>
      <c r="AF18" s="580">
        <f>ROUND(33.88*2.35*1.1,0)</f>
        <v>88</v>
      </c>
      <c r="AG18" s="688">
        <v>1.1000000000000001</v>
      </c>
      <c r="AH18" s="580">
        <f>ROUND(33.88*2.35*1.1,0)</f>
        <v>88</v>
      </c>
      <c r="AI18" s="688">
        <v>1.1000000000000001</v>
      </c>
      <c r="AJ18" s="580">
        <f>ROUND(33.88*2.35*1.1,0)</f>
        <v>88</v>
      </c>
      <c r="AK18" s="688">
        <v>0.9</v>
      </c>
      <c r="AL18" s="580">
        <f>ROUND(33.88*2.35*0.9,0)</f>
        <v>72</v>
      </c>
      <c r="AM18" s="688">
        <v>0.5</v>
      </c>
      <c r="AN18" s="580">
        <f>ROUND(33.88*2.35*0.5,0)</f>
        <v>40</v>
      </c>
      <c r="AO18" s="688">
        <v>0.2</v>
      </c>
      <c r="AP18" s="580">
        <f>ROUND(33.88*2.35*0.2,0)</f>
        <v>16</v>
      </c>
      <c r="AQ18" s="688">
        <v>0</v>
      </c>
      <c r="AR18" s="580">
        <f>ROUND(33.88*2.35*0,0)</f>
        <v>0</v>
      </c>
      <c r="AS18" s="688">
        <v>0</v>
      </c>
      <c r="AT18" s="580">
        <f>ROUND(33.88*2.35*0,0)</f>
        <v>0</v>
      </c>
      <c r="AU18" s="688">
        <v>0</v>
      </c>
      <c r="AV18" s="580">
        <f>ROUND(33.88*2.35*0,0)</f>
        <v>0</v>
      </c>
      <c r="AW18" s="688">
        <v>0</v>
      </c>
      <c r="AX18" s="580">
        <f>ROUND(33.88*2.35*0,0)</f>
        <v>0</v>
      </c>
      <c r="AY18" s="688">
        <v>0</v>
      </c>
      <c r="AZ18" s="580">
        <f>ROUND(33.88*2.35*0,0)</f>
        <v>0</v>
      </c>
      <c r="BA18" s="688">
        <v>0</v>
      </c>
      <c r="BB18" s="582">
        <f>ROUND(33.88*2.35*0,0)</f>
        <v>0</v>
      </c>
      <c r="BC18" s="555"/>
      <c r="BD18" s="545"/>
      <c r="BE18" s="693" t="s">
        <v>237</v>
      </c>
      <c r="BF18" s="684"/>
      <c r="BG18" s="576">
        <v>33.880000000000003</v>
      </c>
      <c r="BH18" s="685">
        <v>2.35</v>
      </c>
      <c r="BI18" s="686"/>
      <c r="BJ18" s="687">
        <v>0</v>
      </c>
      <c r="BK18" s="580">
        <f>ROUND(33.88*2.35*0,0)</f>
        <v>0</v>
      </c>
      <c r="BL18" s="688">
        <v>0</v>
      </c>
      <c r="BM18" s="580">
        <f>ROUND(33.88*2.35*0,0)</f>
        <v>0</v>
      </c>
      <c r="BN18" s="688">
        <v>0</v>
      </c>
      <c r="BO18" s="580">
        <f>ROUND(33.88*2.35*0,0)</f>
        <v>0</v>
      </c>
      <c r="BP18" s="688">
        <v>0</v>
      </c>
      <c r="BQ18" s="580">
        <f>ROUND(33.88*2.35*0,0)</f>
        <v>0</v>
      </c>
      <c r="BR18" s="688">
        <v>0</v>
      </c>
      <c r="BS18" s="580">
        <f>ROUND(33.88*2.35*0,0)</f>
        <v>0</v>
      </c>
      <c r="BT18" s="688">
        <v>0</v>
      </c>
      <c r="BU18" s="580">
        <f>ROUND(33.88*2.35*0,0)</f>
        <v>0</v>
      </c>
      <c r="BV18" s="688">
        <v>0</v>
      </c>
      <c r="BW18" s="580">
        <f>ROUND(33.88*2.35*0,0)</f>
        <v>0</v>
      </c>
      <c r="BX18" s="688">
        <v>0</v>
      </c>
      <c r="BY18" s="580">
        <f>ROUND(33.88*2.35*0,0)</f>
        <v>0</v>
      </c>
      <c r="BZ18" s="688">
        <v>0.2</v>
      </c>
      <c r="CA18" s="580">
        <f>ROUND(33.88*2.35*0.2,0)</f>
        <v>16</v>
      </c>
      <c r="CB18" s="688">
        <v>0.6</v>
      </c>
      <c r="CC18" s="580">
        <f>ROUND(33.88*2.35*0.6,0)</f>
        <v>48</v>
      </c>
      <c r="CD18" s="688">
        <v>0.9</v>
      </c>
      <c r="CE18" s="580">
        <f>ROUND(33.88*2.35*0.9,0)</f>
        <v>72</v>
      </c>
      <c r="CF18" s="688">
        <v>1.1000000000000001</v>
      </c>
      <c r="CG18" s="580">
        <f>ROUND(33.88*2.35*1.1,0)</f>
        <v>88</v>
      </c>
      <c r="CH18" s="688">
        <v>1.3</v>
      </c>
      <c r="CI18" s="580">
        <f>ROUND(33.88*2.35*1.3,0)</f>
        <v>104</v>
      </c>
      <c r="CJ18" s="688">
        <v>1.3</v>
      </c>
      <c r="CK18" s="580">
        <f>ROUND(33.88*2.35*1.3,0)</f>
        <v>104</v>
      </c>
      <c r="CL18" s="688">
        <v>1.3</v>
      </c>
      <c r="CM18" s="580">
        <f>ROUND(33.88*2.35*1.3,0)</f>
        <v>104</v>
      </c>
      <c r="CN18" s="688">
        <v>1.2</v>
      </c>
      <c r="CO18" s="580">
        <f>ROUND(33.88*2.35*1.2,0)</f>
        <v>96</v>
      </c>
      <c r="CP18" s="688">
        <v>0.9</v>
      </c>
      <c r="CQ18" s="580">
        <f>ROUND(33.88*2.35*0.9,0)</f>
        <v>72</v>
      </c>
      <c r="CR18" s="688">
        <v>0.4</v>
      </c>
      <c r="CS18" s="580">
        <f>ROUND(33.88*2.35*0.4,0)</f>
        <v>32</v>
      </c>
      <c r="CT18" s="688">
        <v>0</v>
      </c>
      <c r="CU18" s="580">
        <f>ROUND(33.88*2.35*0,0)</f>
        <v>0</v>
      </c>
      <c r="CV18" s="688">
        <v>0</v>
      </c>
      <c r="CW18" s="580">
        <f>ROUND(33.88*2.35*0,0)</f>
        <v>0</v>
      </c>
      <c r="CX18" s="688">
        <v>0</v>
      </c>
      <c r="CY18" s="580">
        <f>ROUND(33.88*2.35*0,0)</f>
        <v>0</v>
      </c>
      <c r="CZ18" s="688">
        <v>0</v>
      </c>
      <c r="DA18" s="580">
        <f>ROUND(33.88*2.35*0,0)</f>
        <v>0</v>
      </c>
      <c r="DB18" s="688">
        <v>0</v>
      </c>
      <c r="DC18" s="580">
        <f>ROUND(33.88*2.35*0,0)</f>
        <v>0</v>
      </c>
      <c r="DD18" s="688">
        <v>0</v>
      </c>
      <c r="DE18" s="582">
        <f>ROUND(33.88*2.35*0,0)</f>
        <v>0</v>
      </c>
      <c r="DF18" s="555"/>
      <c r="DG18" s="545"/>
      <c r="DH18" s="693" t="s">
        <v>237</v>
      </c>
      <c r="DI18" s="684"/>
      <c r="DJ18" s="576">
        <v>33.880000000000003</v>
      </c>
      <c r="DK18" s="685">
        <v>2.35</v>
      </c>
      <c r="DL18" s="686"/>
      <c r="DM18" s="687">
        <v>0</v>
      </c>
      <c r="DN18" s="580">
        <f>ROUND(33.88*2.35*0,0)</f>
        <v>0</v>
      </c>
      <c r="DO18" s="688">
        <v>0</v>
      </c>
      <c r="DP18" s="580">
        <f>ROUND(33.88*2.35*0,0)</f>
        <v>0</v>
      </c>
      <c r="DQ18" s="688">
        <v>0</v>
      </c>
      <c r="DR18" s="580">
        <f>ROUND(33.88*2.35*0,0)</f>
        <v>0</v>
      </c>
      <c r="DS18" s="688">
        <v>0</v>
      </c>
      <c r="DT18" s="580">
        <f>ROUND(33.88*2.35*0,0)</f>
        <v>0</v>
      </c>
      <c r="DU18" s="688">
        <v>0</v>
      </c>
      <c r="DV18" s="580">
        <f>ROUND(33.88*2.35*0,0)</f>
        <v>0</v>
      </c>
      <c r="DW18" s="688">
        <v>0</v>
      </c>
      <c r="DX18" s="580">
        <f>ROUND(33.88*2.35*0,0)</f>
        <v>0</v>
      </c>
      <c r="DY18" s="688">
        <v>0</v>
      </c>
      <c r="DZ18" s="580">
        <f>ROUND(33.88*2.35*0,0)</f>
        <v>0</v>
      </c>
      <c r="EA18" s="688">
        <v>0</v>
      </c>
      <c r="EB18" s="580">
        <f>ROUND(33.88*2.35*0,0)</f>
        <v>0</v>
      </c>
      <c r="EC18" s="688">
        <v>0</v>
      </c>
      <c r="ED18" s="580">
        <f>ROUND(33.88*2.35*0,0)</f>
        <v>0</v>
      </c>
      <c r="EE18" s="688">
        <v>0</v>
      </c>
      <c r="EF18" s="580">
        <f>ROUND(33.88*2.35*0,0)</f>
        <v>0</v>
      </c>
      <c r="EG18" s="688">
        <v>0</v>
      </c>
      <c r="EH18" s="580">
        <f>ROUND(33.88*2.35*0,0)</f>
        <v>0</v>
      </c>
      <c r="EI18" s="688">
        <v>0</v>
      </c>
      <c r="EJ18" s="580">
        <f>ROUND(33.88*2.35*0,0)</f>
        <v>0</v>
      </c>
      <c r="EK18" s="688">
        <v>0</v>
      </c>
      <c r="EL18" s="580">
        <f>ROUND(33.88*2.35*0,0)</f>
        <v>0</v>
      </c>
      <c r="EM18" s="688">
        <v>0</v>
      </c>
      <c r="EN18" s="580">
        <f>ROUND(33.88*2.35*0,0)</f>
        <v>0</v>
      </c>
      <c r="EO18" s="688">
        <v>0</v>
      </c>
      <c r="EP18" s="580">
        <f>ROUND(33.88*2.35*0,0)</f>
        <v>0</v>
      </c>
      <c r="EQ18" s="688">
        <v>0</v>
      </c>
      <c r="ER18" s="580">
        <f>ROUND(33.88*2.35*0,0)</f>
        <v>0</v>
      </c>
      <c r="ES18" s="688">
        <v>0</v>
      </c>
      <c r="ET18" s="580">
        <f>ROUND(33.88*2.35*0,0)</f>
        <v>0</v>
      </c>
      <c r="EU18" s="688">
        <v>0</v>
      </c>
      <c r="EV18" s="580">
        <f>ROUND(33.88*2.35*0,0)</f>
        <v>0</v>
      </c>
      <c r="EW18" s="688">
        <v>0</v>
      </c>
      <c r="EX18" s="580">
        <f>ROUND(33.88*2.35*0,0)</f>
        <v>0</v>
      </c>
      <c r="EY18" s="688">
        <v>0</v>
      </c>
      <c r="EZ18" s="580">
        <f>ROUND(33.88*2.35*0,0)</f>
        <v>0</v>
      </c>
      <c r="FA18" s="688">
        <v>0</v>
      </c>
      <c r="FB18" s="580">
        <f>ROUND(33.88*2.35*0,0)</f>
        <v>0</v>
      </c>
      <c r="FC18" s="688">
        <v>0</v>
      </c>
      <c r="FD18" s="580">
        <f>ROUND(33.88*2.35*0,0)</f>
        <v>0</v>
      </c>
      <c r="FE18" s="688">
        <v>0</v>
      </c>
      <c r="FF18" s="580">
        <f>ROUND(33.88*2.35*0,0)</f>
        <v>0</v>
      </c>
      <c r="FG18" s="688">
        <v>0</v>
      </c>
      <c r="FH18" s="582">
        <f>ROUND(33.88*2.35*0,0)</f>
        <v>0</v>
      </c>
      <c r="FI18" s="556"/>
      <c r="FJ18" s="557"/>
      <c r="FK18" s="693" t="s">
        <v>237</v>
      </c>
      <c r="FL18" s="684"/>
      <c r="FM18" s="576">
        <v>33.880000000000003</v>
      </c>
      <c r="FN18" s="685">
        <v>2.35</v>
      </c>
      <c r="FO18" s="686"/>
      <c r="FP18" s="689">
        <v>9</v>
      </c>
      <c r="FQ18" s="690">
        <v>7</v>
      </c>
      <c r="FR18" s="580">
        <f>ROUND(33.88*2.35*7,0)</f>
        <v>557</v>
      </c>
      <c r="FS18" s="691">
        <v>9</v>
      </c>
      <c r="FT18" s="690">
        <v>7.2</v>
      </c>
      <c r="FU18" s="585">
        <f>ROUND(33.88*2.35*7.2,0)</f>
        <v>573</v>
      </c>
      <c r="FV18" s="586"/>
      <c r="FW18" s="587"/>
      <c r="FX18" s="588"/>
      <c r="FY18" s="589"/>
      <c r="FZ18" s="590"/>
      <c r="GA18" s="591"/>
      <c r="GB18" s="592"/>
      <c r="GC18" s="593"/>
      <c r="GD18" s="592"/>
      <c r="GE18" s="594"/>
      <c r="GF18" s="681"/>
      <c r="GG18" s="595"/>
      <c r="GH18" s="595"/>
      <c r="GI18" s="595"/>
      <c r="GJ18" s="406"/>
      <c r="GK18" s="621"/>
      <c r="GL18" s="622"/>
      <c r="GM18" s="623"/>
      <c r="GN18" s="624"/>
      <c r="GO18" s="625"/>
      <c r="GP18" s="649"/>
      <c r="GQ18" s="626">
        <v>0</v>
      </c>
      <c r="GR18" s="627">
        <v>0</v>
      </c>
      <c r="GS18" s="406"/>
      <c r="GT18" s="410"/>
      <c r="GU18" s="621"/>
      <c r="GV18" s="622"/>
      <c r="GW18" s="628"/>
      <c r="GX18" s="629"/>
      <c r="GY18" s="630"/>
      <c r="GZ18" s="631"/>
      <c r="HA18" s="632">
        <v>0</v>
      </c>
      <c r="HB18" s="633"/>
      <c r="HC18" s="572"/>
      <c r="HD18" s="555"/>
      <c r="HE18" s="412"/>
      <c r="HF18" s="412"/>
      <c r="HG18" s="412"/>
    </row>
    <row r="19" spans="1:218" ht="20.100000000000001" customHeight="1">
      <c r="A19" s="545"/>
      <c r="B19" s="693" t="s">
        <v>227</v>
      </c>
      <c r="C19" s="684"/>
      <c r="D19" s="576">
        <v>153.66999999999999</v>
      </c>
      <c r="E19" s="685">
        <v>0.47</v>
      </c>
      <c r="F19" s="686"/>
      <c r="G19" s="687">
        <v>0</v>
      </c>
      <c r="H19" s="580">
        <f>ROUND(153.67*0.47*0,0)</f>
        <v>0</v>
      </c>
      <c r="I19" s="688">
        <v>0</v>
      </c>
      <c r="J19" s="580">
        <f>ROUND(153.67*0.47*0,0)</f>
        <v>0</v>
      </c>
      <c r="K19" s="688">
        <v>0</v>
      </c>
      <c r="L19" s="580">
        <f>ROUND(153.67*0.47*0,0)</f>
        <v>0</v>
      </c>
      <c r="M19" s="688">
        <v>0</v>
      </c>
      <c r="N19" s="580">
        <f>ROUND(153.67*0.47*0,0)</f>
        <v>0</v>
      </c>
      <c r="O19" s="688">
        <v>0</v>
      </c>
      <c r="P19" s="580">
        <f>ROUND(153.67*0.47*0,0)</f>
        <v>0</v>
      </c>
      <c r="Q19" s="688">
        <v>0</v>
      </c>
      <c r="R19" s="580">
        <f>ROUND(153.67*0.47*0,0)</f>
        <v>0</v>
      </c>
      <c r="S19" s="688">
        <v>0</v>
      </c>
      <c r="T19" s="580">
        <f>ROUND(153.67*0.47*0,0)</f>
        <v>0</v>
      </c>
      <c r="U19" s="688">
        <v>0</v>
      </c>
      <c r="V19" s="580">
        <f>ROUND(153.67*0.47*0,0)</f>
        <v>0</v>
      </c>
      <c r="W19" s="688">
        <v>0</v>
      </c>
      <c r="X19" s="580">
        <f>ROUND(153.67*0.47*0,0)</f>
        <v>0</v>
      </c>
      <c r="Y19" s="688">
        <v>0</v>
      </c>
      <c r="Z19" s="580">
        <f>ROUND(153.67*0.47*0,0)</f>
        <v>0</v>
      </c>
      <c r="AA19" s="688">
        <v>0</v>
      </c>
      <c r="AB19" s="580">
        <f>ROUND(153.67*0.47*0,0)</f>
        <v>0</v>
      </c>
      <c r="AC19" s="688">
        <v>0</v>
      </c>
      <c r="AD19" s="580">
        <f>ROUND(153.67*0.47*0,0)</f>
        <v>0</v>
      </c>
      <c r="AE19" s="688">
        <v>0.1</v>
      </c>
      <c r="AF19" s="580">
        <f>ROUND(153.67*0.47*0.1,0)</f>
        <v>7</v>
      </c>
      <c r="AG19" s="688">
        <v>0.7</v>
      </c>
      <c r="AH19" s="580">
        <f>ROUND(153.67*0.47*0.7,0)</f>
        <v>51</v>
      </c>
      <c r="AI19" s="688">
        <v>1.6</v>
      </c>
      <c r="AJ19" s="580">
        <f>ROUND(153.67*0.47*1.6,0)</f>
        <v>116</v>
      </c>
      <c r="AK19" s="688">
        <v>2.5</v>
      </c>
      <c r="AL19" s="580">
        <f>ROUND(153.67*0.47*2.5,0)</f>
        <v>181</v>
      </c>
      <c r="AM19" s="688">
        <v>3.5</v>
      </c>
      <c r="AN19" s="580">
        <f>ROUND(153.67*0.47*3.5,0)</f>
        <v>253</v>
      </c>
      <c r="AO19" s="688">
        <v>4.4000000000000004</v>
      </c>
      <c r="AP19" s="580">
        <f>ROUND(153.67*0.47*4.4,0)</f>
        <v>318</v>
      </c>
      <c r="AQ19" s="688">
        <v>0</v>
      </c>
      <c r="AR19" s="580">
        <f>ROUND(153.67*0.47*0,0)</f>
        <v>0</v>
      </c>
      <c r="AS19" s="688">
        <v>0</v>
      </c>
      <c r="AT19" s="580">
        <f>ROUND(153.67*0.47*0,0)</f>
        <v>0</v>
      </c>
      <c r="AU19" s="688">
        <v>0</v>
      </c>
      <c r="AV19" s="580">
        <f>ROUND(153.67*0.47*0,0)</f>
        <v>0</v>
      </c>
      <c r="AW19" s="688">
        <v>0</v>
      </c>
      <c r="AX19" s="580">
        <f>ROUND(153.67*0.47*0,0)</f>
        <v>0</v>
      </c>
      <c r="AY19" s="688">
        <v>0</v>
      </c>
      <c r="AZ19" s="580">
        <f>ROUND(153.67*0.47*0,0)</f>
        <v>0</v>
      </c>
      <c r="BA19" s="688">
        <v>0</v>
      </c>
      <c r="BB19" s="582">
        <f>ROUND(153.67*0.47*0,0)</f>
        <v>0</v>
      </c>
      <c r="BC19" s="555"/>
      <c r="BD19" s="545"/>
      <c r="BE19" s="693" t="s">
        <v>227</v>
      </c>
      <c r="BF19" s="684"/>
      <c r="BG19" s="576">
        <v>153.66999999999999</v>
      </c>
      <c r="BH19" s="685">
        <v>0.47</v>
      </c>
      <c r="BI19" s="686"/>
      <c r="BJ19" s="687">
        <v>0</v>
      </c>
      <c r="BK19" s="580">
        <f>ROUND(153.67*0.47*0,0)</f>
        <v>0</v>
      </c>
      <c r="BL19" s="688">
        <v>0</v>
      </c>
      <c r="BM19" s="580">
        <f>ROUND(153.67*0.47*0,0)</f>
        <v>0</v>
      </c>
      <c r="BN19" s="688">
        <v>0</v>
      </c>
      <c r="BO19" s="580">
        <f>ROUND(153.67*0.47*0,0)</f>
        <v>0</v>
      </c>
      <c r="BP19" s="688">
        <v>0</v>
      </c>
      <c r="BQ19" s="580">
        <f>ROUND(153.67*0.47*0,0)</f>
        <v>0</v>
      </c>
      <c r="BR19" s="688">
        <v>0</v>
      </c>
      <c r="BS19" s="580">
        <f>ROUND(153.67*0.47*0,0)</f>
        <v>0</v>
      </c>
      <c r="BT19" s="688">
        <v>0</v>
      </c>
      <c r="BU19" s="580">
        <f>ROUND(153.67*0.47*0,0)</f>
        <v>0</v>
      </c>
      <c r="BV19" s="688">
        <v>0</v>
      </c>
      <c r="BW19" s="580">
        <f>ROUND(153.67*0.47*0,0)</f>
        <v>0</v>
      </c>
      <c r="BX19" s="688">
        <v>0</v>
      </c>
      <c r="BY19" s="580">
        <f>ROUND(153.67*0.47*0,0)</f>
        <v>0</v>
      </c>
      <c r="BZ19" s="688">
        <v>0</v>
      </c>
      <c r="CA19" s="580">
        <f>ROUND(153.67*0.47*0,0)</f>
        <v>0</v>
      </c>
      <c r="CB19" s="688">
        <v>0</v>
      </c>
      <c r="CC19" s="580">
        <f>ROUND(153.67*0.47*0,0)</f>
        <v>0</v>
      </c>
      <c r="CD19" s="688">
        <v>0</v>
      </c>
      <c r="CE19" s="580">
        <f>ROUND(153.67*0.47*0,0)</f>
        <v>0</v>
      </c>
      <c r="CF19" s="688">
        <v>0</v>
      </c>
      <c r="CG19" s="580">
        <f>ROUND(153.67*0.47*0,0)</f>
        <v>0</v>
      </c>
      <c r="CH19" s="688">
        <v>0.1</v>
      </c>
      <c r="CI19" s="580">
        <f>ROUND(153.67*0.47*0.1,0)</f>
        <v>7</v>
      </c>
      <c r="CJ19" s="688">
        <v>0.9</v>
      </c>
      <c r="CK19" s="580">
        <f>ROUND(153.67*0.47*0.9,0)</f>
        <v>65</v>
      </c>
      <c r="CL19" s="688">
        <v>1.8</v>
      </c>
      <c r="CM19" s="580">
        <f>ROUND(153.67*0.47*1.8,0)</f>
        <v>130</v>
      </c>
      <c r="CN19" s="688">
        <v>2.9</v>
      </c>
      <c r="CO19" s="580">
        <f>ROUND(153.67*0.47*2.9,0)</f>
        <v>209</v>
      </c>
      <c r="CP19" s="688">
        <v>4</v>
      </c>
      <c r="CQ19" s="580">
        <f>ROUND(153.67*0.47*4,0)</f>
        <v>289</v>
      </c>
      <c r="CR19" s="688">
        <v>4.9000000000000004</v>
      </c>
      <c r="CS19" s="580">
        <f>ROUND(153.67*0.47*4.9,0)</f>
        <v>354</v>
      </c>
      <c r="CT19" s="688">
        <v>0</v>
      </c>
      <c r="CU19" s="580">
        <f>ROUND(153.67*0.47*0,0)</f>
        <v>0</v>
      </c>
      <c r="CV19" s="688">
        <v>0</v>
      </c>
      <c r="CW19" s="580">
        <f>ROUND(153.67*0.47*0,0)</f>
        <v>0</v>
      </c>
      <c r="CX19" s="688">
        <v>0</v>
      </c>
      <c r="CY19" s="580">
        <f>ROUND(153.67*0.47*0,0)</f>
        <v>0</v>
      </c>
      <c r="CZ19" s="688">
        <v>0</v>
      </c>
      <c r="DA19" s="580">
        <f>ROUND(153.67*0.47*0,0)</f>
        <v>0</v>
      </c>
      <c r="DB19" s="688">
        <v>0</v>
      </c>
      <c r="DC19" s="580">
        <f>ROUND(153.67*0.47*0,0)</f>
        <v>0</v>
      </c>
      <c r="DD19" s="688">
        <v>0</v>
      </c>
      <c r="DE19" s="582">
        <f>ROUND(153.67*0.47*0,0)</f>
        <v>0</v>
      </c>
      <c r="DF19" s="555"/>
      <c r="DG19" s="545"/>
      <c r="DH19" s="693" t="s">
        <v>227</v>
      </c>
      <c r="DI19" s="684"/>
      <c r="DJ19" s="576">
        <v>153.66999999999999</v>
      </c>
      <c r="DK19" s="685">
        <v>0.47</v>
      </c>
      <c r="DL19" s="686"/>
      <c r="DM19" s="687">
        <v>0</v>
      </c>
      <c r="DN19" s="580">
        <f>ROUND(153.67*0.47*0,0)</f>
        <v>0</v>
      </c>
      <c r="DO19" s="688">
        <v>0</v>
      </c>
      <c r="DP19" s="580">
        <f>ROUND(153.67*0.47*0,0)</f>
        <v>0</v>
      </c>
      <c r="DQ19" s="688">
        <v>0</v>
      </c>
      <c r="DR19" s="580">
        <f>ROUND(153.67*0.47*0,0)</f>
        <v>0</v>
      </c>
      <c r="DS19" s="688">
        <v>0</v>
      </c>
      <c r="DT19" s="580">
        <f>ROUND(153.67*0.47*0,0)</f>
        <v>0</v>
      </c>
      <c r="DU19" s="688">
        <v>0</v>
      </c>
      <c r="DV19" s="580">
        <f>ROUND(153.67*0.47*0,0)</f>
        <v>0</v>
      </c>
      <c r="DW19" s="688">
        <v>0</v>
      </c>
      <c r="DX19" s="580">
        <f>ROUND(153.67*0.47*0,0)</f>
        <v>0</v>
      </c>
      <c r="DY19" s="688">
        <v>0</v>
      </c>
      <c r="DZ19" s="580">
        <f>ROUND(153.67*0.47*0,0)</f>
        <v>0</v>
      </c>
      <c r="EA19" s="688">
        <v>0</v>
      </c>
      <c r="EB19" s="580">
        <f>ROUND(153.67*0.47*0,0)</f>
        <v>0</v>
      </c>
      <c r="EC19" s="688">
        <v>0</v>
      </c>
      <c r="ED19" s="580">
        <f>ROUND(153.67*0.47*0,0)</f>
        <v>0</v>
      </c>
      <c r="EE19" s="688">
        <v>0</v>
      </c>
      <c r="EF19" s="580">
        <f>ROUND(153.67*0.47*0,0)</f>
        <v>0</v>
      </c>
      <c r="EG19" s="688">
        <v>0</v>
      </c>
      <c r="EH19" s="580">
        <f>ROUND(153.67*0.47*0,0)</f>
        <v>0</v>
      </c>
      <c r="EI19" s="688">
        <v>0</v>
      </c>
      <c r="EJ19" s="580">
        <f>ROUND(153.67*0.47*0,0)</f>
        <v>0</v>
      </c>
      <c r="EK19" s="688">
        <v>0</v>
      </c>
      <c r="EL19" s="580">
        <f>ROUND(153.67*0.47*0,0)</f>
        <v>0</v>
      </c>
      <c r="EM19" s="688">
        <v>0</v>
      </c>
      <c r="EN19" s="580">
        <f>ROUND(153.67*0.47*0,0)</f>
        <v>0</v>
      </c>
      <c r="EO19" s="688">
        <v>0</v>
      </c>
      <c r="EP19" s="580">
        <f>ROUND(153.67*0.47*0,0)</f>
        <v>0</v>
      </c>
      <c r="EQ19" s="688">
        <v>0</v>
      </c>
      <c r="ER19" s="580">
        <f>ROUND(153.67*0.47*0,0)</f>
        <v>0</v>
      </c>
      <c r="ES19" s="688">
        <v>1.3</v>
      </c>
      <c r="ET19" s="580">
        <f>ROUND(153.67*0.47*1.3,0)</f>
        <v>94</v>
      </c>
      <c r="EU19" s="688">
        <v>2.5</v>
      </c>
      <c r="EV19" s="580">
        <f>ROUND(153.67*0.47*2.5,0)</f>
        <v>181</v>
      </c>
      <c r="EW19" s="688">
        <v>0</v>
      </c>
      <c r="EX19" s="580">
        <f>ROUND(153.67*0.47*0,0)</f>
        <v>0</v>
      </c>
      <c r="EY19" s="688">
        <v>0</v>
      </c>
      <c r="EZ19" s="580">
        <f>ROUND(153.67*0.47*0,0)</f>
        <v>0</v>
      </c>
      <c r="FA19" s="688">
        <v>0</v>
      </c>
      <c r="FB19" s="580">
        <f>ROUND(153.67*0.47*0,0)</f>
        <v>0</v>
      </c>
      <c r="FC19" s="688">
        <v>0</v>
      </c>
      <c r="FD19" s="580">
        <f>ROUND(153.67*0.47*0,0)</f>
        <v>0</v>
      </c>
      <c r="FE19" s="688">
        <v>0</v>
      </c>
      <c r="FF19" s="580">
        <f>ROUND(153.67*0.47*0,0)</f>
        <v>0</v>
      </c>
      <c r="FG19" s="688">
        <v>0</v>
      </c>
      <c r="FH19" s="582">
        <f>ROUND(153.67*0.47*0,0)</f>
        <v>0</v>
      </c>
      <c r="FI19" s="556"/>
      <c r="FJ19" s="557"/>
      <c r="FK19" s="693" t="s">
        <v>227</v>
      </c>
      <c r="FL19" s="684"/>
      <c r="FM19" s="576">
        <v>153.66999999999999</v>
      </c>
      <c r="FN19" s="685">
        <v>0.47</v>
      </c>
      <c r="FO19" s="686"/>
      <c r="FP19" s="689">
        <v>9</v>
      </c>
      <c r="FQ19" s="690">
        <v>23.5</v>
      </c>
      <c r="FR19" s="580">
        <f>ROUND(153.67*0.47*23.5,0)</f>
        <v>1697</v>
      </c>
      <c r="FS19" s="691">
        <v>9</v>
      </c>
      <c r="FT19" s="690">
        <v>23.9</v>
      </c>
      <c r="FU19" s="585">
        <f>ROUND(153.67*0.47*23.9,0)</f>
        <v>1726</v>
      </c>
      <c r="FV19" s="586"/>
      <c r="FW19" s="587"/>
      <c r="FX19" s="588"/>
      <c r="FY19" s="589"/>
      <c r="FZ19" s="590"/>
      <c r="GA19" s="591"/>
      <c r="GB19" s="592"/>
      <c r="GC19" s="593"/>
      <c r="GD19" s="592"/>
      <c r="GE19" s="594"/>
      <c r="GF19" s="681"/>
      <c r="GG19" s="595"/>
      <c r="GH19" s="595"/>
      <c r="GI19" s="595"/>
      <c r="GJ19" s="406"/>
      <c r="GK19" s="621"/>
      <c r="GL19" s="622"/>
      <c r="GM19" s="623"/>
      <c r="GN19" s="624"/>
      <c r="GO19" s="625"/>
      <c r="GP19" s="649"/>
      <c r="GQ19" s="626">
        <v>0</v>
      </c>
      <c r="GR19" s="627">
        <v>0</v>
      </c>
      <c r="GS19" s="406"/>
      <c r="GT19" s="650"/>
      <c r="GU19" s="621"/>
      <c r="GV19" s="622"/>
      <c r="GW19" s="628"/>
      <c r="GX19" s="629"/>
      <c r="GY19" s="630"/>
      <c r="GZ19" s="631"/>
      <c r="HA19" s="632">
        <v>0</v>
      </c>
      <c r="HB19" s="633"/>
      <c r="HC19" s="522"/>
      <c r="HD19" s="555"/>
      <c r="HE19" s="412"/>
      <c r="HF19" s="412"/>
      <c r="HG19" s="412"/>
    </row>
    <row r="20" spans="1:218" ht="20.100000000000001" customHeight="1">
      <c r="A20" s="545"/>
      <c r="B20" s="693"/>
      <c r="C20" s="684"/>
      <c r="D20" s="576"/>
      <c r="E20" s="685"/>
      <c r="F20" s="686"/>
      <c r="G20" s="687"/>
      <c r="H20" s="580"/>
      <c r="I20" s="688"/>
      <c r="J20" s="580"/>
      <c r="K20" s="688"/>
      <c r="L20" s="580"/>
      <c r="M20" s="688"/>
      <c r="N20" s="580"/>
      <c r="O20" s="688"/>
      <c r="P20" s="580"/>
      <c r="Q20" s="688"/>
      <c r="R20" s="580"/>
      <c r="S20" s="688"/>
      <c r="T20" s="580"/>
      <c r="U20" s="688"/>
      <c r="V20" s="580"/>
      <c r="W20" s="688"/>
      <c r="X20" s="580"/>
      <c r="Y20" s="688"/>
      <c r="Z20" s="580"/>
      <c r="AA20" s="688"/>
      <c r="AB20" s="580"/>
      <c r="AC20" s="688"/>
      <c r="AD20" s="580"/>
      <c r="AE20" s="688"/>
      <c r="AF20" s="580"/>
      <c r="AG20" s="688"/>
      <c r="AH20" s="580"/>
      <c r="AI20" s="688"/>
      <c r="AJ20" s="580"/>
      <c r="AK20" s="688"/>
      <c r="AL20" s="580"/>
      <c r="AM20" s="688"/>
      <c r="AN20" s="580"/>
      <c r="AO20" s="688"/>
      <c r="AP20" s="580"/>
      <c r="AQ20" s="688"/>
      <c r="AR20" s="580"/>
      <c r="AS20" s="688"/>
      <c r="AT20" s="580"/>
      <c r="AU20" s="688"/>
      <c r="AV20" s="580"/>
      <c r="AW20" s="688"/>
      <c r="AX20" s="580"/>
      <c r="AY20" s="688"/>
      <c r="AZ20" s="580"/>
      <c r="BA20" s="688"/>
      <c r="BB20" s="582"/>
      <c r="BC20" s="555"/>
      <c r="BD20" s="545"/>
      <c r="BE20" s="693"/>
      <c r="BF20" s="684"/>
      <c r="BG20" s="576"/>
      <c r="BH20" s="685"/>
      <c r="BI20" s="686"/>
      <c r="BJ20" s="687"/>
      <c r="BK20" s="580"/>
      <c r="BL20" s="688"/>
      <c r="BM20" s="580"/>
      <c r="BN20" s="688"/>
      <c r="BO20" s="580"/>
      <c r="BP20" s="688"/>
      <c r="BQ20" s="580"/>
      <c r="BR20" s="688"/>
      <c r="BS20" s="580"/>
      <c r="BT20" s="688"/>
      <c r="BU20" s="580"/>
      <c r="BV20" s="688"/>
      <c r="BW20" s="580"/>
      <c r="BX20" s="688"/>
      <c r="BY20" s="580"/>
      <c r="BZ20" s="688"/>
      <c r="CA20" s="580"/>
      <c r="CB20" s="688"/>
      <c r="CC20" s="580"/>
      <c r="CD20" s="688"/>
      <c r="CE20" s="580"/>
      <c r="CF20" s="688"/>
      <c r="CG20" s="580"/>
      <c r="CH20" s="688"/>
      <c r="CI20" s="580"/>
      <c r="CJ20" s="688"/>
      <c r="CK20" s="580"/>
      <c r="CL20" s="688"/>
      <c r="CM20" s="580"/>
      <c r="CN20" s="688"/>
      <c r="CO20" s="580"/>
      <c r="CP20" s="688"/>
      <c r="CQ20" s="580"/>
      <c r="CR20" s="688"/>
      <c r="CS20" s="580"/>
      <c r="CT20" s="688"/>
      <c r="CU20" s="580"/>
      <c r="CV20" s="688"/>
      <c r="CW20" s="580"/>
      <c r="CX20" s="688"/>
      <c r="CY20" s="580"/>
      <c r="CZ20" s="688"/>
      <c r="DA20" s="580"/>
      <c r="DB20" s="688"/>
      <c r="DC20" s="580"/>
      <c r="DD20" s="688"/>
      <c r="DE20" s="582"/>
      <c r="DF20" s="555"/>
      <c r="DG20" s="545"/>
      <c r="DH20" s="693"/>
      <c r="DI20" s="684"/>
      <c r="DJ20" s="576"/>
      <c r="DK20" s="685"/>
      <c r="DL20" s="686"/>
      <c r="DM20" s="687"/>
      <c r="DN20" s="580"/>
      <c r="DO20" s="688"/>
      <c r="DP20" s="580"/>
      <c r="DQ20" s="688"/>
      <c r="DR20" s="580"/>
      <c r="DS20" s="688"/>
      <c r="DT20" s="580"/>
      <c r="DU20" s="688"/>
      <c r="DV20" s="580"/>
      <c r="DW20" s="688"/>
      <c r="DX20" s="580"/>
      <c r="DY20" s="688"/>
      <c r="DZ20" s="580"/>
      <c r="EA20" s="688"/>
      <c r="EB20" s="580"/>
      <c r="EC20" s="688"/>
      <c r="ED20" s="580"/>
      <c r="EE20" s="688"/>
      <c r="EF20" s="580"/>
      <c r="EG20" s="688"/>
      <c r="EH20" s="580"/>
      <c r="EI20" s="688"/>
      <c r="EJ20" s="580"/>
      <c r="EK20" s="688"/>
      <c r="EL20" s="580"/>
      <c r="EM20" s="688"/>
      <c r="EN20" s="580"/>
      <c r="EO20" s="688"/>
      <c r="EP20" s="580"/>
      <c r="EQ20" s="688"/>
      <c r="ER20" s="580"/>
      <c r="ES20" s="688"/>
      <c r="ET20" s="580"/>
      <c r="EU20" s="688"/>
      <c r="EV20" s="580"/>
      <c r="EW20" s="688"/>
      <c r="EX20" s="580"/>
      <c r="EY20" s="688"/>
      <c r="EZ20" s="580"/>
      <c r="FA20" s="688"/>
      <c r="FB20" s="580"/>
      <c r="FC20" s="688"/>
      <c r="FD20" s="580"/>
      <c r="FE20" s="688"/>
      <c r="FF20" s="580"/>
      <c r="FG20" s="688"/>
      <c r="FH20" s="582"/>
      <c r="FI20" s="556"/>
      <c r="FJ20" s="557"/>
      <c r="FK20" s="693"/>
      <c r="FL20" s="684"/>
      <c r="FM20" s="576"/>
      <c r="FN20" s="685"/>
      <c r="FO20" s="686"/>
      <c r="FP20" s="689"/>
      <c r="FQ20" s="690"/>
      <c r="FR20" s="580"/>
      <c r="FS20" s="691"/>
      <c r="FT20" s="690"/>
      <c r="FU20" s="585"/>
      <c r="FV20" s="586"/>
      <c r="FW20" s="587"/>
      <c r="FX20" s="588"/>
      <c r="FY20" s="589"/>
      <c r="FZ20" s="590"/>
      <c r="GA20" s="591"/>
      <c r="GB20" s="592"/>
      <c r="GC20" s="593"/>
      <c r="GD20" s="592"/>
      <c r="GE20" s="594"/>
      <c r="GF20" s="681"/>
      <c r="GG20" s="595"/>
      <c r="GH20" s="595"/>
      <c r="GI20" s="595"/>
      <c r="GJ20" s="406"/>
      <c r="GK20" s="621"/>
      <c r="GL20" s="622"/>
      <c r="GM20" s="623"/>
      <c r="GN20" s="624"/>
      <c r="GO20" s="625"/>
      <c r="GP20" s="649"/>
      <c r="GQ20" s="626">
        <v>0</v>
      </c>
      <c r="GR20" s="627">
        <v>0</v>
      </c>
      <c r="GS20" s="410"/>
      <c r="GT20" s="650"/>
      <c r="GU20" s="621"/>
      <c r="GV20" s="622"/>
      <c r="GW20" s="628"/>
      <c r="GX20" s="629"/>
      <c r="GY20" s="630"/>
      <c r="GZ20" s="631"/>
      <c r="HA20" s="632">
        <v>0</v>
      </c>
      <c r="HB20" s="633"/>
      <c r="HC20" s="406"/>
      <c r="HD20" s="555"/>
      <c r="HE20" s="412"/>
      <c r="HF20" s="412"/>
      <c r="HG20" s="412"/>
    </row>
    <row r="21" spans="1:218" ht="20.100000000000001" customHeight="1">
      <c r="A21" s="545"/>
      <c r="B21" s="693"/>
      <c r="C21" s="684"/>
      <c r="D21" s="576"/>
      <c r="E21" s="685"/>
      <c r="F21" s="686"/>
      <c r="G21" s="687"/>
      <c r="H21" s="580"/>
      <c r="I21" s="688"/>
      <c r="J21" s="580"/>
      <c r="K21" s="688"/>
      <c r="L21" s="580"/>
      <c r="M21" s="688"/>
      <c r="N21" s="580"/>
      <c r="O21" s="688"/>
      <c r="P21" s="580"/>
      <c r="Q21" s="688"/>
      <c r="R21" s="580"/>
      <c r="S21" s="688"/>
      <c r="T21" s="580"/>
      <c r="U21" s="688"/>
      <c r="V21" s="580"/>
      <c r="W21" s="688"/>
      <c r="X21" s="580"/>
      <c r="Y21" s="688"/>
      <c r="Z21" s="580"/>
      <c r="AA21" s="688"/>
      <c r="AB21" s="580"/>
      <c r="AC21" s="688"/>
      <c r="AD21" s="580"/>
      <c r="AE21" s="688"/>
      <c r="AF21" s="580"/>
      <c r="AG21" s="688"/>
      <c r="AH21" s="580"/>
      <c r="AI21" s="688"/>
      <c r="AJ21" s="580"/>
      <c r="AK21" s="688"/>
      <c r="AL21" s="580"/>
      <c r="AM21" s="688"/>
      <c r="AN21" s="580"/>
      <c r="AO21" s="688"/>
      <c r="AP21" s="580"/>
      <c r="AQ21" s="688"/>
      <c r="AR21" s="580"/>
      <c r="AS21" s="688"/>
      <c r="AT21" s="580"/>
      <c r="AU21" s="688"/>
      <c r="AV21" s="580"/>
      <c r="AW21" s="688"/>
      <c r="AX21" s="580"/>
      <c r="AY21" s="688"/>
      <c r="AZ21" s="580"/>
      <c r="BA21" s="688"/>
      <c r="BB21" s="582"/>
      <c r="BC21" s="555"/>
      <c r="BD21" s="545"/>
      <c r="BE21" s="693"/>
      <c r="BF21" s="684"/>
      <c r="BG21" s="576"/>
      <c r="BH21" s="685"/>
      <c r="BI21" s="686"/>
      <c r="BJ21" s="687"/>
      <c r="BK21" s="580"/>
      <c r="BL21" s="688"/>
      <c r="BM21" s="580"/>
      <c r="BN21" s="688"/>
      <c r="BO21" s="580"/>
      <c r="BP21" s="688"/>
      <c r="BQ21" s="580"/>
      <c r="BR21" s="688"/>
      <c r="BS21" s="580"/>
      <c r="BT21" s="688"/>
      <c r="BU21" s="580"/>
      <c r="BV21" s="688"/>
      <c r="BW21" s="580"/>
      <c r="BX21" s="688"/>
      <c r="BY21" s="580"/>
      <c r="BZ21" s="688"/>
      <c r="CA21" s="580"/>
      <c r="CB21" s="688"/>
      <c r="CC21" s="580"/>
      <c r="CD21" s="688"/>
      <c r="CE21" s="580"/>
      <c r="CF21" s="688"/>
      <c r="CG21" s="580"/>
      <c r="CH21" s="688"/>
      <c r="CI21" s="580"/>
      <c r="CJ21" s="688"/>
      <c r="CK21" s="580"/>
      <c r="CL21" s="688"/>
      <c r="CM21" s="580"/>
      <c r="CN21" s="688"/>
      <c r="CO21" s="580"/>
      <c r="CP21" s="688"/>
      <c r="CQ21" s="580"/>
      <c r="CR21" s="688"/>
      <c r="CS21" s="580"/>
      <c r="CT21" s="688"/>
      <c r="CU21" s="580"/>
      <c r="CV21" s="688"/>
      <c r="CW21" s="580"/>
      <c r="CX21" s="688"/>
      <c r="CY21" s="580"/>
      <c r="CZ21" s="688"/>
      <c r="DA21" s="580"/>
      <c r="DB21" s="688"/>
      <c r="DC21" s="580"/>
      <c r="DD21" s="688"/>
      <c r="DE21" s="582"/>
      <c r="DF21" s="555"/>
      <c r="DG21" s="545"/>
      <c r="DH21" s="693"/>
      <c r="DI21" s="684"/>
      <c r="DJ21" s="576"/>
      <c r="DK21" s="685"/>
      <c r="DL21" s="686"/>
      <c r="DM21" s="687"/>
      <c r="DN21" s="580"/>
      <c r="DO21" s="688"/>
      <c r="DP21" s="580"/>
      <c r="DQ21" s="688"/>
      <c r="DR21" s="580"/>
      <c r="DS21" s="688"/>
      <c r="DT21" s="580"/>
      <c r="DU21" s="688"/>
      <c r="DV21" s="580"/>
      <c r="DW21" s="688"/>
      <c r="DX21" s="580"/>
      <c r="DY21" s="688"/>
      <c r="DZ21" s="580"/>
      <c r="EA21" s="688"/>
      <c r="EB21" s="580"/>
      <c r="EC21" s="688"/>
      <c r="ED21" s="580"/>
      <c r="EE21" s="688"/>
      <c r="EF21" s="580"/>
      <c r="EG21" s="688"/>
      <c r="EH21" s="580"/>
      <c r="EI21" s="688"/>
      <c r="EJ21" s="580"/>
      <c r="EK21" s="688"/>
      <c r="EL21" s="580"/>
      <c r="EM21" s="688"/>
      <c r="EN21" s="580"/>
      <c r="EO21" s="688"/>
      <c r="EP21" s="580"/>
      <c r="EQ21" s="688"/>
      <c r="ER21" s="580"/>
      <c r="ES21" s="688"/>
      <c r="ET21" s="580"/>
      <c r="EU21" s="688"/>
      <c r="EV21" s="580"/>
      <c r="EW21" s="688"/>
      <c r="EX21" s="580"/>
      <c r="EY21" s="688"/>
      <c r="EZ21" s="580"/>
      <c r="FA21" s="688"/>
      <c r="FB21" s="580"/>
      <c r="FC21" s="688"/>
      <c r="FD21" s="580"/>
      <c r="FE21" s="688"/>
      <c r="FF21" s="580"/>
      <c r="FG21" s="688"/>
      <c r="FH21" s="582"/>
      <c r="FI21" s="556"/>
      <c r="FJ21" s="557"/>
      <c r="FK21" s="693"/>
      <c r="FL21" s="684"/>
      <c r="FM21" s="576"/>
      <c r="FN21" s="685"/>
      <c r="FO21" s="686"/>
      <c r="FP21" s="689"/>
      <c r="FQ21" s="690"/>
      <c r="FR21" s="580"/>
      <c r="FS21" s="691"/>
      <c r="FT21" s="690"/>
      <c r="FU21" s="585"/>
      <c r="FV21" s="586"/>
      <c r="FW21" s="587"/>
      <c r="FX21" s="588"/>
      <c r="FY21" s="589"/>
      <c r="FZ21" s="590"/>
      <c r="GA21" s="591"/>
      <c r="GB21" s="592"/>
      <c r="GC21" s="593"/>
      <c r="GD21" s="592"/>
      <c r="GE21" s="594"/>
      <c r="GF21" s="681"/>
      <c r="GG21" s="595"/>
      <c r="GH21" s="595"/>
      <c r="GI21" s="595"/>
      <c r="GJ21" s="406"/>
      <c r="GK21" s="694" t="s">
        <v>472</v>
      </c>
      <c r="GL21" s="695"/>
      <c r="GM21" s="696"/>
      <c r="GN21" s="631">
        <v>16.2</v>
      </c>
      <c r="GO21" s="697"/>
      <c r="GP21" s="698"/>
      <c r="GQ21" s="626">
        <v>0</v>
      </c>
      <c r="GR21" s="627">
        <v>16.2</v>
      </c>
      <c r="GS21" s="571"/>
      <c r="GT21" s="670"/>
      <c r="GU21" s="694" t="s">
        <v>471</v>
      </c>
      <c r="GV21" s="695"/>
      <c r="GW21" s="696"/>
      <c r="GX21" s="699">
        <v>16.2</v>
      </c>
      <c r="GY21" s="700"/>
      <c r="GZ21" s="697"/>
      <c r="HA21" s="701">
        <v>10.53</v>
      </c>
      <c r="HB21" s="702"/>
      <c r="HC21" s="703"/>
      <c r="HD21" s="555"/>
      <c r="HE21" s="608"/>
      <c r="HF21" s="608"/>
      <c r="HG21" s="412"/>
    </row>
    <row r="22" spans="1:218" ht="20.100000000000001" customHeight="1">
      <c r="A22" s="545"/>
      <c r="B22" s="693"/>
      <c r="C22" s="684"/>
      <c r="D22" s="576"/>
      <c r="E22" s="685"/>
      <c r="F22" s="686"/>
      <c r="G22" s="687"/>
      <c r="H22" s="580"/>
      <c r="I22" s="688"/>
      <c r="J22" s="580"/>
      <c r="K22" s="688"/>
      <c r="L22" s="580"/>
      <c r="M22" s="688"/>
      <c r="N22" s="580"/>
      <c r="O22" s="688"/>
      <c r="P22" s="580"/>
      <c r="Q22" s="688"/>
      <c r="R22" s="580"/>
      <c r="S22" s="688"/>
      <c r="T22" s="580"/>
      <c r="U22" s="688"/>
      <c r="V22" s="580"/>
      <c r="W22" s="688"/>
      <c r="X22" s="580"/>
      <c r="Y22" s="688"/>
      <c r="Z22" s="580"/>
      <c r="AA22" s="688"/>
      <c r="AB22" s="580"/>
      <c r="AC22" s="688"/>
      <c r="AD22" s="580"/>
      <c r="AE22" s="688"/>
      <c r="AF22" s="580"/>
      <c r="AG22" s="688"/>
      <c r="AH22" s="580"/>
      <c r="AI22" s="688"/>
      <c r="AJ22" s="580"/>
      <c r="AK22" s="688"/>
      <c r="AL22" s="580"/>
      <c r="AM22" s="688"/>
      <c r="AN22" s="580"/>
      <c r="AO22" s="688"/>
      <c r="AP22" s="580"/>
      <c r="AQ22" s="688"/>
      <c r="AR22" s="580"/>
      <c r="AS22" s="688"/>
      <c r="AT22" s="580"/>
      <c r="AU22" s="688"/>
      <c r="AV22" s="580"/>
      <c r="AW22" s="688"/>
      <c r="AX22" s="580"/>
      <c r="AY22" s="688"/>
      <c r="AZ22" s="580"/>
      <c r="BA22" s="688"/>
      <c r="BB22" s="582"/>
      <c r="BC22" s="555"/>
      <c r="BD22" s="545"/>
      <c r="BE22" s="693"/>
      <c r="BF22" s="684"/>
      <c r="BG22" s="576"/>
      <c r="BH22" s="685"/>
      <c r="BI22" s="686"/>
      <c r="BJ22" s="687"/>
      <c r="BK22" s="580"/>
      <c r="BL22" s="688"/>
      <c r="BM22" s="580"/>
      <c r="BN22" s="688"/>
      <c r="BO22" s="580"/>
      <c r="BP22" s="688"/>
      <c r="BQ22" s="580"/>
      <c r="BR22" s="688"/>
      <c r="BS22" s="580"/>
      <c r="BT22" s="688"/>
      <c r="BU22" s="580"/>
      <c r="BV22" s="688"/>
      <c r="BW22" s="580"/>
      <c r="BX22" s="688"/>
      <c r="BY22" s="580"/>
      <c r="BZ22" s="688"/>
      <c r="CA22" s="580"/>
      <c r="CB22" s="688"/>
      <c r="CC22" s="580"/>
      <c r="CD22" s="688"/>
      <c r="CE22" s="580"/>
      <c r="CF22" s="688"/>
      <c r="CG22" s="580"/>
      <c r="CH22" s="688"/>
      <c r="CI22" s="580"/>
      <c r="CJ22" s="688"/>
      <c r="CK22" s="580"/>
      <c r="CL22" s="688"/>
      <c r="CM22" s="580"/>
      <c r="CN22" s="688"/>
      <c r="CO22" s="580"/>
      <c r="CP22" s="688"/>
      <c r="CQ22" s="580"/>
      <c r="CR22" s="688"/>
      <c r="CS22" s="580"/>
      <c r="CT22" s="688"/>
      <c r="CU22" s="580"/>
      <c r="CV22" s="688"/>
      <c r="CW22" s="580"/>
      <c r="CX22" s="688"/>
      <c r="CY22" s="580"/>
      <c r="CZ22" s="688"/>
      <c r="DA22" s="580"/>
      <c r="DB22" s="688"/>
      <c r="DC22" s="580"/>
      <c r="DD22" s="688"/>
      <c r="DE22" s="582"/>
      <c r="DF22" s="555"/>
      <c r="DG22" s="545"/>
      <c r="DH22" s="693"/>
      <c r="DI22" s="684"/>
      <c r="DJ22" s="576"/>
      <c r="DK22" s="685"/>
      <c r="DL22" s="686"/>
      <c r="DM22" s="687"/>
      <c r="DN22" s="580"/>
      <c r="DO22" s="688"/>
      <c r="DP22" s="580"/>
      <c r="DQ22" s="688"/>
      <c r="DR22" s="580"/>
      <c r="DS22" s="688"/>
      <c r="DT22" s="580"/>
      <c r="DU22" s="688"/>
      <c r="DV22" s="580"/>
      <c r="DW22" s="688"/>
      <c r="DX22" s="580"/>
      <c r="DY22" s="688"/>
      <c r="DZ22" s="580"/>
      <c r="EA22" s="688"/>
      <c r="EB22" s="580"/>
      <c r="EC22" s="688"/>
      <c r="ED22" s="580"/>
      <c r="EE22" s="688"/>
      <c r="EF22" s="580"/>
      <c r="EG22" s="688"/>
      <c r="EH22" s="580"/>
      <c r="EI22" s="688"/>
      <c r="EJ22" s="580"/>
      <c r="EK22" s="688"/>
      <c r="EL22" s="580"/>
      <c r="EM22" s="688"/>
      <c r="EN22" s="580"/>
      <c r="EO22" s="688"/>
      <c r="EP22" s="580"/>
      <c r="EQ22" s="688"/>
      <c r="ER22" s="580"/>
      <c r="ES22" s="688"/>
      <c r="ET22" s="580"/>
      <c r="EU22" s="688"/>
      <c r="EV22" s="580"/>
      <c r="EW22" s="688"/>
      <c r="EX22" s="580"/>
      <c r="EY22" s="688"/>
      <c r="EZ22" s="580"/>
      <c r="FA22" s="688"/>
      <c r="FB22" s="580"/>
      <c r="FC22" s="688"/>
      <c r="FD22" s="580"/>
      <c r="FE22" s="688"/>
      <c r="FF22" s="580"/>
      <c r="FG22" s="688"/>
      <c r="FH22" s="582"/>
      <c r="FI22" s="556"/>
      <c r="FJ22" s="557"/>
      <c r="FK22" s="693"/>
      <c r="FL22" s="684"/>
      <c r="FM22" s="576"/>
      <c r="FN22" s="685"/>
      <c r="FO22" s="686"/>
      <c r="FP22" s="689"/>
      <c r="FQ22" s="690"/>
      <c r="FR22" s="580"/>
      <c r="FS22" s="691"/>
      <c r="FT22" s="690"/>
      <c r="FU22" s="585"/>
      <c r="FV22" s="586"/>
      <c r="FW22" s="587"/>
      <c r="FX22" s="588"/>
      <c r="FY22" s="589"/>
      <c r="FZ22" s="590"/>
      <c r="GA22" s="591"/>
      <c r="GB22" s="592"/>
      <c r="GC22" s="593"/>
      <c r="GD22" s="592"/>
      <c r="GE22" s="594"/>
      <c r="GF22" s="681"/>
      <c r="GG22" s="595"/>
      <c r="GH22" s="595"/>
      <c r="GI22" s="595"/>
      <c r="GJ22" s="523"/>
      <c r="GK22" s="704" t="s">
        <v>637</v>
      </c>
      <c r="GL22" s="705"/>
      <c r="GM22" s="705"/>
      <c r="GN22" s="706"/>
      <c r="GO22" s="626">
        <v>0</v>
      </c>
      <c r="GP22" s="626">
        <v>1</v>
      </c>
      <c r="GQ22" s="707"/>
      <c r="GR22" s="708"/>
      <c r="GS22" s="571"/>
      <c r="GT22" s="670"/>
      <c r="GU22" s="704" t="s">
        <v>637</v>
      </c>
      <c r="GV22" s="705"/>
      <c r="GW22" s="705"/>
      <c r="GX22" s="705"/>
      <c r="GY22" s="706"/>
      <c r="GZ22" s="626">
        <v>0.65</v>
      </c>
      <c r="HA22" s="709"/>
      <c r="HB22" s="710"/>
      <c r="HC22" s="410"/>
      <c r="HD22" s="555"/>
      <c r="HE22" s="412"/>
      <c r="HF22" s="412"/>
      <c r="HG22" s="412"/>
    </row>
    <row r="23" spans="1:218" ht="20.100000000000001" customHeight="1">
      <c r="A23" s="545"/>
      <c r="B23" s="693"/>
      <c r="C23" s="684"/>
      <c r="D23" s="576"/>
      <c r="E23" s="685"/>
      <c r="F23" s="686"/>
      <c r="G23" s="687"/>
      <c r="H23" s="580"/>
      <c r="I23" s="688"/>
      <c r="J23" s="580"/>
      <c r="K23" s="688"/>
      <c r="L23" s="580"/>
      <c r="M23" s="688"/>
      <c r="N23" s="580"/>
      <c r="O23" s="688"/>
      <c r="P23" s="580"/>
      <c r="Q23" s="688"/>
      <c r="R23" s="580"/>
      <c r="S23" s="688"/>
      <c r="T23" s="580"/>
      <c r="U23" s="688"/>
      <c r="V23" s="580"/>
      <c r="W23" s="688"/>
      <c r="X23" s="580"/>
      <c r="Y23" s="688"/>
      <c r="Z23" s="580"/>
      <c r="AA23" s="688"/>
      <c r="AB23" s="580"/>
      <c r="AC23" s="688"/>
      <c r="AD23" s="580"/>
      <c r="AE23" s="688"/>
      <c r="AF23" s="580"/>
      <c r="AG23" s="688"/>
      <c r="AH23" s="580"/>
      <c r="AI23" s="688"/>
      <c r="AJ23" s="580"/>
      <c r="AK23" s="688"/>
      <c r="AL23" s="580"/>
      <c r="AM23" s="688"/>
      <c r="AN23" s="580"/>
      <c r="AO23" s="688"/>
      <c r="AP23" s="580"/>
      <c r="AQ23" s="688"/>
      <c r="AR23" s="580"/>
      <c r="AS23" s="688"/>
      <c r="AT23" s="580"/>
      <c r="AU23" s="688"/>
      <c r="AV23" s="580"/>
      <c r="AW23" s="688"/>
      <c r="AX23" s="580"/>
      <c r="AY23" s="688"/>
      <c r="AZ23" s="580"/>
      <c r="BA23" s="688"/>
      <c r="BB23" s="582"/>
      <c r="BC23" s="555"/>
      <c r="BD23" s="545"/>
      <c r="BE23" s="693"/>
      <c r="BF23" s="684"/>
      <c r="BG23" s="576"/>
      <c r="BH23" s="685"/>
      <c r="BI23" s="686"/>
      <c r="BJ23" s="687"/>
      <c r="BK23" s="580"/>
      <c r="BL23" s="688"/>
      <c r="BM23" s="580"/>
      <c r="BN23" s="688"/>
      <c r="BO23" s="580"/>
      <c r="BP23" s="688"/>
      <c r="BQ23" s="580"/>
      <c r="BR23" s="688"/>
      <c r="BS23" s="580"/>
      <c r="BT23" s="688"/>
      <c r="BU23" s="580"/>
      <c r="BV23" s="688"/>
      <c r="BW23" s="580"/>
      <c r="BX23" s="688"/>
      <c r="BY23" s="580"/>
      <c r="BZ23" s="688"/>
      <c r="CA23" s="580"/>
      <c r="CB23" s="688"/>
      <c r="CC23" s="580"/>
      <c r="CD23" s="688"/>
      <c r="CE23" s="580"/>
      <c r="CF23" s="688"/>
      <c r="CG23" s="580"/>
      <c r="CH23" s="688"/>
      <c r="CI23" s="580"/>
      <c r="CJ23" s="688"/>
      <c r="CK23" s="580"/>
      <c r="CL23" s="688"/>
      <c r="CM23" s="580"/>
      <c r="CN23" s="688"/>
      <c r="CO23" s="580"/>
      <c r="CP23" s="688"/>
      <c r="CQ23" s="580"/>
      <c r="CR23" s="688"/>
      <c r="CS23" s="580"/>
      <c r="CT23" s="688"/>
      <c r="CU23" s="580"/>
      <c r="CV23" s="688"/>
      <c r="CW23" s="580"/>
      <c r="CX23" s="688"/>
      <c r="CY23" s="580"/>
      <c r="CZ23" s="688"/>
      <c r="DA23" s="580"/>
      <c r="DB23" s="688"/>
      <c r="DC23" s="580"/>
      <c r="DD23" s="688"/>
      <c r="DE23" s="582"/>
      <c r="DF23" s="555"/>
      <c r="DG23" s="545"/>
      <c r="DH23" s="693"/>
      <c r="DI23" s="684"/>
      <c r="DJ23" s="576"/>
      <c r="DK23" s="685"/>
      <c r="DL23" s="686"/>
      <c r="DM23" s="687"/>
      <c r="DN23" s="580"/>
      <c r="DO23" s="688"/>
      <c r="DP23" s="580"/>
      <c r="DQ23" s="688"/>
      <c r="DR23" s="580"/>
      <c r="DS23" s="688"/>
      <c r="DT23" s="580"/>
      <c r="DU23" s="688"/>
      <c r="DV23" s="580"/>
      <c r="DW23" s="688"/>
      <c r="DX23" s="580"/>
      <c r="DY23" s="688"/>
      <c r="DZ23" s="580"/>
      <c r="EA23" s="688"/>
      <c r="EB23" s="580"/>
      <c r="EC23" s="688"/>
      <c r="ED23" s="580"/>
      <c r="EE23" s="688"/>
      <c r="EF23" s="580"/>
      <c r="EG23" s="688"/>
      <c r="EH23" s="580"/>
      <c r="EI23" s="688"/>
      <c r="EJ23" s="580"/>
      <c r="EK23" s="688"/>
      <c r="EL23" s="580"/>
      <c r="EM23" s="688"/>
      <c r="EN23" s="580"/>
      <c r="EO23" s="688"/>
      <c r="EP23" s="580"/>
      <c r="EQ23" s="688"/>
      <c r="ER23" s="580"/>
      <c r="ES23" s="688"/>
      <c r="ET23" s="580"/>
      <c r="EU23" s="688"/>
      <c r="EV23" s="580"/>
      <c r="EW23" s="688"/>
      <c r="EX23" s="580"/>
      <c r="EY23" s="688"/>
      <c r="EZ23" s="580"/>
      <c r="FA23" s="688"/>
      <c r="FB23" s="580"/>
      <c r="FC23" s="688"/>
      <c r="FD23" s="580"/>
      <c r="FE23" s="688"/>
      <c r="FF23" s="580"/>
      <c r="FG23" s="688"/>
      <c r="FH23" s="582"/>
      <c r="FI23" s="556"/>
      <c r="FJ23" s="557"/>
      <c r="FK23" s="693"/>
      <c r="FL23" s="684"/>
      <c r="FM23" s="576"/>
      <c r="FN23" s="685"/>
      <c r="FO23" s="686"/>
      <c r="FP23" s="689"/>
      <c r="FQ23" s="690"/>
      <c r="FR23" s="580"/>
      <c r="FS23" s="691"/>
      <c r="FT23" s="690"/>
      <c r="FU23" s="585"/>
      <c r="FV23" s="586"/>
      <c r="FW23" s="587"/>
      <c r="FX23" s="588"/>
      <c r="FY23" s="589"/>
      <c r="FZ23" s="590"/>
      <c r="GA23" s="591"/>
      <c r="GB23" s="592"/>
      <c r="GC23" s="593"/>
      <c r="GD23" s="592"/>
      <c r="GE23" s="594"/>
      <c r="GF23" s="681"/>
      <c r="GG23" s="595"/>
      <c r="GH23" s="595"/>
      <c r="GI23" s="595"/>
      <c r="GJ23" s="608"/>
      <c r="GK23" s="573" t="s">
        <v>583</v>
      </c>
      <c r="GL23" s="602"/>
      <c r="GM23" s="711"/>
      <c r="GN23" s="712">
        <v>153.66999999999999</v>
      </c>
      <c r="GO23" s="493" t="s">
        <v>584</v>
      </c>
      <c r="GP23" s="712"/>
      <c r="GQ23" s="602"/>
      <c r="GR23" s="608"/>
      <c r="GS23" s="571"/>
      <c r="GT23" s="670"/>
      <c r="GU23" s="602"/>
      <c r="GV23" s="523"/>
      <c r="GW23" s="602"/>
      <c r="GX23" s="602"/>
      <c r="GY23" s="713"/>
      <c r="GZ23" s="714"/>
      <c r="HA23" s="410"/>
      <c r="HB23" s="714" t="s">
        <v>585</v>
      </c>
      <c r="HC23" s="608"/>
      <c r="HD23" s="555"/>
      <c r="HE23" s="410"/>
      <c r="HF23" s="410"/>
      <c r="HG23" s="412"/>
    </row>
    <row r="24" spans="1:218" ht="20.100000000000001" customHeight="1">
      <c r="A24" s="545"/>
      <c r="B24" s="693"/>
      <c r="C24" s="684"/>
      <c r="D24" s="576"/>
      <c r="E24" s="685"/>
      <c r="F24" s="686"/>
      <c r="G24" s="687"/>
      <c r="H24" s="580"/>
      <c r="I24" s="688"/>
      <c r="J24" s="580"/>
      <c r="K24" s="688"/>
      <c r="L24" s="580"/>
      <c r="M24" s="688"/>
      <c r="N24" s="580"/>
      <c r="O24" s="688"/>
      <c r="P24" s="580"/>
      <c r="Q24" s="688"/>
      <c r="R24" s="580"/>
      <c r="S24" s="688"/>
      <c r="T24" s="580"/>
      <c r="U24" s="688"/>
      <c r="V24" s="580"/>
      <c r="W24" s="688"/>
      <c r="X24" s="580"/>
      <c r="Y24" s="688"/>
      <c r="Z24" s="580"/>
      <c r="AA24" s="688"/>
      <c r="AB24" s="580"/>
      <c r="AC24" s="688"/>
      <c r="AD24" s="580"/>
      <c r="AE24" s="688"/>
      <c r="AF24" s="580"/>
      <c r="AG24" s="688"/>
      <c r="AH24" s="580"/>
      <c r="AI24" s="688"/>
      <c r="AJ24" s="580"/>
      <c r="AK24" s="688"/>
      <c r="AL24" s="580"/>
      <c r="AM24" s="688"/>
      <c r="AN24" s="580"/>
      <c r="AO24" s="688"/>
      <c r="AP24" s="580"/>
      <c r="AQ24" s="688"/>
      <c r="AR24" s="580"/>
      <c r="AS24" s="688"/>
      <c r="AT24" s="580"/>
      <c r="AU24" s="688"/>
      <c r="AV24" s="580"/>
      <c r="AW24" s="688"/>
      <c r="AX24" s="580"/>
      <c r="AY24" s="688"/>
      <c r="AZ24" s="580"/>
      <c r="BA24" s="688"/>
      <c r="BB24" s="582"/>
      <c r="BC24" s="555"/>
      <c r="BD24" s="545"/>
      <c r="BE24" s="693"/>
      <c r="BF24" s="684"/>
      <c r="BG24" s="576"/>
      <c r="BH24" s="685"/>
      <c r="BI24" s="686"/>
      <c r="BJ24" s="687"/>
      <c r="BK24" s="580"/>
      <c r="BL24" s="688"/>
      <c r="BM24" s="580"/>
      <c r="BN24" s="688"/>
      <c r="BO24" s="580"/>
      <c r="BP24" s="688"/>
      <c r="BQ24" s="580"/>
      <c r="BR24" s="688"/>
      <c r="BS24" s="580"/>
      <c r="BT24" s="688"/>
      <c r="BU24" s="580"/>
      <c r="BV24" s="688"/>
      <c r="BW24" s="580"/>
      <c r="BX24" s="688"/>
      <c r="BY24" s="580"/>
      <c r="BZ24" s="688"/>
      <c r="CA24" s="580"/>
      <c r="CB24" s="688"/>
      <c r="CC24" s="580"/>
      <c r="CD24" s="688"/>
      <c r="CE24" s="580"/>
      <c r="CF24" s="688"/>
      <c r="CG24" s="580"/>
      <c r="CH24" s="688"/>
      <c r="CI24" s="580"/>
      <c r="CJ24" s="688"/>
      <c r="CK24" s="580"/>
      <c r="CL24" s="688"/>
      <c r="CM24" s="580"/>
      <c r="CN24" s="688"/>
      <c r="CO24" s="580"/>
      <c r="CP24" s="688"/>
      <c r="CQ24" s="580"/>
      <c r="CR24" s="688"/>
      <c r="CS24" s="580"/>
      <c r="CT24" s="688"/>
      <c r="CU24" s="580"/>
      <c r="CV24" s="688"/>
      <c r="CW24" s="580"/>
      <c r="CX24" s="688"/>
      <c r="CY24" s="580"/>
      <c r="CZ24" s="688"/>
      <c r="DA24" s="580"/>
      <c r="DB24" s="688"/>
      <c r="DC24" s="580"/>
      <c r="DD24" s="688"/>
      <c r="DE24" s="582"/>
      <c r="DF24" s="555"/>
      <c r="DG24" s="545"/>
      <c r="DH24" s="693"/>
      <c r="DI24" s="684"/>
      <c r="DJ24" s="576"/>
      <c r="DK24" s="685"/>
      <c r="DL24" s="686"/>
      <c r="DM24" s="687"/>
      <c r="DN24" s="580"/>
      <c r="DO24" s="688"/>
      <c r="DP24" s="580"/>
      <c r="DQ24" s="688"/>
      <c r="DR24" s="580"/>
      <c r="DS24" s="688"/>
      <c r="DT24" s="580"/>
      <c r="DU24" s="688"/>
      <c r="DV24" s="580"/>
      <c r="DW24" s="688"/>
      <c r="DX24" s="580"/>
      <c r="DY24" s="688"/>
      <c r="DZ24" s="580"/>
      <c r="EA24" s="688"/>
      <c r="EB24" s="580"/>
      <c r="EC24" s="688"/>
      <c r="ED24" s="580"/>
      <c r="EE24" s="688"/>
      <c r="EF24" s="580"/>
      <c r="EG24" s="688"/>
      <c r="EH24" s="580"/>
      <c r="EI24" s="688"/>
      <c r="EJ24" s="580"/>
      <c r="EK24" s="688"/>
      <c r="EL24" s="580"/>
      <c r="EM24" s="688"/>
      <c r="EN24" s="580"/>
      <c r="EO24" s="688"/>
      <c r="EP24" s="580"/>
      <c r="EQ24" s="688"/>
      <c r="ER24" s="580"/>
      <c r="ES24" s="688"/>
      <c r="ET24" s="580"/>
      <c r="EU24" s="688"/>
      <c r="EV24" s="580"/>
      <c r="EW24" s="688"/>
      <c r="EX24" s="580"/>
      <c r="EY24" s="688"/>
      <c r="EZ24" s="580"/>
      <c r="FA24" s="688"/>
      <c r="FB24" s="580"/>
      <c r="FC24" s="688"/>
      <c r="FD24" s="580"/>
      <c r="FE24" s="688"/>
      <c r="FF24" s="580"/>
      <c r="FG24" s="688"/>
      <c r="FH24" s="582"/>
      <c r="FI24" s="556"/>
      <c r="FJ24" s="557"/>
      <c r="FK24" s="693"/>
      <c r="FL24" s="684"/>
      <c r="FM24" s="576"/>
      <c r="FN24" s="685"/>
      <c r="FO24" s="686"/>
      <c r="FP24" s="689"/>
      <c r="FQ24" s="690"/>
      <c r="FR24" s="580"/>
      <c r="FS24" s="691"/>
      <c r="FT24" s="690"/>
      <c r="FU24" s="585"/>
      <c r="FV24" s="586"/>
      <c r="FW24" s="587"/>
      <c r="FX24" s="588"/>
      <c r="FY24" s="589"/>
      <c r="FZ24" s="590"/>
      <c r="GA24" s="591"/>
      <c r="GB24" s="592"/>
      <c r="GC24" s="593"/>
      <c r="GD24" s="592"/>
      <c r="GE24" s="594"/>
      <c r="GF24" s="681"/>
      <c r="GG24" s="595"/>
      <c r="GH24" s="595"/>
      <c r="GI24" s="595"/>
      <c r="GJ24" s="608"/>
      <c r="GK24" s="573" t="s">
        <v>586</v>
      </c>
      <c r="GL24" s="602"/>
      <c r="GM24" s="711"/>
      <c r="GN24" s="712">
        <v>0.11</v>
      </c>
      <c r="GO24" s="712"/>
      <c r="GP24" s="712"/>
      <c r="GQ24" s="602"/>
      <c r="GR24" s="608"/>
      <c r="GS24" s="602"/>
      <c r="GT24" s="670"/>
      <c r="GU24" s="573" t="s">
        <v>638</v>
      </c>
      <c r="GV24" s="602"/>
      <c r="GW24" s="602"/>
      <c r="GX24" s="410"/>
      <c r="GY24" s="715">
        <v>550</v>
      </c>
      <c r="GZ24" s="573" t="s">
        <v>479</v>
      </c>
      <c r="HA24" s="523"/>
      <c r="HB24" s="523"/>
      <c r="HC24" s="608"/>
      <c r="HD24" s="555"/>
      <c r="HE24" s="716"/>
      <c r="HF24" s="412"/>
      <c r="HG24" s="523"/>
      <c r="HH24" s="555"/>
      <c r="HI24" s="412"/>
      <c r="HJ24" s="412"/>
    </row>
    <row r="25" spans="1:218" ht="20.100000000000001" customHeight="1">
      <c r="A25" s="545"/>
      <c r="B25" s="717"/>
      <c r="C25" s="718"/>
      <c r="D25" s="611"/>
      <c r="E25" s="719"/>
      <c r="F25" s="720"/>
      <c r="G25" s="721"/>
      <c r="H25" s="615"/>
      <c r="I25" s="722"/>
      <c r="J25" s="615"/>
      <c r="K25" s="722"/>
      <c r="L25" s="615"/>
      <c r="M25" s="722"/>
      <c r="N25" s="615"/>
      <c r="O25" s="722"/>
      <c r="P25" s="615"/>
      <c r="Q25" s="722"/>
      <c r="R25" s="615"/>
      <c r="S25" s="722"/>
      <c r="T25" s="615"/>
      <c r="U25" s="722"/>
      <c r="V25" s="615"/>
      <c r="W25" s="722"/>
      <c r="X25" s="615"/>
      <c r="Y25" s="722"/>
      <c r="Z25" s="615"/>
      <c r="AA25" s="722"/>
      <c r="AB25" s="615"/>
      <c r="AC25" s="722"/>
      <c r="AD25" s="615"/>
      <c r="AE25" s="722"/>
      <c r="AF25" s="615"/>
      <c r="AG25" s="722"/>
      <c r="AH25" s="615"/>
      <c r="AI25" s="722"/>
      <c r="AJ25" s="615"/>
      <c r="AK25" s="722"/>
      <c r="AL25" s="615"/>
      <c r="AM25" s="722"/>
      <c r="AN25" s="615"/>
      <c r="AO25" s="722"/>
      <c r="AP25" s="615"/>
      <c r="AQ25" s="722"/>
      <c r="AR25" s="615"/>
      <c r="AS25" s="722"/>
      <c r="AT25" s="615"/>
      <c r="AU25" s="722"/>
      <c r="AV25" s="615"/>
      <c r="AW25" s="722"/>
      <c r="AX25" s="615"/>
      <c r="AY25" s="722"/>
      <c r="AZ25" s="615"/>
      <c r="BA25" s="722"/>
      <c r="BB25" s="617"/>
      <c r="BC25" s="555"/>
      <c r="BD25" s="545"/>
      <c r="BE25" s="717"/>
      <c r="BF25" s="718"/>
      <c r="BG25" s="611"/>
      <c r="BH25" s="719"/>
      <c r="BI25" s="720"/>
      <c r="BJ25" s="721"/>
      <c r="BK25" s="615"/>
      <c r="BL25" s="722"/>
      <c r="BM25" s="615"/>
      <c r="BN25" s="722"/>
      <c r="BO25" s="615"/>
      <c r="BP25" s="722"/>
      <c r="BQ25" s="615"/>
      <c r="BR25" s="722"/>
      <c r="BS25" s="615"/>
      <c r="BT25" s="722"/>
      <c r="BU25" s="615"/>
      <c r="BV25" s="722"/>
      <c r="BW25" s="615"/>
      <c r="BX25" s="722"/>
      <c r="BY25" s="615"/>
      <c r="BZ25" s="722"/>
      <c r="CA25" s="615"/>
      <c r="CB25" s="722"/>
      <c r="CC25" s="615"/>
      <c r="CD25" s="722"/>
      <c r="CE25" s="615"/>
      <c r="CF25" s="722"/>
      <c r="CG25" s="615"/>
      <c r="CH25" s="722"/>
      <c r="CI25" s="615"/>
      <c r="CJ25" s="722"/>
      <c r="CK25" s="615"/>
      <c r="CL25" s="722"/>
      <c r="CM25" s="615"/>
      <c r="CN25" s="722"/>
      <c r="CO25" s="615"/>
      <c r="CP25" s="722"/>
      <c r="CQ25" s="615"/>
      <c r="CR25" s="722"/>
      <c r="CS25" s="615"/>
      <c r="CT25" s="722"/>
      <c r="CU25" s="615"/>
      <c r="CV25" s="722"/>
      <c r="CW25" s="615"/>
      <c r="CX25" s="722"/>
      <c r="CY25" s="615"/>
      <c r="CZ25" s="722"/>
      <c r="DA25" s="615"/>
      <c r="DB25" s="722"/>
      <c r="DC25" s="615"/>
      <c r="DD25" s="722"/>
      <c r="DE25" s="617"/>
      <c r="DF25" s="555"/>
      <c r="DG25" s="545"/>
      <c r="DH25" s="717"/>
      <c r="DI25" s="718"/>
      <c r="DJ25" s="611"/>
      <c r="DK25" s="719"/>
      <c r="DL25" s="720"/>
      <c r="DM25" s="721"/>
      <c r="DN25" s="615"/>
      <c r="DO25" s="722"/>
      <c r="DP25" s="615"/>
      <c r="DQ25" s="722"/>
      <c r="DR25" s="615"/>
      <c r="DS25" s="722"/>
      <c r="DT25" s="615"/>
      <c r="DU25" s="722"/>
      <c r="DV25" s="615"/>
      <c r="DW25" s="722"/>
      <c r="DX25" s="615"/>
      <c r="DY25" s="722"/>
      <c r="DZ25" s="615"/>
      <c r="EA25" s="722"/>
      <c r="EB25" s="615"/>
      <c r="EC25" s="722"/>
      <c r="ED25" s="615"/>
      <c r="EE25" s="722"/>
      <c r="EF25" s="615"/>
      <c r="EG25" s="722"/>
      <c r="EH25" s="615"/>
      <c r="EI25" s="722"/>
      <c r="EJ25" s="615"/>
      <c r="EK25" s="722"/>
      <c r="EL25" s="615"/>
      <c r="EM25" s="722"/>
      <c r="EN25" s="615"/>
      <c r="EO25" s="722"/>
      <c r="EP25" s="615"/>
      <c r="EQ25" s="722"/>
      <c r="ER25" s="615"/>
      <c r="ES25" s="722"/>
      <c r="ET25" s="615"/>
      <c r="EU25" s="722"/>
      <c r="EV25" s="615"/>
      <c r="EW25" s="722"/>
      <c r="EX25" s="615"/>
      <c r="EY25" s="722"/>
      <c r="EZ25" s="615"/>
      <c r="FA25" s="722"/>
      <c r="FB25" s="615"/>
      <c r="FC25" s="722"/>
      <c r="FD25" s="615"/>
      <c r="FE25" s="722"/>
      <c r="FF25" s="615"/>
      <c r="FG25" s="722"/>
      <c r="FH25" s="617"/>
      <c r="FI25" s="556"/>
      <c r="FJ25" s="557"/>
      <c r="FK25" s="717"/>
      <c r="FL25" s="718"/>
      <c r="FM25" s="611"/>
      <c r="FN25" s="719"/>
      <c r="FO25" s="720"/>
      <c r="FP25" s="723"/>
      <c r="FQ25" s="724"/>
      <c r="FR25" s="615"/>
      <c r="FS25" s="725"/>
      <c r="FT25" s="724"/>
      <c r="FU25" s="620"/>
      <c r="FV25" s="586"/>
      <c r="FW25" s="587"/>
      <c r="FX25" s="588"/>
      <c r="FY25" s="589"/>
      <c r="FZ25" s="590"/>
      <c r="GA25" s="591"/>
      <c r="GB25" s="592"/>
      <c r="GC25" s="593"/>
      <c r="GD25" s="592"/>
      <c r="GE25" s="594"/>
      <c r="GF25" s="681"/>
      <c r="GG25" s="595"/>
      <c r="GH25" s="595"/>
      <c r="GI25" s="595"/>
      <c r="GJ25" s="493"/>
      <c r="GK25" s="494"/>
      <c r="GL25" s="494"/>
      <c r="GM25" s="494"/>
      <c r="GN25" s="494"/>
      <c r="GO25" s="494"/>
      <c r="GP25" s="494"/>
      <c r="GQ25" s="494"/>
      <c r="GR25" s="494"/>
      <c r="GS25" s="410"/>
      <c r="GT25" s="670"/>
      <c r="GU25" s="573" t="s">
        <v>480</v>
      </c>
      <c r="GV25" s="602"/>
      <c r="GW25" s="602"/>
      <c r="GX25" s="410"/>
      <c r="GY25" s="726">
        <v>1</v>
      </c>
      <c r="GZ25" s="573"/>
      <c r="HA25" s="523"/>
      <c r="HB25" s="523"/>
      <c r="HC25" s="523"/>
      <c r="HD25" s="555"/>
      <c r="HE25" s="555"/>
      <c r="HF25" s="412"/>
      <c r="HG25" s="412"/>
    </row>
    <row r="26" spans="1:218" ht="20.100000000000001" customHeight="1">
      <c r="A26" s="634"/>
      <c r="B26" s="635"/>
      <c r="C26" s="635"/>
      <c r="D26" s="635" t="s">
        <v>611</v>
      </c>
      <c r="E26" s="635"/>
      <c r="F26" s="635"/>
      <c r="G26" s="637"/>
      <c r="H26" s="638">
        <f>SUM(H16:H25)</f>
        <v>0</v>
      </c>
      <c r="I26" s="727"/>
      <c r="J26" s="638">
        <f>SUM(J16:J25)</f>
        <v>0</v>
      </c>
      <c r="K26" s="728"/>
      <c r="L26" s="638">
        <f>SUM(L16:L25)</f>
        <v>0</v>
      </c>
      <c r="M26" s="728"/>
      <c r="N26" s="638">
        <f>SUM(N16:N25)</f>
        <v>0</v>
      </c>
      <c r="O26" s="728"/>
      <c r="P26" s="638">
        <f>SUM(P16:P25)</f>
        <v>0</v>
      </c>
      <c r="Q26" s="728"/>
      <c r="R26" s="638">
        <f>SUM(R16:R25)</f>
        <v>0</v>
      </c>
      <c r="S26" s="728"/>
      <c r="T26" s="638">
        <f>SUM(T16:T25)</f>
        <v>0</v>
      </c>
      <c r="U26" s="728"/>
      <c r="V26" s="638">
        <f>SUM(V16:V25)</f>
        <v>0</v>
      </c>
      <c r="W26" s="728"/>
      <c r="X26" s="638">
        <f>SUM(X16:X25)</f>
        <v>0</v>
      </c>
      <c r="Y26" s="728"/>
      <c r="Z26" s="638">
        <f>SUM(Z16:Z25)</f>
        <v>99</v>
      </c>
      <c r="AA26" s="728"/>
      <c r="AB26" s="638">
        <f>SUM(AB16:AB25)</f>
        <v>258</v>
      </c>
      <c r="AC26" s="728"/>
      <c r="AD26" s="638">
        <f>SUM(AD16:AD25)</f>
        <v>396</v>
      </c>
      <c r="AE26" s="728"/>
      <c r="AF26" s="638">
        <f>SUM(AF16:AF25)</f>
        <v>547</v>
      </c>
      <c r="AG26" s="728"/>
      <c r="AH26" s="638">
        <f>SUM(AH16:AH25)</f>
        <v>664</v>
      </c>
      <c r="AI26" s="728"/>
      <c r="AJ26" s="638">
        <f>SUM(AJ16:AJ25)</f>
        <v>761</v>
      </c>
      <c r="AK26" s="728"/>
      <c r="AL26" s="638">
        <f>SUM(AL16:AL25)</f>
        <v>781</v>
      </c>
      <c r="AM26" s="728"/>
      <c r="AN26" s="638">
        <f>SUM(AN16:AN25)</f>
        <v>724</v>
      </c>
      <c r="AO26" s="728"/>
      <c r="AP26" s="638">
        <f>SUM(AP16:AP25)</f>
        <v>643</v>
      </c>
      <c r="AQ26" s="728"/>
      <c r="AR26" s="638">
        <f>SUM(AR16:AR25)</f>
        <v>0</v>
      </c>
      <c r="AS26" s="728"/>
      <c r="AT26" s="638">
        <f>SUM(AT16:AT25)</f>
        <v>0</v>
      </c>
      <c r="AU26" s="728"/>
      <c r="AV26" s="638">
        <f>SUM(AV16:AV25)</f>
        <v>0</v>
      </c>
      <c r="AW26" s="728"/>
      <c r="AX26" s="638">
        <f>SUM(AX16:AX25)</f>
        <v>0</v>
      </c>
      <c r="AY26" s="728"/>
      <c r="AZ26" s="638">
        <f>SUM(AZ16:AZ25)</f>
        <v>0</v>
      </c>
      <c r="BA26" s="728"/>
      <c r="BB26" s="640">
        <f>SUM(BB16:BB25)</f>
        <v>0</v>
      </c>
      <c r="BC26" s="641"/>
      <c r="BD26" s="634"/>
      <c r="BE26" s="635"/>
      <c r="BF26" s="635"/>
      <c r="BG26" s="635" t="s">
        <v>611</v>
      </c>
      <c r="BH26" s="635"/>
      <c r="BI26" s="635"/>
      <c r="BJ26" s="637"/>
      <c r="BK26" s="638">
        <f>SUM(BK16:BK25)</f>
        <v>0</v>
      </c>
      <c r="BL26" s="727"/>
      <c r="BM26" s="638">
        <f>SUM(BM16:BM25)</f>
        <v>0</v>
      </c>
      <c r="BN26" s="728"/>
      <c r="BO26" s="638">
        <f>SUM(BO16:BO25)</f>
        <v>0</v>
      </c>
      <c r="BP26" s="728"/>
      <c r="BQ26" s="638">
        <f>SUM(BQ16:BQ25)</f>
        <v>0</v>
      </c>
      <c r="BR26" s="728"/>
      <c r="BS26" s="638">
        <f>SUM(BS16:BS25)</f>
        <v>0</v>
      </c>
      <c r="BT26" s="728"/>
      <c r="BU26" s="638">
        <f>SUM(BU16:BU25)</f>
        <v>0</v>
      </c>
      <c r="BV26" s="728"/>
      <c r="BW26" s="638">
        <f>SUM(BW16:BW25)</f>
        <v>0</v>
      </c>
      <c r="BX26" s="728"/>
      <c r="BY26" s="638">
        <f>SUM(BY16:BY25)</f>
        <v>0</v>
      </c>
      <c r="BZ26" s="728"/>
      <c r="CA26" s="638">
        <f>SUM(CA16:CA25)</f>
        <v>39</v>
      </c>
      <c r="CB26" s="728"/>
      <c r="CC26" s="638">
        <f>SUM(CC16:CC25)</f>
        <v>176</v>
      </c>
      <c r="CD26" s="728"/>
      <c r="CE26" s="638">
        <f>SUM(CE16:CE25)</f>
        <v>333</v>
      </c>
      <c r="CF26" s="728"/>
      <c r="CG26" s="638">
        <f>SUM(CG16:CG25)</f>
        <v>481</v>
      </c>
      <c r="CH26" s="728"/>
      <c r="CI26" s="638">
        <f>SUM(CI16:CI25)</f>
        <v>622</v>
      </c>
      <c r="CJ26" s="728"/>
      <c r="CK26" s="638">
        <f>SUM(CK16:CK25)</f>
        <v>764</v>
      </c>
      <c r="CL26" s="728"/>
      <c r="CM26" s="638">
        <f>SUM(CM16:CM25)</f>
        <v>857</v>
      </c>
      <c r="CN26" s="728"/>
      <c r="CO26" s="638">
        <f>SUM(CO16:CO25)</f>
        <v>917</v>
      </c>
      <c r="CP26" s="728"/>
      <c r="CQ26" s="638">
        <f>SUM(CQ16:CQ25)</f>
        <v>891</v>
      </c>
      <c r="CR26" s="728"/>
      <c r="CS26" s="638">
        <f>SUM(CS16:CS25)</f>
        <v>778</v>
      </c>
      <c r="CT26" s="728"/>
      <c r="CU26" s="638">
        <f>SUM(CU16:CU25)</f>
        <v>0</v>
      </c>
      <c r="CV26" s="728"/>
      <c r="CW26" s="638">
        <f>SUM(CW16:CW25)</f>
        <v>0</v>
      </c>
      <c r="CX26" s="728"/>
      <c r="CY26" s="638">
        <f>SUM(CY16:CY25)</f>
        <v>0</v>
      </c>
      <c r="CZ26" s="728"/>
      <c r="DA26" s="638">
        <f>SUM(DA16:DA25)</f>
        <v>0</v>
      </c>
      <c r="DB26" s="728"/>
      <c r="DC26" s="638">
        <f>SUM(DC16:DC25)</f>
        <v>0</v>
      </c>
      <c r="DD26" s="728"/>
      <c r="DE26" s="640">
        <f>SUM(DE16:DE25)</f>
        <v>0</v>
      </c>
      <c r="DF26" s="641"/>
      <c r="DG26" s="634"/>
      <c r="DH26" s="635"/>
      <c r="DI26" s="635"/>
      <c r="DJ26" s="635" t="s">
        <v>288</v>
      </c>
      <c r="DK26" s="635"/>
      <c r="DL26" s="635"/>
      <c r="DM26" s="637"/>
      <c r="DN26" s="638">
        <f>SUM(DN16:DN25)</f>
        <v>0</v>
      </c>
      <c r="DO26" s="727"/>
      <c r="DP26" s="638">
        <f>SUM(DP16:DP25)</f>
        <v>0</v>
      </c>
      <c r="DQ26" s="728"/>
      <c r="DR26" s="638">
        <f>SUM(DR16:DR25)</f>
        <v>0</v>
      </c>
      <c r="DS26" s="728"/>
      <c r="DT26" s="638">
        <f>SUM(DT16:DT25)</f>
        <v>0</v>
      </c>
      <c r="DU26" s="728"/>
      <c r="DV26" s="638">
        <f>SUM(DV16:DV25)</f>
        <v>0</v>
      </c>
      <c r="DW26" s="728"/>
      <c r="DX26" s="638">
        <f>SUM(DX16:DX25)</f>
        <v>0</v>
      </c>
      <c r="DY26" s="728"/>
      <c r="DZ26" s="638">
        <f>SUM(DZ16:DZ25)</f>
        <v>0</v>
      </c>
      <c r="EA26" s="728"/>
      <c r="EB26" s="638">
        <f>SUM(EB16:EB25)</f>
        <v>0</v>
      </c>
      <c r="EC26" s="728"/>
      <c r="ED26" s="638">
        <f>SUM(ED16:ED25)</f>
        <v>0</v>
      </c>
      <c r="EE26" s="728"/>
      <c r="EF26" s="638">
        <f>SUM(EF16:EF25)</f>
        <v>0</v>
      </c>
      <c r="EG26" s="728"/>
      <c r="EH26" s="638">
        <f>SUM(EH16:EH25)</f>
        <v>92</v>
      </c>
      <c r="EI26" s="728"/>
      <c r="EJ26" s="638">
        <f>SUM(EJ16:EJ25)</f>
        <v>233</v>
      </c>
      <c r="EK26" s="728"/>
      <c r="EL26" s="638">
        <f>SUM(EL16:EL25)</f>
        <v>355</v>
      </c>
      <c r="EM26" s="728"/>
      <c r="EN26" s="638">
        <f>SUM(EN16:EN25)</f>
        <v>434</v>
      </c>
      <c r="EO26" s="728"/>
      <c r="EP26" s="638">
        <f>SUM(EP16:EP25)</f>
        <v>466</v>
      </c>
      <c r="EQ26" s="728"/>
      <c r="ER26" s="638">
        <f>SUM(ER16:ER25)</f>
        <v>440</v>
      </c>
      <c r="ES26" s="728"/>
      <c r="ET26" s="638">
        <f>SUM(ET16:ET25)</f>
        <v>452</v>
      </c>
      <c r="EU26" s="728"/>
      <c r="EV26" s="638">
        <f>SUM(EV16:EV25)</f>
        <v>408</v>
      </c>
      <c r="EW26" s="728"/>
      <c r="EX26" s="638">
        <f>SUM(EX16:EX25)</f>
        <v>0</v>
      </c>
      <c r="EY26" s="728"/>
      <c r="EZ26" s="638">
        <f>SUM(EZ16:EZ25)</f>
        <v>0</v>
      </c>
      <c r="FA26" s="728"/>
      <c r="FB26" s="638">
        <f>SUM(FB16:FB25)</f>
        <v>0</v>
      </c>
      <c r="FC26" s="728"/>
      <c r="FD26" s="638">
        <f>SUM(FD16:FD25)</f>
        <v>0</v>
      </c>
      <c r="FE26" s="728"/>
      <c r="FF26" s="638">
        <f>SUM(FF16:FF25)</f>
        <v>0</v>
      </c>
      <c r="FG26" s="728"/>
      <c r="FH26" s="640">
        <f>SUM(FH16:FH25)</f>
        <v>0</v>
      </c>
      <c r="FI26" s="642"/>
      <c r="FJ26" s="557"/>
      <c r="FK26" s="635"/>
      <c r="FL26" s="635"/>
      <c r="FM26" s="635" t="s">
        <v>612</v>
      </c>
      <c r="FN26" s="635"/>
      <c r="FO26" s="635"/>
      <c r="FP26" s="643"/>
      <c r="FQ26" s="644"/>
      <c r="FR26" s="638">
        <f>SUM(FR16:FR25)</f>
        <v>3940</v>
      </c>
      <c r="FS26" s="729"/>
      <c r="FT26" s="644"/>
      <c r="FU26" s="646">
        <f>SUM(FU16:FU25)</f>
        <v>4013</v>
      </c>
      <c r="FV26" s="586"/>
      <c r="FW26" s="587"/>
      <c r="FX26" s="588"/>
      <c r="FY26" s="589"/>
      <c r="FZ26" s="590"/>
      <c r="GA26" s="591"/>
      <c r="GB26" s="592"/>
      <c r="GC26" s="593"/>
      <c r="GD26" s="592"/>
      <c r="GE26" s="594"/>
      <c r="GF26" s="647"/>
      <c r="GG26" s="648"/>
      <c r="GH26" s="648"/>
      <c r="GI26" s="648"/>
      <c r="GJ26" s="608"/>
      <c r="GK26" s="523" t="s">
        <v>481</v>
      </c>
      <c r="GL26" s="608"/>
      <c r="GM26" s="523"/>
      <c r="GN26" s="608"/>
      <c r="GO26" s="523"/>
      <c r="GP26" s="608"/>
      <c r="GQ26" s="608"/>
      <c r="GR26" s="608"/>
      <c r="GS26" s="572"/>
      <c r="GT26" s="670"/>
      <c r="GU26" s="573" t="s">
        <v>482</v>
      </c>
      <c r="GV26" s="602"/>
      <c r="GW26" s="602"/>
      <c r="GX26" s="410"/>
      <c r="GY26" s="726">
        <v>0.65</v>
      </c>
      <c r="GZ26" s="573"/>
      <c r="HA26" s="523"/>
      <c r="HB26" s="523"/>
      <c r="HC26" s="523"/>
      <c r="HD26" s="641"/>
      <c r="HE26" s="412"/>
      <c r="HF26" s="412"/>
      <c r="HG26" s="573"/>
      <c r="HH26" s="641"/>
      <c r="HI26" s="412"/>
      <c r="HJ26" s="412"/>
    </row>
    <row r="27" spans="1:218" ht="20.100000000000001" customHeight="1">
      <c r="A27" s="1277" t="s">
        <v>389</v>
      </c>
      <c r="B27" s="731"/>
      <c r="C27" s="732"/>
      <c r="D27" s="656"/>
      <c r="E27" s="732"/>
      <c r="F27" s="732"/>
      <c r="G27" s="733" t="s">
        <v>386</v>
      </c>
      <c r="H27" s="656" t="s">
        <v>388</v>
      </c>
      <c r="I27" s="734" t="s">
        <v>387</v>
      </c>
      <c r="J27" s="656" t="s">
        <v>385</v>
      </c>
      <c r="K27" s="735" t="s">
        <v>386</v>
      </c>
      <c r="L27" s="656" t="s">
        <v>388</v>
      </c>
      <c r="M27" s="735" t="s">
        <v>386</v>
      </c>
      <c r="N27" s="656" t="s">
        <v>385</v>
      </c>
      <c r="O27" s="735" t="s">
        <v>386</v>
      </c>
      <c r="P27" s="656" t="s">
        <v>388</v>
      </c>
      <c r="Q27" s="735" t="s">
        <v>386</v>
      </c>
      <c r="R27" s="656" t="s">
        <v>385</v>
      </c>
      <c r="S27" s="735" t="s">
        <v>386</v>
      </c>
      <c r="T27" s="656" t="s">
        <v>385</v>
      </c>
      <c r="U27" s="735" t="s">
        <v>387</v>
      </c>
      <c r="V27" s="656" t="s">
        <v>388</v>
      </c>
      <c r="W27" s="735" t="s">
        <v>387</v>
      </c>
      <c r="X27" s="656" t="s">
        <v>388</v>
      </c>
      <c r="Y27" s="735" t="s">
        <v>387</v>
      </c>
      <c r="Z27" s="656" t="s">
        <v>385</v>
      </c>
      <c r="AA27" s="735" t="s">
        <v>387</v>
      </c>
      <c r="AB27" s="656" t="s">
        <v>385</v>
      </c>
      <c r="AC27" s="735" t="s">
        <v>386</v>
      </c>
      <c r="AD27" s="656" t="s">
        <v>385</v>
      </c>
      <c r="AE27" s="735" t="s">
        <v>387</v>
      </c>
      <c r="AF27" s="656" t="s">
        <v>385</v>
      </c>
      <c r="AG27" s="735" t="s">
        <v>387</v>
      </c>
      <c r="AH27" s="656" t="s">
        <v>385</v>
      </c>
      <c r="AI27" s="735" t="s">
        <v>387</v>
      </c>
      <c r="AJ27" s="656" t="s">
        <v>385</v>
      </c>
      <c r="AK27" s="735" t="s">
        <v>387</v>
      </c>
      <c r="AL27" s="656" t="s">
        <v>385</v>
      </c>
      <c r="AM27" s="735" t="s">
        <v>386</v>
      </c>
      <c r="AN27" s="656" t="s">
        <v>385</v>
      </c>
      <c r="AO27" s="735" t="s">
        <v>386</v>
      </c>
      <c r="AP27" s="656" t="s">
        <v>388</v>
      </c>
      <c r="AQ27" s="735" t="s">
        <v>387</v>
      </c>
      <c r="AR27" s="656" t="s">
        <v>388</v>
      </c>
      <c r="AS27" s="735" t="s">
        <v>387</v>
      </c>
      <c r="AT27" s="656" t="s">
        <v>388</v>
      </c>
      <c r="AU27" s="735" t="s">
        <v>387</v>
      </c>
      <c r="AV27" s="656" t="s">
        <v>385</v>
      </c>
      <c r="AW27" s="735" t="s">
        <v>386</v>
      </c>
      <c r="AX27" s="656" t="s">
        <v>385</v>
      </c>
      <c r="AY27" s="735" t="s">
        <v>386</v>
      </c>
      <c r="AZ27" s="656" t="s">
        <v>385</v>
      </c>
      <c r="BA27" s="735" t="s">
        <v>387</v>
      </c>
      <c r="BB27" s="658" t="s">
        <v>385</v>
      </c>
      <c r="BC27" s="716"/>
      <c r="BD27" s="1277" t="s">
        <v>383</v>
      </c>
      <c r="BE27" s="731"/>
      <c r="BF27" s="732"/>
      <c r="BG27" s="656"/>
      <c r="BH27" s="732"/>
      <c r="BI27" s="732"/>
      <c r="BJ27" s="733" t="s">
        <v>387</v>
      </c>
      <c r="BK27" s="656" t="s">
        <v>388</v>
      </c>
      <c r="BL27" s="734" t="s">
        <v>387</v>
      </c>
      <c r="BM27" s="656" t="s">
        <v>385</v>
      </c>
      <c r="BN27" s="735" t="s">
        <v>386</v>
      </c>
      <c r="BO27" s="656" t="s">
        <v>388</v>
      </c>
      <c r="BP27" s="735" t="s">
        <v>386</v>
      </c>
      <c r="BQ27" s="656" t="s">
        <v>388</v>
      </c>
      <c r="BR27" s="735" t="s">
        <v>387</v>
      </c>
      <c r="BS27" s="656" t="s">
        <v>385</v>
      </c>
      <c r="BT27" s="735" t="s">
        <v>387</v>
      </c>
      <c r="BU27" s="656" t="s">
        <v>388</v>
      </c>
      <c r="BV27" s="735" t="s">
        <v>387</v>
      </c>
      <c r="BW27" s="656" t="s">
        <v>385</v>
      </c>
      <c r="BX27" s="735" t="s">
        <v>387</v>
      </c>
      <c r="BY27" s="656" t="s">
        <v>385</v>
      </c>
      <c r="BZ27" s="735" t="s">
        <v>386</v>
      </c>
      <c r="CA27" s="656" t="s">
        <v>385</v>
      </c>
      <c r="CB27" s="735" t="s">
        <v>386</v>
      </c>
      <c r="CC27" s="656" t="s">
        <v>385</v>
      </c>
      <c r="CD27" s="735" t="s">
        <v>386</v>
      </c>
      <c r="CE27" s="656" t="s">
        <v>385</v>
      </c>
      <c r="CF27" s="735" t="s">
        <v>387</v>
      </c>
      <c r="CG27" s="656" t="s">
        <v>388</v>
      </c>
      <c r="CH27" s="735" t="s">
        <v>386</v>
      </c>
      <c r="CI27" s="656" t="s">
        <v>388</v>
      </c>
      <c r="CJ27" s="735" t="s">
        <v>386</v>
      </c>
      <c r="CK27" s="656" t="s">
        <v>385</v>
      </c>
      <c r="CL27" s="735" t="s">
        <v>387</v>
      </c>
      <c r="CM27" s="656" t="s">
        <v>385</v>
      </c>
      <c r="CN27" s="735" t="s">
        <v>386</v>
      </c>
      <c r="CO27" s="656" t="s">
        <v>385</v>
      </c>
      <c r="CP27" s="735" t="s">
        <v>386</v>
      </c>
      <c r="CQ27" s="656" t="s">
        <v>385</v>
      </c>
      <c r="CR27" s="735" t="s">
        <v>386</v>
      </c>
      <c r="CS27" s="656" t="s">
        <v>385</v>
      </c>
      <c r="CT27" s="735" t="s">
        <v>386</v>
      </c>
      <c r="CU27" s="656" t="s">
        <v>388</v>
      </c>
      <c r="CV27" s="735" t="s">
        <v>386</v>
      </c>
      <c r="CW27" s="656" t="s">
        <v>388</v>
      </c>
      <c r="CX27" s="735" t="s">
        <v>387</v>
      </c>
      <c r="CY27" s="656" t="s">
        <v>385</v>
      </c>
      <c r="CZ27" s="735" t="s">
        <v>386</v>
      </c>
      <c r="DA27" s="656" t="s">
        <v>388</v>
      </c>
      <c r="DB27" s="735" t="s">
        <v>386</v>
      </c>
      <c r="DC27" s="656" t="s">
        <v>385</v>
      </c>
      <c r="DD27" s="735" t="s">
        <v>386</v>
      </c>
      <c r="DE27" s="658" t="s">
        <v>388</v>
      </c>
      <c r="DF27" s="716"/>
      <c r="DG27" s="1277" t="s">
        <v>383</v>
      </c>
      <c r="DH27" s="736"/>
      <c r="DI27" s="737"/>
      <c r="DJ27" s="738"/>
      <c r="DK27" s="737"/>
      <c r="DL27" s="737"/>
      <c r="DM27" s="733" t="s">
        <v>387</v>
      </c>
      <c r="DN27" s="656" t="s">
        <v>388</v>
      </c>
      <c r="DO27" s="734" t="s">
        <v>386</v>
      </c>
      <c r="DP27" s="656" t="s">
        <v>388</v>
      </c>
      <c r="DQ27" s="735" t="s">
        <v>387</v>
      </c>
      <c r="DR27" s="656" t="s">
        <v>385</v>
      </c>
      <c r="DS27" s="735" t="s">
        <v>387</v>
      </c>
      <c r="DT27" s="656" t="s">
        <v>385</v>
      </c>
      <c r="DU27" s="735" t="s">
        <v>387</v>
      </c>
      <c r="DV27" s="656" t="s">
        <v>385</v>
      </c>
      <c r="DW27" s="735" t="s">
        <v>387</v>
      </c>
      <c r="DX27" s="656" t="s">
        <v>385</v>
      </c>
      <c r="DY27" s="735" t="s">
        <v>387</v>
      </c>
      <c r="DZ27" s="656" t="s">
        <v>385</v>
      </c>
      <c r="EA27" s="735" t="s">
        <v>386</v>
      </c>
      <c r="EB27" s="656" t="s">
        <v>385</v>
      </c>
      <c r="EC27" s="735" t="s">
        <v>386</v>
      </c>
      <c r="ED27" s="656" t="s">
        <v>388</v>
      </c>
      <c r="EE27" s="735" t="s">
        <v>387</v>
      </c>
      <c r="EF27" s="656" t="s">
        <v>388</v>
      </c>
      <c r="EG27" s="735" t="s">
        <v>387</v>
      </c>
      <c r="EH27" s="656" t="s">
        <v>388</v>
      </c>
      <c r="EI27" s="735" t="s">
        <v>387</v>
      </c>
      <c r="EJ27" s="656" t="s">
        <v>385</v>
      </c>
      <c r="EK27" s="735" t="s">
        <v>386</v>
      </c>
      <c r="EL27" s="656" t="s">
        <v>385</v>
      </c>
      <c r="EM27" s="735" t="s">
        <v>386</v>
      </c>
      <c r="EN27" s="656" t="s">
        <v>385</v>
      </c>
      <c r="EO27" s="735" t="s">
        <v>387</v>
      </c>
      <c r="EP27" s="656" t="s">
        <v>385</v>
      </c>
      <c r="EQ27" s="735" t="s">
        <v>387</v>
      </c>
      <c r="ER27" s="656" t="s">
        <v>388</v>
      </c>
      <c r="ES27" s="735" t="s">
        <v>386</v>
      </c>
      <c r="ET27" s="656" t="s">
        <v>388</v>
      </c>
      <c r="EU27" s="735" t="s">
        <v>387</v>
      </c>
      <c r="EV27" s="656" t="s">
        <v>388</v>
      </c>
      <c r="EW27" s="735" t="s">
        <v>386</v>
      </c>
      <c r="EX27" s="656" t="s">
        <v>388</v>
      </c>
      <c r="EY27" s="735" t="s">
        <v>386</v>
      </c>
      <c r="EZ27" s="656" t="s">
        <v>385</v>
      </c>
      <c r="FA27" s="735" t="s">
        <v>386</v>
      </c>
      <c r="FB27" s="656" t="s">
        <v>385</v>
      </c>
      <c r="FC27" s="735" t="s">
        <v>386</v>
      </c>
      <c r="FD27" s="656" t="s">
        <v>385</v>
      </c>
      <c r="FE27" s="735" t="s">
        <v>386</v>
      </c>
      <c r="FF27" s="656" t="s">
        <v>388</v>
      </c>
      <c r="FG27" s="735" t="s">
        <v>387</v>
      </c>
      <c r="FH27" s="658" t="s">
        <v>385</v>
      </c>
      <c r="FI27" s="739"/>
      <c r="FJ27" s="535" t="s">
        <v>383</v>
      </c>
      <c r="FK27" s="736"/>
      <c r="FL27" s="737"/>
      <c r="FM27" s="738"/>
      <c r="FN27" s="737"/>
      <c r="FO27" s="737"/>
      <c r="FP27" s="740" t="s">
        <v>390</v>
      </c>
      <c r="FQ27" s="666" t="s">
        <v>386</v>
      </c>
      <c r="FR27" s="656" t="s">
        <v>391</v>
      </c>
      <c r="FS27" s="741" t="s">
        <v>407</v>
      </c>
      <c r="FT27" s="666" t="s">
        <v>387</v>
      </c>
      <c r="FU27" s="668" t="s">
        <v>408</v>
      </c>
      <c r="FV27" s="586"/>
      <c r="FW27" s="587"/>
      <c r="FX27" s="588"/>
      <c r="FY27" s="589"/>
      <c r="FZ27" s="590"/>
      <c r="GA27" s="591"/>
      <c r="GB27" s="592"/>
      <c r="GC27" s="593"/>
      <c r="GD27" s="592"/>
      <c r="GE27" s="594"/>
      <c r="GF27" s="742"/>
      <c r="GG27" s="743"/>
      <c r="GH27" s="743"/>
      <c r="GI27" s="743"/>
      <c r="GJ27" s="608"/>
      <c r="GK27" s="523" t="s">
        <v>639</v>
      </c>
      <c r="GL27" s="608"/>
      <c r="GM27" s="608"/>
      <c r="GN27" s="608"/>
      <c r="GO27" s="410"/>
      <c r="GP27" s="744">
        <v>23.1</v>
      </c>
      <c r="GQ27" s="410" t="s">
        <v>304</v>
      </c>
      <c r="GR27" s="410"/>
      <c r="GS27" s="572"/>
      <c r="GT27" s="493"/>
      <c r="GU27" s="493"/>
      <c r="GV27" s="493"/>
      <c r="GW27" s="572"/>
      <c r="GX27" s="572"/>
      <c r="GY27" s="572"/>
      <c r="GZ27" s="571"/>
      <c r="HA27" s="493"/>
      <c r="HB27" s="493"/>
      <c r="HC27" s="523"/>
      <c r="HD27" s="406"/>
      <c r="HE27" s="412"/>
      <c r="HF27" s="412"/>
      <c r="HG27" s="412"/>
      <c r="HH27" s="412"/>
    </row>
    <row r="28" spans="1:218" ht="20.100000000000001" customHeight="1">
      <c r="A28" s="545"/>
      <c r="B28" s="745" t="s">
        <v>392</v>
      </c>
      <c r="C28" s="746"/>
      <c r="D28" s="747">
        <v>55</v>
      </c>
      <c r="E28" s="748">
        <v>16</v>
      </c>
      <c r="F28" s="749" t="s">
        <v>393</v>
      </c>
      <c r="G28" s="750"/>
      <c r="H28" s="552"/>
      <c r="I28" s="751"/>
      <c r="J28" s="552"/>
      <c r="K28" s="751"/>
      <c r="L28" s="552"/>
      <c r="M28" s="751"/>
      <c r="N28" s="552"/>
      <c r="O28" s="751"/>
      <c r="P28" s="552"/>
      <c r="Q28" s="751"/>
      <c r="R28" s="552"/>
      <c r="S28" s="751"/>
      <c r="T28" s="552"/>
      <c r="U28" s="751"/>
      <c r="V28" s="552"/>
      <c r="W28" s="751">
        <v>1</v>
      </c>
      <c r="X28" s="552">
        <v>880</v>
      </c>
      <c r="Y28" s="751">
        <v>1</v>
      </c>
      <c r="Z28" s="552">
        <v>880</v>
      </c>
      <c r="AA28" s="751">
        <v>1</v>
      </c>
      <c r="AB28" s="552">
        <v>880</v>
      </c>
      <c r="AC28" s="751">
        <v>0.6</v>
      </c>
      <c r="AD28" s="552">
        <v>528</v>
      </c>
      <c r="AE28" s="751">
        <v>1</v>
      </c>
      <c r="AF28" s="552">
        <v>880</v>
      </c>
      <c r="AG28" s="751">
        <v>1</v>
      </c>
      <c r="AH28" s="552">
        <v>880</v>
      </c>
      <c r="AI28" s="751">
        <v>1</v>
      </c>
      <c r="AJ28" s="552">
        <v>880</v>
      </c>
      <c r="AK28" s="751">
        <v>1</v>
      </c>
      <c r="AL28" s="552">
        <v>880</v>
      </c>
      <c r="AM28" s="751">
        <v>1</v>
      </c>
      <c r="AN28" s="552">
        <v>880</v>
      </c>
      <c r="AO28" s="751">
        <v>0.5</v>
      </c>
      <c r="AP28" s="552">
        <v>440</v>
      </c>
      <c r="AQ28" s="751"/>
      <c r="AR28" s="552"/>
      <c r="AS28" s="751"/>
      <c r="AT28" s="552"/>
      <c r="AU28" s="751"/>
      <c r="AV28" s="552"/>
      <c r="AW28" s="751"/>
      <c r="AX28" s="552"/>
      <c r="AY28" s="751"/>
      <c r="AZ28" s="552"/>
      <c r="BA28" s="751"/>
      <c r="BB28" s="677"/>
      <c r="BC28" s="555"/>
      <c r="BD28" s="545"/>
      <c r="BE28" s="745" t="s">
        <v>394</v>
      </c>
      <c r="BF28" s="746"/>
      <c r="BG28" s="747">
        <v>55</v>
      </c>
      <c r="BH28" s="748">
        <v>16</v>
      </c>
      <c r="BI28" s="749" t="s">
        <v>393</v>
      </c>
      <c r="BJ28" s="750"/>
      <c r="BK28" s="552"/>
      <c r="BL28" s="751"/>
      <c r="BM28" s="552"/>
      <c r="BN28" s="751"/>
      <c r="BO28" s="552"/>
      <c r="BP28" s="751"/>
      <c r="BQ28" s="552"/>
      <c r="BR28" s="751"/>
      <c r="BS28" s="552"/>
      <c r="BT28" s="751"/>
      <c r="BU28" s="552"/>
      <c r="BV28" s="751"/>
      <c r="BW28" s="552"/>
      <c r="BX28" s="751"/>
      <c r="BY28" s="552"/>
      <c r="BZ28" s="751">
        <v>1</v>
      </c>
      <c r="CA28" s="552">
        <v>880</v>
      </c>
      <c r="CB28" s="751">
        <v>1</v>
      </c>
      <c r="CC28" s="552">
        <v>880</v>
      </c>
      <c r="CD28" s="751">
        <v>1</v>
      </c>
      <c r="CE28" s="552">
        <v>880</v>
      </c>
      <c r="CF28" s="751">
        <v>0.6</v>
      </c>
      <c r="CG28" s="552">
        <v>528</v>
      </c>
      <c r="CH28" s="751">
        <v>1</v>
      </c>
      <c r="CI28" s="552">
        <v>880</v>
      </c>
      <c r="CJ28" s="751">
        <v>1</v>
      </c>
      <c r="CK28" s="552">
        <v>880</v>
      </c>
      <c r="CL28" s="751">
        <v>1</v>
      </c>
      <c r="CM28" s="552">
        <v>880</v>
      </c>
      <c r="CN28" s="751">
        <v>1</v>
      </c>
      <c r="CO28" s="552">
        <v>880</v>
      </c>
      <c r="CP28" s="751">
        <v>1</v>
      </c>
      <c r="CQ28" s="552">
        <v>880</v>
      </c>
      <c r="CR28" s="751">
        <v>0.5</v>
      </c>
      <c r="CS28" s="552">
        <v>440</v>
      </c>
      <c r="CT28" s="751"/>
      <c r="CU28" s="552"/>
      <c r="CV28" s="751"/>
      <c r="CW28" s="552"/>
      <c r="CX28" s="751"/>
      <c r="CY28" s="552"/>
      <c r="CZ28" s="751"/>
      <c r="DA28" s="552"/>
      <c r="DB28" s="751"/>
      <c r="DC28" s="552"/>
      <c r="DD28" s="751"/>
      <c r="DE28" s="677"/>
      <c r="DF28" s="555"/>
      <c r="DG28" s="545"/>
      <c r="DH28" s="745" t="s">
        <v>392</v>
      </c>
      <c r="DI28" s="746"/>
      <c r="DJ28" s="747">
        <v>55</v>
      </c>
      <c r="DK28" s="748">
        <v>16</v>
      </c>
      <c r="DL28" s="749" t="s">
        <v>393</v>
      </c>
      <c r="DM28" s="750"/>
      <c r="DN28" s="552"/>
      <c r="DO28" s="751"/>
      <c r="DP28" s="552"/>
      <c r="DQ28" s="751"/>
      <c r="DR28" s="552"/>
      <c r="DS28" s="751"/>
      <c r="DT28" s="552"/>
      <c r="DU28" s="751"/>
      <c r="DV28" s="552"/>
      <c r="DW28" s="751"/>
      <c r="DX28" s="552"/>
      <c r="DY28" s="751"/>
      <c r="DZ28" s="552"/>
      <c r="EA28" s="751"/>
      <c r="EB28" s="552"/>
      <c r="EC28" s="751">
        <v>1</v>
      </c>
      <c r="ED28" s="552">
        <v>880</v>
      </c>
      <c r="EE28" s="751">
        <v>1</v>
      </c>
      <c r="EF28" s="552">
        <v>880</v>
      </c>
      <c r="EG28" s="751">
        <v>1</v>
      </c>
      <c r="EH28" s="552">
        <v>880</v>
      </c>
      <c r="EI28" s="751">
        <v>0.6</v>
      </c>
      <c r="EJ28" s="552">
        <v>528</v>
      </c>
      <c r="EK28" s="751">
        <v>1</v>
      </c>
      <c r="EL28" s="552">
        <v>880</v>
      </c>
      <c r="EM28" s="751">
        <v>1</v>
      </c>
      <c r="EN28" s="552">
        <v>880</v>
      </c>
      <c r="EO28" s="751">
        <v>1</v>
      </c>
      <c r="EP28" s="552">
        <v>880</v>
      </c>
      <c r="EQ28" s="751">
        <v>1</v>
      </c>
      <c r="ER28" s="552">
        <v>880</v>
      </c>
      <c r="ES28" s="751">
        <v>1</v>
      </c>
      <c r="ET28" s="552">
        <v>880</v>
      </c>
      <c r="EU28" s="751">
        <v>0.5</v>
      </c>
      <c r="EV28" s="552">
        <v>440</v>
      </c>
      <c r="EW28" s="751"/>
      <c r="EX28" s="552"/>
      <c r="EY28" s="751"/>
      <c r="EZ28" s="552"/>
      <c r="FA28" s="751"/>
      <c r="FB28" s="552"/>
      <c r="FC28" s="751"/>
      <c r="FD28" s="552"/>
      <c r="FE28" s="751"/>
      <c r="FF28" s="552"/>
      <c r="FG28" s="751"/>
      <c r="FH28" s="677"/>
      <c r="FI28" s="556"/>
      <c r="FJ28" s="557"/>
      <c r="FK28" s="745" t="s">
        <v>392</v>
      </c>
      <c r="FL28" s="746"/>
      <c r="FM28" s="752"/>
      <c r="FN28" s="748">
        <v>0</v>
      </c>
      <c r="FO28" s="749"/>
      <c r="FP28" s="678"/>
      <c r="FQ28" s="753"/>
      <c r="FR28" s="552">
        <v>0</v>
      </c>
      <c r="FS28" s="754"/>
      <c r="FT28" s="753"/>
      <c r="FU28" s="560">
        <v>0</v>
      </c>
      <c r="FV28" s="586"/>
      <c r="FW28" s="587"/>
      <c r="FX28" s="588"/>
      <c r="FY28" s="589"/>
      <c r="FZ28" s="590"/>
      <c r="GA28" s="591"/>
      <c r="GB28" s="592"/>
      <c r="GC28" s="593"/>
      <c r="GD28" s="592"/>
      <c r="GE28" s="594"/>
      <c r="GF28" s="755"/>
      <c r="GG28" s="595"/>
      <c r="GH28" s="595"/>
      <c r="GI28" s="595"/>
      <c r="GJ28" s="608"/>
      <c r="GK28" s="523" t="s">
        <v>640</v>
      </c>
      <c r="GL28" s="410"/>
      <c r="GM28" s="410"/>
      <c r="GN28" s="410"/>
      <c r="GO28" s="523"/>
      <c r="GP28" s="744">
        <v>28</v>
      </c>
      <c r="GQ28" s="410" t="s">
        <v>304</v>
      </c>
      <c r="GR28" s="726"/>
      <c r="GS28" s="523"/>
      <c r="GT28" s="756"/>
      <c r="GU28" s="573" t="s">
        <v>589</v>
      </c>
      <c r="GV28" s="602"/>
      <c r="GW28" s="523"/>
      <c r="GX28" s="522"/>
      <c r="GY28" s="406"/>
      <c r="GZ28" s="608"/>
      <c r="HA28" s="523"/>
      <c r="HB28" s="523"/>
      <c r="HC28" s="523"/>
      <c r="HD28" s="523"/>
      <c r="HE28" s="412"/>
      <c r="HF28" s="412"/>
      <c r="HG28" s="412"/>
      <c r="HH28" s="412"/>
    </row>
    <row r="29" spans="1:218" ht="20.100000000000001" customHeight="1" thickBot="1">
      <c r="A29" s="545"/>
      <c r="B29" s="757" t="s">
        <v>396</v>
      </c>
      <c r="C29" s="758"/>
      <c r="D29" s="759">
        <v>12</v>
      </c>
      <c r="E29" s="760">
        <v>153.66999999999999</v>
      </c>
      <c r="F29" s="761" t="s">
        <v>393</v>
      </c>
      <c r="G29" s="762"/>
      <c r="H29" s="580"/>
      <c r="I29" s="763"/>
      <c r="J29" s="580"/>
      <c r="K29" s="763"/>
      <c r="L29" s="580"/>
      <c r="M29" s="763"/>
      <c r="N29" s="580"/>
      <c r="O29" s="763"/>
      <c r="P29" s="580"/>
      <c r="Q29" s="763"/>
      <c r="R29" s="580"/>
      <c r="S29" s="763"/>
      <c r="T29" s="580"/>
      <c r="U29" s="763"/>
      <c r="V29" s="580"/>
      <c r="W29" s="763">
        <v>1</v>
      </c>
      <c r="X29" s="580">
        <v>1844</v>
      </c>
      <c r="Y29" s="763">
        <v>1</v>
      </c>
      <c r="Z29" s="580">
        <v>1844</v>
      </c>
      <c r="AA29" s="763">
        <v>1</v>
      </c>
      <c r="AB29" s="580">
        <v>1844</v>
      </c>
      <c r="AC29" s="763">
        <v>0.5</v>
      </c>
      <c r="AD29" s="580">
        <v>922</v>
      </c>
      <c r="AE29" s="763">
        <v>1</v>
      </c>
      <c r="AF29" s="580">
        <v>1844</v>
      </c>
      <c r="AG29" s="763">
        <v>1</v>
      </c>
      <c r="AH29" s="580">
        <v>1844</v>
      </c>
      <c r="AI29" s="763">
        <v>1</v>
      </c>
      <c r="AJ29" s="580">
        <v>1844</v>
      </c>
      <c r="AK29" s="763">
        <v>1</v>
      </c>
      <c r="AL29" s="580">
        <v>1844</v>
      </c>
      <c r="AM29" s="763">
        <v>1</v>
      </c>
      <c r="AN29" s="580">
        <v>1844</v>
      </c>
      <c r="AO29" s="763">
        <v>1</v>
      </c>
      <c r="AP29" s="580">
        <v>1844</v>
      </c>
      <c r="AQ29" s="763"/>
      <c r="AR29" s="580"/>
      <c r="AS29" s="763"/>
      <c r="AT29" s="580"/>
      <c r="AU29" s="763"/>
      <c r="AV29" s="580"/>
      <c r="AW29" s="763"/>
      <c r="AX29" s="580"/>
      <c r="AY29" s="763"/>
      <c r="AZ29" s="580"/>
      <c r="BA29" s="763"/>
      <c r="BB29" s="582"/>
      <c r="BC29" s="555"/>
      <c r="BD29" s="545"/>
      <c r="BE29" s="757" t="s">
        <v>396</v>
      </c>
      <c r="BF29" s="758"/>
      <c r="BG29" s="759">
        <v>12</v>
      </c>
      <c r="BH29" s="760">
        <v>153.66999999999999</v>
      </c>
      <c r="BI29" s="761" t="s">
        <v>393</v>
      </c>
      <c r="BJ29" s="762"/>
      <c r="BK29" s="580"/>
      <c r="BL29" s="763"/>
      <c r="BM29" s="580"/>
      <c r="BN29" s="763"/>
      <c r="BO29" s="580"/>
      <c r="BP29" s="763"/>
      <c r="BQ29" s="580"/>
      <c r="BR29" s="763"/>
      <c r="BS29" s="580"/>
      <c r="BT29" s="763"/>
      <c r="BU29" s="580"/>
      <c r="BV29" s="763"/>
      <c r="BW29" s="580"/>
      <c r="BX29" s="763"/>
      <c r="BY29" s="580"/>
      <c r="BZ29" s="763">
        <v>1</v>
      </c>
      <c r="CA29" s="580">
        <v>1844</v>
      </c>
      <c r="CB29" s="763">
        <v>1</v>
      </c>
      <c r="CC29" s="580">
        <v>1844</v>
      </c>
      <c r="CD29" s="763">
        <v>1</v>
      </c>
      <c r="CE29" s="580">
        <v>1844</v>
      </c>
      <c r="CF29" s="763">
        <v>0.5</v>
      </c>
      <c r="CG29" s="580">
        <v>922</v>
      </c>
      <c r="CH29" s="763">
        <v>1</v>
      </c>
      <c r="CI29" s="580">
        <v>1844</v>
      </c>
      <c r="CJ29" s="763">
        <v>1</v>
      </c>
      <c r="CK29" s="580">
        <v>1844</v>
      </c>
      <c r="CL29" s="763">
        <v>1</v>
      </c>
      <c r="CM29" s="580">
        <v>1844</v>
      </c>
      <c r="CN29" s="763">
        <v>1</v>
      </c>
      <c r="CO29" s="580">
        <v>1844</v>
      </c>
      <c r="CP29" s="763">
        <v>1</v>
      </c>
      <c r="CQ29" s="580">
        <v>1844</v>
      </c>
      <c r="CR29" s="763">
        <v>1</v>
      </c>
      <c r="CS29" s="580">
        <v>1844</v>
      </c>
      <c r="CT29" s="763"/>
      <c r="CU29" s="580"/>
      <c r="CV29" s="763"/>
      <c r="CW29" s="580"/>
      <c r="CX29" s="763"/>
      <c r="CY29" s="580"/>
      <c r="CZ29" s="763"/>
      <c r="DA29" s="580"/>
      <c r="DB29" s="763"/>
      <c r="DC29" s="580"/>
      <c r="DD29" s="763"/>
      <c r="DE29" s="582"/>
      <c r="DF29" s="555"/>
      <c r="DG29" s="545"/>
      <c r="DH29" s="757" t="s">
        <v>396</v>
      </c>
      <c r="DI29" s="758"/>
      <c r="DJ29" s="759">
        <v>12</v>
      </c>
      <c r="DK29" s="760">
        <v>153.66999999999999</v>
      </c>
      <c r="DL29" s="761" t="s">
        <v>393</v>
      </c>
      <c r="DM29" s="762"/>
      <c r="DN29" s="580"/>
      <c r="DO29" s="763"/>
      <c r="DP29" s="580"/>
      <c r="DQ29" s="763"/>
      <c r="DR29" s="580"/>
      <c r="DS29" s="763"/>
      <c r="DT29" s="580"/>
      <c r="DU29" s="763"/>
      <c r="DV29" s="580"/>
      <c r="DW29" s="763"/>
      <c r="DX29" s="580"/>
      <c r="DY29" s="763"/>
      <c r="DZ29" s="580"/>
      <c r="EA29" s="763"/>
      <c r="EB29" s="580"/>
      <c r="EC29" s="763">
        <v>1</v>
      </c>
      <c r="ED29" s="580">
        <v>1844</v>
      </c>
      <c r="EE29" s="763">
        <v>1</v>
      </c>
      <c r="EF29" s="580">
        <v>1844</v>
      </c>
      <c r="EG29" s="763">
        <v>1</v>
      </c>
      <c r="EH29" s="580">
        <v>1844</v>
      </c>
      <c r="EI29" s="763">
        <v>0.5</v>
      </c>
      <c r="EJ29" s="580">
        <v>922</v>
      </c>
      <c r="EK29" s="763">
        <v>1</v>
      </c>
      <c r="EL29" s="580">
        <v>1844</v>
      </c>
      <c r="EM29" s="763">
        <v>1</v>
      </c>
      <c r="EN29" s="580">
        <v>1844</v>
      </c>
      <c r="EO29" s="763">
        <v>1</v>
      </c>
      <c r="EP29" s="580">
        <v>1844</v>
      </c>
      <c r="EQ29" s="763">
        <v>1</v>
      </c>
      <c r="ER29" s="580">
        <v>1844</v>
      </c>
      <c r="ES29" s="763">
        <v>1</v>
      </c>
      <c r="ET29" s="580">
        <v>1844</v>
      </c>
      <c r="EU29" s="763">
        <v>1</v>
      </c>
      <c r="EV29" s="580">
        <v>1844</v>
      </c>
      <c r="EW29" s="763"/>
      <c r="EX29" s="580"/>
      <c r="EY29" s="763"/>
      <c r="EZ29" s="580"/>
      <c r="FA29" s="763"/>
      <c r="FB29" s="580"/>
      <c r="FC29" s="763"/>
      <c r="FD29" s="580"/>
      <c r="FE29" s="763"/>
      <c r="FF29" s="580"/>
      <c r="FG29" s="763"/>
      <c r="FH29" s="582"/>
      <c r="FI29" s="556"/>
      <c r="FJ29" s="557"/>
      <c r="FK29" s="757" t="s">
        <v>395</v>
      </c>
      <c r="FL29" s="758"/>
      <c r="FM29" s="764"/>
      <c r="FN29" s="760">
        <v>0</v>
      </c>
      <c r="FO29" s="761"/>
      <c r="FP29" s="689"/>
      <c r="FQ29" s="765"/>
      <c r="FR29" s="580">
        <v>0</v>
      </c>
      <c r="FS29" s="766"/>
      <c r="FT29" s="765"/>
      <c r="FU29" s="585">
        <v>0</v>
      </c>
      <c r="FV29" s="586"/>
      <c r="FW29" s="587"/>
      <c r="FX29" s="588"/>
      <c r="FY29" s="589"/>
      <c r="FZ29" s="590"/>
      <c r="GA29" s="591"/>
      <c r="GB29" s="592"/>
      <c r="GC29" s="593"/>
      <c r="GD29" s="592"/>
      <c r="GE29" s="594"/>
      <c r="GF29" s="755"/>
      <c r="GG29" s="595"/>
      <c r="GH29" s="595"/>
      <c r="GI29" s="595"/>
      <c r="GJ29" s="608"/>
      <c r="GK29" s="767" t="s">
        <v>641</v>
      </c>
      <c r="GL29" s="767"/>
      <c r="GM29" s="767"/>
      <c r="GN29" s="767"/>
      <c r="GO29" s="608"/>
      <c r="GP29" s="744">
        <v>-4.8999999999999986</v>
      </c>
      <c r="GQ29" s="410" t="s">
        <v>304</v>
      </c>
      <c r="GR29" s="768"/>
      <c r="GS29" s="523"/>
      <c r="GT29" s="756"/>
      <c r="GU29" s="573" t="s">
        <v>642</v>
      </c>
      <c r="GV29" s="602"/>
      <c r="GW29" s="523"/>
      <c r="GX29" s="522"/>
      <c r="GY29" s="406"/>
      <c r="GZ29" s="523"/>
      <c r="HA29" s="573"/>
      <c r="HB29" s="573"/>
      <c r="HC29" s="572"/>
      <c r="HD29" s="523"/>
      <c r="HE29" s="412"/>
      <c r="HF29" s="412"/>
    </row>
    <row r="30" spans="1:218" ht="20.100000000000001" customHeight="1">
      <c r="A30" s="545"/>
      <c r="B30" s="757" t="s">
        <v>397</v>
      </c>
      <c r="C30" s="759">
        <v>12</v>
      </c>
      <c r="D30" s="760">
        <v>153.66999999999999</v>
      </c>
      <c r="E30" s="769">
        <v>1</v>
      </c>
      <c r="F30" s="770" t="s">
        <v>393</v>
      </c>
      <c r="G30" s="762"/>
      <c r="H30" s="580"/>
      <c r="I30" s="763"/>
      <c r="J30" s="580"/>
      <c r="K30" s="763"/>
      <c r="L30" s="580"/>
      <c r="M30" s="763"/>
      <c r="N30" s="580"/>
      <c r="O30" s="763"/>
      <c r="P30" s="580"/>
      <c r="Q30" s="763"/>
      <c r="R30" s="580"/>
      <c r="S30" s="763"/>
      <c r="T30" s="580"/>
      <c r="U30" s="763"/>
      <c r="V30" s="580"/>
      <c r="W30" s="763">
        <v>1</v>
      </c>
      <c r="X30" s="580">
        <v>1844</v>
      </c>
      <c r="Y30" s="763">
        <v>1</v>
      </c>
      <c r="Z30" s="580">
        <v>1844</v>
      </c>
      <c r="AA30" s="763">
        <v>1</v>
      </c>
      <c r="AB30" s="580">
        <v>1844</v>
      </c>
      <c r="AC30" s="763">
        <v>0.8</v>
      </c>
      <c r="AD30" s="580">
        <v>1475</v>
      </c>
      <c r="AE30" s="763">
        <v>1</v>
      </c>
      <c r="AF30" s="580">
        <v>1844</v>
      </c>
      <c r="AG30" s="763">
        <v>1</v>
      </c>
      <c r="AH30" s="580">
        <v>1844</v>
      </c>
      <c r="AI30" s="763">
        <v>1</v>
      </c>
      <c r="AJ30" s="580">
        <v>1844</v>
      </c>
      <c r="AK30" s="763">
        <v>1</v>
      </c>
      <c r="AL30" s="580">
        <v>1844</v>
      </c>
      <c r="AM30" s="763">
        <v>1</v>
      </c>
      <c r="AN30" s="580">
        <v>1844</v>
      </c>
      <c r="AO30" s="763">
        <v>1</v>
      </c>
      <c r="AP30" s="580">
        <v>1844</v>
      </c>
      <c r="AQ30" s="763"/>
      <c r="AR30" s="580"/>
      <c r="AS30" s="763"/>
      <c r="AT30" s="580"/>
      <c r="AU30" s="763"/>
      <c r="AV30" s="580"/>
      <c r="AW30" s="763"/>
      <c r="AX30" s="580"/>
      <c r="AY30" s="763"/>
      <c r="AZ30" s="580"/>
      <c r="BA30" s="763"/>
      <c r="BB30" s="582"/>
      <c r="BC30" s="555"/>
      <c r="BD30" s="545"/>
      <c r="BE30" s="757" t="s">
        <v>397</v>
      </c>
      <c r="BF30" s="759">
        <v>12</v>
      </c>
      <c r="BG30" s="760">
        <v>153.66999999999999</v>
      </c>
      <c r="BH30" s="769">
        <v>1</v>
      </c>
      <c r="BI30" s="770" t="s">
        <v>393</v>
      </c>
      <c r="BJ30" s="762"/>
      <c r="BK30" s="580"/>
      <c r="BL30" s="763"/>
      <c r="BM30" s="580"/>
      <c r="BN30" s="763"/>
      <c r="BO30" s="580"/>
      <c r="BP30" s="763"/>
      <c r="BQ30" s="580"/>
      <c r="BR30" s="763"/>
      <c r="BS30" s="580"/>
      <c r="BT30" s="763"/>
      <c r="BU30" s="580"/>
      <c r="BV30" s="763"/>
      <c r="BW30" s="580"/>
      <c r="BX30" s="763"/>
      <c r="BY30" s="580"/>
      <c r="BZ30" s="763">
        <v>1</v>
      </c>
      <c r="CA30" s="580">
        <v>1844</v>
      </c>
      <c r="CB30" s="763">
        <v>1</v>
      </c>
      <c r="CC30" s="580">
        <v>1844</v>
      </c>
      <c r="CD30" s="763">
        <v>1</v>
      </c>
      <c r="CE30" s="580">
        <v>1844</v>
      </c>
      <c r="CF30" s="763">
        <v>0.8</v>
      </c>
      <c r="CG30" s="580">
        <v>1475</v>
      </c>
      <c r="CH30" s="763">
        <v>1</v>
      </c>
      <c r="CI30" s="580">
        <v>1844</v>
      </c>
      <c r="CJ30" s="763">
        <v>1</v>
      </c>
      <c r="CK30" s="580">
        <v>1844</v>
      </c>
      <c r="CL30" s="763">
        <v>1</v>
      </c>
      <c r="CM30" s="580">
        <v>1844</v>
      </c>
      <c r="CN30" s="763">
        <v>1</v>
      </c>
      <c r="CO30" s="580">
        <v>1844</v>
      </c>
      <c r="CP30" s="763">
        <v>1</v>
      </c>
      <c r="CQ30" s="580">
        <v>1844</v>
      </c>
      <c r="CR30" s="763">
        <v>1</v>
      </c>
      <c r="CS30" s="580">
        <v>1844</v>
      </c>
      <c r="CT30" s="763"/>
      <c r="CU30" s="580"/>
      <c r="CV30" s="763"/>
      <c r="CW30" s="580"/>
      <c r="CX30" s="763"/>
      <c r="CY30" s="580"/>
      <c r="CZ30" s="763"/>
      <c r="DA30" s="580"/>
      <c r="DB30" s="763"/>
      <c r="DC30" s="580"/>
      <c r="DD30" s="763"/>
      <c r="DE30" s="582"/>
      <c r="DF30" s="555"/>
      <c r="DG30" s="545"/>
      <c r="DH30" s="757" t="s">
        <v>397</v>
      </c>
      <c r="DI30" s="759">
        <v>12</v>
      </c>
      <c r="DJ30" s="760">
        <v>153.66999999999999</v>
      </c>
      <c r="DK30" s="769">
        <v>1</v>
      </c>
      <c r="DL30" s="770" t="s">
        <v>393</v>
      </c>
      <c r="DM30" s="762"/>
      <c r="DN30" s="580"/>
      <c r="DO30" s="763"/>
      <c r="DP30" s="580"/>
      <c r="DQ30" s="763"/>
      <c r="DR30" s="580"/>
      <c r="DS30" s="763"/>
      <c r="DT30" s="580"/>
      <c r="DU30" s="763"/>
      <c r="DV30" s="580"/>
      <c r="DW30" s="763"/>
      <c r="DX30" s="580"/>
      <c r="DY30" s="763"/>
      <c r="DZ30" s="580"/>
      <c r="EA30" s="763"/>
      <c r="EB30" s="580"/>
      <c r="EC30" s="763">
        <v>1</v>
      </c>
      <c r="ED30" s="580">
        <v>1844</v>
      </c>
      <c r="EE30" s="763">
        <v>1</v>
      </c>
      <c r="EF30" s="580">
        <v>1844</v>
      </c>
      <c r="EG30" s="763">
        <v>1</v>
      </c>
      <c r="EH30" s="580">
        <v>1844</v>
      </c>
      <c r="EI30" s="763">
        <v>0.8</v>
      </c>
      <c r="EJ30" s="580">
        <v>1475</v>
      </c>
      <c r="EK30" s="763">
        <v>1</v>
      </c>
      <c r="EL30" s="580">
        <v>1844</v>
      </c>
      <c r="EM30" s="763">
        <v>1</v>
      </c>
      <c r="EN30" s="580">
        <v>1844</v>
      </c>
      <c r="EO30" s="763">
        <v>1</v>
      </c>
      <c r="EP30" s="580">
        <v>1844</v>
      </c>
      <c r="EQ30" s="763">
        <v>1</v>
      </c>
      <c r="ER30" s="580">
        <v>1844</v>
      </c>
      <c r="ES30" s="763">
        <v>1</v>
      </c>
      <c r="ET30" s="580">
        <v>1844</v>
      </c>
      <c r="EU30" s="763">
        <v>1</v>
      </c>
      <c r="EV30" s="580">
        <v>1844</v>
      </c>
      <c r="EW30" s="763"/>
      <c r="EX30" s="580"/>
      <c r="EY30" s="763"/>
      <c r="EZ30" s="580"/>
      <c r="FA30" s="763"/>
      <c r="FB30" s="580"/>
      <c r="FC30" s="763"/>
      <c r="FD30" s="580"/>
      <c r="FE30" s="763"/>
      <c r="FF30" s="580"/>
      <c r="FG30" s="763"/>
      <c r="FH30" s="582"/>
      <c r="FI30" s="556"/>
      <c r="FJ30" s="557"/>
      <c r="FK30" s="757" t="s">
        <v>397</v>
      </c>
      <c r="FL30" s="764"/>
      <c r="FM30" s="760">
        <v>0</v>
      </c>
      <c r="FN30" s="769">
        <v>0</v>
      </c>
      <c r="FO30" s="770"/>
      <c r="FP30" s="689"/>
      <c r="FQ30" s="765"/>
      <c r="FR30" s="580">
        <v>0</v>
      </c>
      <c r="FS30" s="766"/>
      <c r="FT30" s="765"/>
      <c r="FU30" s="585">
        <v>0</v>
      </c>
      <c r="FV30" s="586"/>
      <c r="FW30" s="587"/>
      <c r="FX30" s="588"/>
      <c r="FY30" s="589"/>
      <c r="FZ30" s="590"/>
      <c r="GA30" s="591"/>
      <c r="GB30" s="592"/>
      <c r="GC30" s="593"/>
      <c r="GD30" s="592"/>
      <c r="GE30" s="594"/>
      <c r="GF30" s="755"/>
      <c r="GG30" s="595"/>
      <c r="GH30" s="595"/>
      <c r="GI30" s="595"/>
      <c r="GJ30" s="608"/>
      <c r="GK30" s="767" t="s">
        <v>643</v>
      </c>
      <c r="GL30" s="767"/>
      <c r="GM30" s="767"/>
      <c r="GN30" s="767"/>
      <c r="GO30" s="523"/>
      <c r="GP30" s="771">
        <v>-1.36</v>
      </c>
      <c r="GQ30" s="410"/>
      <c r="GR30" s="410"/>
      <c r="GS30" s="523"/>
      <c r="GT30" s="756"/>
      <c r="GU30" s="772" t="s">
        <v>349</v>
      </c>
      <c r="GV30" s="773"/>
      <c r="GW30" s="774" t="s">
        <v>644</v>
      </c>
      <c r="GX30" s="774"/>
      <c r="GY30" s="774"/>
      <c r="GZ30" s="774"/>
      <c r="HA30" s="775"/>
      <c r="HB30" s="776" t="s">
        <v>645</v>
      </c>
      <c r="HC30" s="572"/>
      <c r="HD30" s="555"/>
      <c r="HE30" s="412"/>
      <c r="HF30" s="412"/>
    </row>
    <row r="31" spans="1:218" ht="20.100000000000001" customHeight="1">
      <c r="A31" s="545"/>
      <c r="B31" s="777" t="s">
        <v>399</v>
      </c>
      <c r="C31" s="777"/>
      <c r="D31" s="778"/>
      <c r="E31" s="779"/>
      <c r="F31" s="780"/>
      <c r="G31" s="762"/>
      <c r="H31" s="580"/>
      <c r="I31" s="763"/>
      <c r="J31" s="580"/>
      <c r="K31" s="763"/>
      <c r="L31" s="580"/>
      <c r="M31" s="763"/>
      <c r="N31" s="580"/>
      <c r="O31" s="763"/>
      <c r="P31" s="580"/>
      <c r="Q31" s="763"/>
      <c r="R31" s="580"/>
      <c r="S31" s="763"/>
      <c r="T31" s="580"/>
      <c r="U31" s="763"/>
      <c r="V31" s="580"/>
      <c r="W31" s="763"/>
      <c r="X31" s="580">
        <v>0</v>
      </c>
      <c r="Y31" s="763"/>
      <c r="Z31" s="580">
        <v>0</v>
      </c>
      <c r="AA31" s="763"/>
      <c r="AB31" s="580">
        <v>0</v>
      </c>
      <c r="AC31" s="763"/>
      <c r="AD31" s="580">
        <v>0</v>
      </c>
      <c r="AE31" s="763"/>
      <c r="AF31" s="580">
        <v>0</v>
      </c>
      <c r="AG31" s="763"/>
      <c r="AH31" s="580">
        <v>0</v>
      </c>
      <c r="AI31" s="763"/>
      <c r="AJ31" s="580">
        <v>0</v>
      </c>
      <c r="AK31" s="763"/>
      <c r="AL31" s="580">
        <v>0</v>
      </c>
      <c r="AM31" s="763"/>
      <c r="AN31" s="580">
        <v>0</v>
      </c>
      <c r="AO31" s="763"/>
      <c r="AP31" s="580">
        <v>0</v>
      </c>
      <c r="AQ31" s="763"/>
      <c r="AR31" s="580"/>
      <c r="AS31" s="763"/>
      <c r="AT31" s="580"/>
      <c r="AU31" s="763"/>
      <c r="AV31" s="580"/>
      <c r="AW31" s="763"/>
      <c r="AX31" s="580"/>
      <c r="AY31" s="763"/>
      <c r="AZ31" s="580"/>
      <c r="BA31" s="763"/>
      <c r="BB31" s="582"/>
      <c r="BC31" s="555"/>
      <c r="BD31" s="545"/>
      <c r="BE31" s="777" t="s">
        <v>398</v>
      </c>
      <c r="BF31" s="777"/>
      <c r="BG31" s="778">
        <v>0</v>
      </c>
      <c r="BH31" s="779">
        <v>0</v>
      </c>
      <c r="BI31" s="780"/>
      <c r="BJ31" s="762"/>
      <c r="BK31" s="580"/>
      <c r="BL31" s="763"/>
      <c r="BM31" s="580"/>
      <c r="BN31" s="763"/>
      <c r="BO31" s="580"/>
      <c r="BP31" s="763"/>
      <c r="BQ31" s="580"/>
      <c r="BR31" s="763"/>
      <c r="BS31" s="580"/>
      <c r="BT31" s="763"/>
      <c r="BU31" s="580"/>
      <c r="BV31" s="763"/>
      <c r="BW31" s="580"/>
      <c r="BX31" s="763"/>
      <c r="BY31" s="580"/>
      <c r="BZ31" s="763"/>
      <c r="CA31" s="580">
        <v>0</v>
      </c>
      <c r="CB31" s="763"/>
      <c r="CC31" s="580">
        <v>0</v>
      </c>
      <c r="CD31" s="763"/>
      <c r="CE31" s="580">
        <v>0</v>
      </c>
      <c r="CF31" s="763"/>
      <c r="CG31" s="580">
        <v>0</v>
      </c>
      <c r="CH31" s="763"/>
      <c r="CI31" s="580">
        <v>0</v>
      </c>
      <c r="CJ31" s="763"/>
      <c r="CK31" s="580">
        <v>0</v>
      </c>
      <c r="CL31" s="763"/>
      <c r="CM31" s="580">
        <v>0</v>
      </c>
      <c r="CN31" s="763"/>
      <c r="CO31" s="580">
        <v>0</v>
      </c>
      <c r="CP31" s="763"/>
      <c r="CQ31" s="580">
        <v>0</v>
      </c>
      <c r="CR31" s="763"/>
      <c r="CS31" s="580">
        <v>0</v>
      </c>
      <c r="CT31" s="763"/>
      <c r="CU31" s="580"/>
      <c r="CV31" s="763"/>
      <c r="CW31" s="580"/>
      <c r="CX31" s="763"/>
      <c r="CY31" s="580"/>
      <c r="CZ31" s="763"/>
      <c r="DA31" s="580"/>
      <c r="DB31" s="763"/>
      <c r="DC31" s="580"/>
      <c r="DD31" s="763"/>
      <c r="DE31" s="582"/>
      <c r="DF31" s="555"/>
      <c r="DG31" s="545"/>
      <c r="DH31" s="777" t="s">
        <v>398</v>
      </c>
      <c r="DI31" s="777"/>
      <c r="DJ31" s="778">
        <v>0</v>
      </c>
      <c r="DK31" s="779">
        <v>0</v>
      </c>
      <c r="DL31" s="780"/>
      <c r="DM31" s="762"/>
      <c r="DN31" s="580"/>
      <c r="DO31" s="763"/>
      <c r="DP31" s="580"/>
      <c r="DQ31" s="763"/>
      <c r="DR31" s="580"/>
      <c r="DS31" s="763"/>
      <c r="DT31" s="580"/>
      <c r="DU31" s="763"/>
      <c r="DV31" s="580"/>
      <c r="DW31" s="763"/>
      <c r="DX31" s="580"/>
      <c r="DY31" s="763"/>
      <c r="DZ31" s="580"/>
      <c r="EA31" s="763"/>
      <c r="EB31" s="580"/>
      <c r="EC31" s="763"/>
      <c r="ED31" s="580">
        <v>0</v>
      </c>
      <c r="EE31" s="763"/>
      <c r="EF31" s="580">
        <v>0</v>
      </c>
      <c r="EG31" s="763"/>
      <c r="EH31" s="580">
        <v>0</v>
      </c>
      <c r="EI31" s="763"/>
      <c r="EJ31" s="580">
        <v>0</v>
      </c>
      <c r="EK31" s="763"/>
      <c r="EL31" s="580">
        <v>0</v>
      </c>
      <c r="EM31" s="763"/>
      <c r="EN31" s="580">
        <v>0</v>
      </c>
      <c r="EO31" s="763"/>
      <c r="EP31" s="580">
        <v>0</v>
      </c>
      <c r="EQ31" s="763"/>
      <c r="ER31" s="580">
        <v>0</v>
      </c>
      <c r="ES31" s="763"/>
      <c r="ET31" s="580">
        <v>0</v>
      </c>
      <c r="EU31" s="763"/>
      <c r="EV31" s="580">
        <v>0</v>
      </c>
      <c r="EW31" s="763"/>
      <c r="EX31" s="580"/>
      <c r="EY31" s="763"/>
      <c r="EZ31" s="580"/>
      <c r="FA31" s="763"/>
      <c r="FB31" s="580"/>
      <c r="FC31" s="763"/>
      <c r="FD31" s="580"/>
      <c r="FE31" s="763"/>
      <c r="FF31" s="580"/>
      <c r="FG31" s="763"/>
      <c r="FH31" s="582"/>
      <c r="FI31" s="556"/>
      <c r="FJ31" s="557"/>
      <c r="FK31" s="777" t="s">
        <v>398</v>
      </c>
      <c r="FL31" s="777"/>
      <c r="FM31" s="781"/>
      <c r="FN31" s="779">
        <v>0</v>
      </c>
      <c r="FO31" s="780"/>
      <c r="FP31" s="689"/>
      <c r="FQ31" s="765"/>
      <c r="FR31" s="580">
        <v>0</v>
      </c>
      <c r="FS31" s="766"/>
      <c r="FT31" s="765"/>
      <c r="FU31" s="585">
        <v>0</v>
      </c>
      <c r="FV31" s="586"/>
      <c r="FW31" s="587"/>
      <c r="FX31" s="588"/>
      <c r="FY31" s="589"/>
      <c r="FZ31" s="590"/>
      <c r="GA31" s="591"/>
      <c r="GB31" s="592"/>
      <c r="GC31" s="593"/>
      <c r="GD31" s="592"/>
      <c r="GE31" s="594"/>
      <c r="GF31" s="755"/>
      <c r="GG31" s="595"/>
      <c r="GH31" s="595"/>
      <c r="GI31" s="595"/>
      <c r="GJ31" s="410"/>
      <c r="GK31" s="573" t="s">
        <v>646</v>
      </c>
      <c r="GL31" s="410"/>
      <c r="GM31" s="573"/>
      <c r="GN31" s="410"/>
      <c r="GO31" s="573"/>
      <c r="GP31" s="771">
        <v>-1</v>
      </c>
      <c r="GQ31" s="410"/>
      <c r="GR31" s="410"/>
      <c r="GS31" s="573"/>
      <c r="GT31" s="756"/>
      <c r="GU31" s="772"/>
      <c r="GV31" s="773"/>
      <c r="GW31" s="782" t="s">
        <v>493</v>
      </c>
      <c r="GX31" s="783" t="s">
        <v>494</v>
      </c>
      <c r="GY31" s="784" t="s">
        <v>647</v>
      </c>
      <c r="GZ31" s="785" t="s">
        <v>648</v>
      </c>
      <c r="HA31" s="785" t="s">
        <v>471</v>
      </c>
      <c r="HB31" s="786"/>
      <c r="HC31" s="572"/>
      <c r="HD31" s="555"/>
      <c r="HE31" s="412"/>
      <c r="HF31" s="412"/>
    </row>
    <row r="32" spans="1:218" ht="20.100000000000001" customHeight="1">
      <c r="A32" s="545"/>
      <c r="B32" s="787" t="s">
        <v>400</v>
      </c>
      <c r="C32" s="788"/>
      <c r="D32" s="778"/>
      <c r="E32" s="789"/>
      <c r="F32" s="790"/>
      <c r="G32" s="791"/>
      <c r="H32" s="792"/>
      <c r="I32" s="793"/>
      <c r="J32" s="792"/>
      <c r="K32" s="793"/>
      <c r="L32" s="792"/>
      <c r="M32" s="793"/>
      <c r="N32" s="792"/>
      <c r="O32" s="793"/>
      <c r="P32" s="792"/>
      <c r="Q32" s="793"/>
      <c r="R32" s="792"/>
      <c r="S32" s="793"/>
      <c r="T32" s="792"/>
      <c r="U32" s="793"/>
      <c r="V32" s="792"/>
      <c r="W32" s="793"/>
      <c r="X32" s="792">
        <v>0</v>
      </c>
      <c r="Y32" s="793"/>
      <c r="Z32" s="792">
        <v>0</v>
      </c>
      <c r="AA32" s="793"/>
      <c r="AB32" s="792">
        <v>0</v>
      </c>
      <c r="AC32" s="793"/>
      <c r="AD32" s="792">
        <v>0</v>
      </c>
      <c r="AE32" s="793"/>
      <c r="AF32" s="792">
        <v>0</v>
      </c>
      <c r="AG32" s="793"/>
      <c r="AH32" s="792">
        <v>0</v>
      </c>
      <c r="AI32" s="793"/>
      <c r="AJ32" s="792">
        <v>0</v>
      </c>
      <c r="AK32" s="793"/>
      <c r="AL32" s="792">
        <v>0</v>
      </c>
      <c r="AM32" s="793"/>
      <c r="AN32" s="792">
        <v>0</v>
      </c>
      <c r="AO32" s="793"/>
      <c r="AP32" s="792">
        <v>0</v>
      </c>
      <c r="AQ32" s="793"/>
      <c r="AR32" s="792"/>
      <c r="AS32" s="793"/>
      <c r="AT32" s="792"/>
      <c r="AU32" s="793"/>
      <c r="AV32" s="792"/>
      <c r="AW32" s="793"/>
      <c r="AX32" s="792"/>
      <c r="AY32" s="793"/>
      <c r="AZ32" s="792"/>
      <c r="BA32" s="793"/>
      <c r="BB32" s="794"/>
      <c r="BC32" s="555"/>
      <c r="BD32" s="545"/>
      <c r="BE32" s="787" t="s">
        <v>400</v>
      </c>
      <c r="BF32" s="788"/>
      <c r="BG32" s="778">
        <v>0</v>
      </c>
      <c r="BH32" s="789">
        <v>0</v>
      </c>
      <c r="BI32" s="790"/>
      <c r="BJ32" s="791"/>
      <c r="BK32" s="792"/>
      <c r="BL32" s="793"/>
      <c r="BM32" s="792"/>
      <c r="BN32" s="793"/>
      <c r="BO32" s="792"/>
      <c r="BP32" s="793"/>
      <c r="BQ32" s="792"/>
      <c r="BR32" s="793"/>
      <c r="BS32" s="792"/>
      <c r="BT32" s="793"/>
      <c r="BU32" s="792"/>
      <c r="BV32" s="793"/>
      <c r="BW32" s="792"/>
      <c r="BX32" s="793"/>
      <c r="BY32" s="792"/>
      <c r="BZ32" s="793"/>
      <c r="CA32" s="792">
        <v>0</v>
      </c>
      <c r="CB32" s="793"/>
      <c r="CC32" s="792">
        <v>0</v>
      </c>
      <c r="CD32" s="793"/>
      <c r="CE32" s="792">
        <v>0</v>
      </c>
      <c r="CF32" s="793"/>
      <c r="CG32" s="792">
        <v>0</v>
      </c>
      <c r="CH32" s="793"/>
      <c r="CI32" s="792">
        <v>0</v>
      </c>
      <c r="CJ32" s="793"/>
      <c r="CK32" s="792">
        <v>0</v>
      </c>
      <c r="CL32" s="793"/>
      <c r="CM32" s="792">
        <v>0</v>
      </c>
      <c r="CN32" s="793"/>
      <c r="CO32" s="792">
        <v>0</v>
      </c>
      <c r="CP32" s="793"/>
      <c r="CQ32" s="792">
        <v>0</v>
      </c>
      <c r="CR32" s="793"/>
      <c r="CS32" s="792">
        <v>0</v>
      </c>
      <c r="CT32" s="793"/>
      <c r="CU32" s="792"/>
      <c r="CV32" s="793"/>
      <c r="CW32" s="792"/>
      <c r="CX32" s="793"/>
      <c r="CY32" s="792"/>
      <c r="CZ32" s="793"/>
      <c r="DA32" s="792"/>
      <c r="DB32" s="793"/>
      <c r="DC32" s="792"/>
      <c r="DD32" s="793"/>
      <c r="DE32" s="794"/>
      <c r="DF32" s="555"/>
      <c r="DG32" s="545"/>
      <c r="DH32" s="787" t="s">
        <v>400</v>
      </c>
      <c r="DI32" s="788"/>
      <c r="DJ32" s="778">
        <v>0</v>
      </c>
      <c r="DK32" s="789">
        <v>0</v>
      </c>
      <c r="DL32" s="790"/>
      <c r="DM32" s="791"/>
      <c r="DN32" s="792"/>
      <c r="DO32" s="793"/>
      <c r="DP32" s="792"/>
      <c r="DQ32" s="793"/>
      <c r="DR32" s="792"/>
      <c r="DS32" s="793"/>
      <c r="DT32" s="792"/>
      <c r="DU32" s="793"/>
      <c r="DV32" s="792"/>
      <c r="DW32" s="793"/>
      <c r="DX32" s="792"/>
      <c r="DY32" s="793"/>
      <c r="DZ32" s="792"/>
      <c r="EA32" s="793"/>
      <c r="EB32" s="792"/>
      <c r="EC32" s="793"/>
      <c r="ED32" s="792">
        <v>0</v>
      </c>
      <c r="EE32" s="793"/>
      <c r="EF32" s="792">
        <v>0</v>
      </c>
      <c r="EG32" s="793"/>
      <c r="EH32" s="792">
        <v>0</v>
      </c>
      <c r="EI32" s="793"/>
      <c r="EJ32" s="792">
        <v>0</v>
      </c>
      <c r="EK32" s="793"/>
      <c r="EL32" s="792">
        <v>0</v>
      </c>
      <c r="EM32" s="793"/>
      <c r="EN32" s="792">
        <v>0</v>
      </c>
      <c r="EO32" s="793"/>
      <c r="EP32" s="792">
        <v>0</v>
      </c>
      <c r="EQ32" s="793"/>
      <c r="ER32" s="792">
        <v>0</v>
      </c>
      <c r="ES32" s="793"/>
      <c r="ET32" s="792">
        <v>0</v>
      </c>
      <c r="EU32" s="793"/>
      <c r="EV32" s="792">
        <v>0</v>
      </c>
      <c r="EW32" s="793"/>
      <c r="EX32" s="792"/>
      <c r="EY32" s="793"/>
      <c r="EZ32" s="792"/>
      <c r="FA32" s="793"/>
      <c r="FB32" s="792"/>
      <c r="FC32" s="793"/>
      <c r="FD32" s="792"/>
      <c r="FE32" s="793"/>
      <c r="FF32" s="792"/>
      <c r="FG32" s="793"/>
      <c r="FH32" s="794"/>
      <c r="FI32" s="556"/>
      <c r="FJ32" s="557"/>
      <c r="FK32" s="787" t="s">
        <v>400</v>
      </c>
      <c r="FL32" s="788"/>
      <c r="FM32" s="781"/>
      <c r="FN32" s="789">
        <v>0</v>
      </c>
      <c r="FO32" s="790"/>
      <c r="FP32" s="795"/>
      <c r="FQ32" s="796"/>
      <c r="FR32" s="792">
        <v>0</v>
      </c>
      <c r="FS32" s="797"/>
      <c r="FT32" s="796"/>
      <c r="FU32" s="798">
        <v>0</v>
      </c>
      <c r="FV32" s="586"/>
      <c r="FW32" s="587"/>
      <c r="FX32" s="799"/>
      <c r="FY32" s="589"/>
      <c r="FZ32" s="800"/>
      <c r="GA32" s="591"/>
      <c r="GB32" s="801"/>
      <c r="GC32" s="593"/>
      <c r="GD32" s="801"/>
      <c r="GE32" s="594"/>
      <c r="GF32" s="755"/>
      <c r="GG32" s="595"/>
      <c r="GH32" s="595"/>
      <c r="GI32" s="595"/>
      <c r="GJ32" s="493"/>
      <c r="GK32" s="494"/>
      <c r="GL32" s="494"/>
      <c r="GM32" s="494"/>
      <c r="GN32" s="494"/>
      <c r="GO32" s="494"/>
      <c r="GP32" s="494"/>
      <c r="GQ32" s="494"/>
      <c r="GR32" s="494"/>
      <c r="GS32" s="406"/>
      <c r="GT32" s="756"/>
      <c r="GU32" s="802"/>
      <c r="GV32" s="803"/>
      <c r="GW32" s="782"/>
      <c r="GX32" s="783"/>
      <c r="GY32" s="784"/>
      <c r="GZ32" s="785"/>
      <c r="HA32" s="785"/>
      <c r="HB32" s="786"/>
      <c r="HC32" s="410"/>
      <c r="HD32" s="555"/>
      <c r="HE32" s="412"/>
      <c r="HF32" s="412"/>
    </row>
    <row r="33" spans="1:219" ht="20.100000000000001" customHeight="1">
      <c r="A33" s="634"/>
      <c r="B33" s="635"/>
      <c r="C33" s="635"/>
      <c r="D33" s="636" t="s">
        <v>565</v>
      </c>
      <c r="E33" s="635"/>
      <c r="F33" s="635"/>
      <c r="G33" s="637"/>
      <c r="H33" s="638">
        <v>0</v>
      </c>
      <c r="I33" s="1276"/>
      <c r="J33" s="638">
        <v>0</v>
      </c>
      <c r="K33" s="1276"/>
      <c r="L33" s="638">
        <v>0</v>
      </c>
      <c r="M33" s="1276"/>
      <c r="N33" s="638">
        <v>0</v>
      </c>
      <c r="O33" s="1276"/>
      <c r="P33" s="638">
        <v>0</v>
      </c>
      <c r="Q33" s="1276"/>
      <c r="R33" s="638">
        <v>0</v>
      </c>
      <c r="S33" s="1276"/>
      <c r="T33" s="638">
        <v>0</v>
      </c>
      <c r="U33" s="1276"/>
      <c r="V33" s="638">
        <v>0</v>
      </c>
      <c r="W33" s="1276"/>
      <c r="X33" s="638">
        <v>4568</v>
      </c>
      <c r="Y33" s="1276"/>
      <c r="Z33" s="638">
        <v>4568</v>
      </c>
      <c r="AA33" s="1276"/>
      <c r="AB33" s="638">
        <v>4568</v>
      </c>
      <c r="AC33" s="1276"/>
      <c r="AD33" s="638">
        <v>2925</v>
      </c>
      <c r="AE33" s="1276"/>
      <c r="AF33" s="638">
        <v>4568</v>
      </c>
      <c r="AG33" s="1276"/>
      <c r="AH33" s="638">
        <v>4568</v>
      </c>
      <c r="AI33" s="1276"/>
      <c r="AJ33" s="638">
        <v>4568</v>
      </c>
      <c r="AK33" s="1276"/>
      <c r="AL33" s="638">
        <v>4568</v>
      </c>
      <c r="AM33" s="1276"/>
      <c r="AN33" s="638">
        <v>4568</v>
      </c>
      <c r="AO33" s="1276"/>
      <c r="AP33" s="638">
        <v>4128</v>
      </c>
      <c r="AQ33" s="1276"/>
      <c r="AR33" s="638">
        <v>0</v>
      </c>
      <c r="AS33" s="1276"/>
      <c r="AT33" s="638">
        <v>0</v>
      </c>
      <c r="AU33" s="1276"/>
      <c r="AV33" s="638">
        <v>0</v>
      </c>
      <c r="AW33" s="1276"/>
      <c r="AX33" s="638">
        <v>0</v>
      </c>
      <c r="AY33" s="1276"/>
      <c r="AZ33" s="638">
        <v>0</v>
      </c>
      <c r="BA33" s="1276"/>
      <c r="BB33" s="640">
        <v>0</v>
      </c>
      <c r="BC33" s="641"/>
      <c r="BD33" s="634"/>
      <c r="BE33" s="635"/>
      <c r="BF33" s="635"/>
      <c r="BG33" s="636" t="s">
        <v>402</v>
      </c>
      <c r="BH33" s="635"/>
      <c r="BI33" s="635"/>
      <c r="BJ33" s="637"/>
      <c r="BK33" s="638">
        <v>0</v>
      </c>
      <c r="BL33" s="1276"/>
      <c r="BM33" s="638">
        <v>0</v>
      </c>
      <c r="BN33" s="1276"/>
      <c r="BO33" s="638">
        <v>0</v>
      </c>
      <c r="BP33" s="1276"/>
      <c r="BQ33" s="638">
        <v>0</v>
      </c>
      <c r="BR33" s="1276"/>
      <c r="BS33" s="638">
        <v>0</v>
      </c>
      <c r="BT33" s="1276"/>
      <c r="BU33" s="638">
        <v>0</v>
      </c>
      <c r="BV33" s="1276"/>
      <c r="BW33" s="638">
        <v>0</v>
      </c>
      <c r="BX33" s="1276"/>
      <c r="BY33" s="638">
        <v>0</v>
      </c>
      <c r="BZ33" s="1276"/>
      <c r="CA33" s="638">
        <v>4568</v>
      </c>
      <c r="CB33" s="1276"/>
      <c r="CC33" s="638">
        <v>4568</v>
      </c>
      <c r="CD33" s="1276"/>
      <c r="CE33" s="638">
        <v>4568</v>
      </c>
      <c r="CF33" s="1276"/>
      <c r="CG33" s="638">
        <v>2925</v>
      </c>
      <c r="CH33" s="1276"/>
      <c r="CI33" s="638">
        <v>4568</v>
      </c>
      <c r="CJ33" s="1276"/>
      <c r="CK33" s="638">
        <v>4568</v>
      </c>
      <c r="CL33" s="1276"/>
      <c r="CM33" s="638">
        <v>4568</v>
      </c>
      <c r="CN33" s="1276"/>
      <c r="CO33" s="638">
        <v>4568</v>
      </c>
      <c r="CP33" s="1276"/>
      <c r="CQ33" s="638">
        <v>4568</v>
      </c>
      <c r="CR33" s="1276"/>
      <c r="CS33" s="638">
        <v>4128</v>
      </c>
      <c r="CT33" s="1276"/>
      <c r="CU33" s="638">
        <v>0</v>
      </c>
      <c r="CV33" s="1276"/>
      <c r="CW33" s="638">
        <v>0</v>
      </c>
      <c r="CX33" s="1276"/>
      <c r="CY33" s="638">
        <v>0</v>
      </c>
      <c r="CZ33" s="1276"/>
      <c r="DA33" s="638">
        <v>0</v>
      </c>
      <c r="DB33" s="1276"/>
      <c r="DC33" s="638">
        <v>0</v>
      </c>
      <c r="DD33" s="1276"/>
      <c r="DE33" s="640">
        <v>0</v>
      </c>
      <c r="DF33" s="641"/>
      <c r="DG33" s="634"/>
      <c r="DH33" s="635"/>
      <c r="DI33" s="635"/>
      <c r="DJ33" s="636" t="s">
        <v>565</v>
      </c>
      <c r="DK33" s="635"/>
      <c r="DL33" s="635"/>
      <c r="DM33" s="637"/>
      <c r="DN33" s="638">
        <v>0</v>
      </c>
      <c r="DO33" s="1276"/>
      <c r="DP33" s="638">
        <v>0</v>
      </c>
      <c r="DQ33" s="1276"/>
      <c r="DR33" s="638">
        <v>0</v>
      </c>
      <c r="DS33" s="1276"/>
      <c r="DT33" s="638">
        <v>0</v>
      </c>
      <c r="DU33" s="1276"/>
      <c r="DV33" s="638">
        <v>0</v>
      </c>
      <c r="DW33" s="1276"/>
      <c r="DX33" s="638">
        <v>0</v>
      </c>
      <c r="DY33" s="1276"/>
      <c r="DZ33" s="638">
        <v>0</v>
      </c>
      <c r="EA33" s="1276"/>
      <c r="EB33" s="638">
        <v>0</v>
      </c>
      <c r="EC33" s="1276"/>
      <c r="ED33" s="638">
        <v>4568</v>
      </c>
      <c r="EE33" s="1276"/>
      <c r="EF33" s="638">
        <v>4568</v>
      </c>
      <c r="EG33" s="1276"/>
      <c r="EH33" s="638">
        <v>4568</v>
      </c>
      <c r="EI33" s="1276"/>
      <c r="EJ33" s="638">
        <v>2925</v>
      </c>
      <c r="EK33" s="1276"/>
      <c r="EL33" s="638">
        <v>4568</v>
      </c>
      <c r="EM33" s="1276"/>
      <c r="EN33" s="638">
        <v>4568</v>
      </c>
      <c r="EO33" s="1276"/>
      <c r="EP33" s="638">
        <v>4568</v>
      </c>
      <c r="EQ33" s="1276"/>
      <c r="ER33" s="638">
        <v>4568</v>
      </c>
      <c r="ES33" s="1276"/>
      <c r="ET33" s="638">
        <v>4568</v>
      </c>
      <c r="EU33" s="1276"/>
      <c r="EV33" s="638">
        <v>4128</v>
      </c>
      <c r="EW33" s="1276"/>
      <c r="EX33" s="638">
        <v>0</v>
      </c>
      <c r="EY33" s="1276"/>
      <c r="EZ33" s="638">
        <v>0</v>
      </c>
      <c r="FA33" s="1276"/>
      <c r="FB33" s="638">
        <v>0</v>
      </c>
      <c r="FC33" s="1276"/>
      <c r="FD33" s="638">
        <v>0</v>
      </c>
      <c r="FE33" s="1276"/>
      <c r="FF33" s="638">
        <v>0</v>
      </c>
      <c r="FG33" s="1276"/>
      <c r="FH33" s="640">
        <v>0</v>
      </c>
      <c r="FI33" s="642"/>
      <c r="FJ33" s="557"/>
      <c r="FK33" s="635"/>
      <c r="FL33" s="635"/>
      <c r="FM33" s="636" t="s">
        <v>402</v>
      </c>
      <c r="FN33" s="635"/>
      <c r="FO33" s="635"/>
      <c r="FP33" s="643"/>
      <c r="FQ33" s="644"/>
      <c r="FR33" s="638">
        <v>0</v>
      </c>
      <c r="FS33" s="645"/>
      <c r="FT33" s="644"/>
      <c r="FU33" s="646">
        <v>0</v>
      </c>
      <c r="FV33" s="586"/>
      <c r="FW33" s="587"/>
      <c r="FX33" s="799"/>
      <c r="FY33" s="589"/>
      <c r="FZ33" s="800"/>
      <c r="GA33" s="591"/>
      <c r="GB33" s="801"/>
      <c r="GC33" s="593"/>
      <c r="GD33" s="801"/>
      <c r="GE33" s="594"/>
      <c r="GF33" s="647"/>
      <c r="GG33" s="648"/>
      <c r="GH33" s="648"/>
      <c r="GI33" s="648"/>
      <c r="GJ33" s="572"/>
      <c r="GK33" s="523" t="s">
        <v>649</v>
      </c>
      <c r="GL33" s="572"/>
      <c r="GM33" s="523"/>
      <c r="GN33" s="572"/>
      <c r="GO33" s="523"/>
      <c r="GP33" s="523"/>
      <c r="GQ33" s="523"/>
      <c r="GR33" s="572"/>
      <c r="GS33" s="523"/>
      <c r="GT33" s="756"/>
      <c r="GU33" s="804">
        <v>301</v>
      </c>
      <c r="GV33" s="805"/>
      <c r="GW33" s="806">
        <v>38.880000000000003</v>
      </c>
      <c r="GX33" s="807">
        <v>105.06</v>
      </c>
      <c r="GY33" s="807">
        <v>23.89</v>
      </c>
      <c r="GZ33" s="807">
        <v>0</v>
      </c>
      <c r="HA33" s="807">
        <v>167.82999999999998</v>
      </c>
      <c r="HB33" s="808">
        <v>153.66999999999999</v>
      </c>
      <c r="HC33" s="410"/>
      <c r="HD33" s="641"/>
      <c r="HE33" s="412"/>
      <c r="HF33" s="412"/>
    </row>
    <row r="34" spans="1:219" ht="20.100000000000001" customHeight="1">
      <c r="A34" s="1278" t="s">
        <v>406</v>
      </c>
      <c r="B34" s="736"/>
      <c r="C34" s="810"/>
      <c r="D34" s="811"/>
      <c r="E34" s="810"/>
      <c r="F34" s="812"/>
      <c r="G34" s="733" t="s">
        <v>404</v>
      </c>
      <c r="H34" s="656" t="s">
        <v>385</v>
      </c>
      <c r="I34" s="734" t="s">
        <v>405</v>
      </c>
      <c r="J34" s="656" t="s">
        <v>385</v>
      </c>
      <c r="K34" s="735" t="s">
        <v>404</v>
      </c>
      <c r="L34" s="656" t="s">
        <v>388</v>
      </c>
      <c r="M34" s="735" t="s">
        <v>404</v>
      </c>
      <c r="N34" s="656" t="s">
        <v>388</v>
      </c>
      <c r="O34" s="735" t="s">
        <v>404</v>
      </c>
      <c r="P34" s="656" t="s">
        <v>388</v>
      </c>
      <c r="Q34" s="735" t="s">
        <v>405</v>
      </c>
      <c r="R34" s="656" t="s">
        <v>385</v>
      </c>
      <c r="S34" s="735" t="s">
        <v>405</v>
      </c>
      <c r="T34" s="656" t="s">
        <v>385</v>
      </c>
      <c r="U34" s="735" t="s">
        <v>405</v>
      </c>
      <c r="V34" s="656" t="s">
        <v>388</v>
      </c>
      <c r="W34" s="735" t="s">
        <v>405</v>
      </c>
      <c r="X34" s="656" t="s">
        <v>385</v>
      </c>
      <c r="Y34" s="735" t="s">
        <v>405</v>
      </c>
      <c r="Z34" s="656" t="s">
        <v>388</v>
      </c>
      <c r="AA34" s="735" t="s">
        <v>405</v>
      </c>
      <c r="AB34" s="656" t="s">
        <v>388</v>
      </c>
      <c r="AC34" s="735" t="s">
        <v>405</v>
      </c>
      <c r="AD34" s="656" t="s">
        <v>388</v>
      </c>
      <c r="AE34" s="735" t="s">
        <v>404</v>
      </c>
      <c r="AF34" s="656" t="s">
        <v>385</v>
      </c>
      <c r="AG34" s="735" t="s">
        <v>404</v>
      </c>
      <c r="AH34" s="656" t="s">
        <v>388</v>
      </c>
      <c r="AI34" s="735" t="s">
        <v>404</v>
      </c>
      <c r="AJ34" s="656" t="s">
        <v>385</v>
      </c>
      <c r="AK34" s="735" t="s">
        <v>404</v>
      </c>
      <c r="AL34" s="656" t="s">
        <v>388</v>
      </c>
      <c r="AM34" s="735" t="s">
        <v>405</v>
      </c>
      <c r="AN34" s="656" t="s">
        <v>388</v>
      </c>
      <c r="AO34" s="735" t="s">
        <v>405</v>
      </c>
      <c r="AP34" s="656" t="s">
        <v>385</v>
      </c>
      <c r="AQ34" s="735" t="s">
        <v>404</v>
      </c>
      <c r="AR34" s="656" t="s">
        <v>385</v>
      </c>
      <c r="AS34" s="735" t="s">
        <v>405</v>
      </c>
      <c r="AT34" s="656" t="s">
        <v>385</v>
      </c>
      <c r="AU34" s="735" t="s">
        <v>404</v>
      </c>
      <c r="AV34" s="656" t="s">
        <v>385</v>
      </c>
      <c r="AW34" s="735" t="s">
        <v>405</v>
      </c>
      <c r="AX34" s="656" t="s">
        <v>385</v>
      </c>
      <c r="AY34" s="735" t="s">
        <v>405</v>
      </c>
      <c r="AZ34" s="656" t="s">
        <v>388</v>
      </c>
      <c r="BA34" s="735" t="s">
        <v>405</v>
      </c>
      <c r="BB34" s="658" t="s">
        <v>385</v>
      </c>
      <c r="BC34" s="716"/>
      <c r="BD34" s="1278" t="s">
        <v>403</v>
      </c>
      <c r="BE34" s="813"/>
      <c r="BF34" s="814"/>
      <c r="BG34" s="815"/>
      <c r="BH34" s="814"/>
      <c r="BI34" s="816"/>
      <c r="BJ34" s="733" t="s">
        <v>404</v>
      </c>
      <c r="BK34" s="656" t="s">
        <v>385</v>
      </c>
      <c r="BL34" s="734" t="s">
        <v>404</v>
      </c>
      <c r="BM34" s="656" t="s">
        <v>388</v>
      </c>
      <c r="BN34" s="735" t="s">
        <v>404</v>
      </c>
      <c r="BO34" s="656" t="s">
        <v>385</v>
      </c>
      <c r="BP34" s="735" t="s">
        <v>404</v>
      </c>
      <c r="BQ34" s="656" t="s">
        <v>388</v>
      </c>
      <c r="BR34" s="735" t="s">
        <v>404</v>
      </c>
      <c r="BS34" s="656" t="s">
        <v>385</v>
      </c>
      <c r="BT34" s="735" t="s">
        <v>405</v>
      </c>
      <c r="BU34" s="656" t="s">
        <v>388</v>
      </c>
      <c r="BV34" s="735" t="s">
        <v>405</v>
      </c>
      <c r="BW34" s="656" t="s">
        <v>385</v>
      </c>
      <c r="BX34" s="735" t="s">
        <v>405</v>
      </c>
      <c r="BY34" s="656" t="s">
        <v>385</v>
      </c>
      <c r="BZ34" s="735" t="s">
        <v>404</v>
      </c>
      <c r="CA34" s="656" t="s">
        <v>388</v>
      </c>
      <c r="CB34" s="735" t="s">
        <v>404</v>
      </c>
      <c r="CC34" s="656" t="s">
        <v>388</v>
      </c>
      <c r="CD34" s="735" t="s">
        <v>405</v>
      </c>
      <c r="CE34" s="656" t="s">
        <v>388</v>
      </c>
      <c r="CF34" s="735" t="s">
        <v>404</v>
      </c>
      <c r="CG34" s="656" t="s">
        <v>388</v>
      </c>
      <c r="CH34" s="735" t="s">
        <v>404</v>
      </c>
      <c r="CI34" s="656" t="s">
        <v>388</v>
      </c>
      <c r="CJ34" s="735" t="s">
        <v>404</v>
      </c>
      <c r="CK34" s="656" t="s">
        <v>388</v>
      </c>
      <c r="CL34" s="735" t="s">
        <v>404</v>
      </c>
      <c r="CM34" s="656" t="s">
        <v>385</v>
      </c>
      <c r="CN34" s="735" t="s">
        <v>405</v>
      </c>
      <c r="CO34" s="656" t="s">
        <v>385</v>
      </c>
      <c r="CP34" s="735" t="s">
        <v>405</v>
      </c>
      <c r="CQ34" s="656" t="s">
        <v>388</v>
      </c>
      <c r="CR34" s="735" t="s">
        <v>404</v>
      </c>
      <c r="CS34" s="656" t="s">
        <v>388</v>
      </c>
      <c r="CT34" s="735" t="s">
        <v>404</v>
      </c>
      <c r="CU34" s="656" t="s">
        <v>388</v>
      </c>
      <c r="CV34" s="735" t="s">
        <v>405</v>
      </c>
      <c r="CW34" s="656" t="s">
        <v>388</v>
      </c>
      <c r="CX34" s="735" t="s">
        <v>404</v>
      </c>
      <c r="CY34" s="656" t="s">
        <v>388</v>
      </c>
      <c r="CZ34" s="735" t="s">
        <v>405</v>
      </c>
      <c r="DA34" s="656" t="s">
        <v>388</v>
      </c>
      <c r="DB34" s="735" t="s">
        <v>404</v>
      </c>
      <c r="DC34" s="656" t="s">
        <v>388</v>
      </c>
      <c r="DD34" s="735" t="s">
        <v>405</v>
      </c>
      <c r="DE34" s="658" t="s">
        <v>385</v>
      </c>
      <c r="DF34" s="716"/>
      <c r="DG34" s="1278" t="s">
        <v>403</v>
      </c>
      <c r="DH34" s="731"/>
      <c r="DI34" s="817"/>
      <c r="DJ34" s="818"/>
      <c r="DK34" s="817"/>
      <c r="DL34" s="819"/>
      <c r="DM34" s="733" t="s">
        <v>404</v>
      </c>
      <c r="DN34" s="656" t="s">
        <v>388</v>
      </c>
      <c r="DO34" s="734" t="s">
        <v>404</v>
      </c>
      <c r="DP34" s="656" t="s">
        <v>388</v>
      </c>
      <c r="DQ34" s="735" t="s">
        <v>404</v>
      </c>
      <c r="DR34" s="656" t="s">
        <v>388</v>
      </c>
      <c r="DS34" s="735" t="s">
        <v>404</v>
      </c>
      <c r="DT34" s="656" t="s">
        <v>385</v>
      </c>
      <c r="DU34" s="735" t="s">
        <v>404</v>
      </c>
      <c r="DV34" s="656" t="s">
        <v>388</v>
      </c>
      <c r="DW34" s="735" t="s">
        <v>404</v>
      </c>
      <c r="DX34" s="656" t="s">
        <v>385</v>
      </c>
      <c r="DY34" s="735" t="s">
        <v>404</v>
      </c>
      <c r="DZ34" s="656" t="s">
        <v>388</v>
      </c>
      <c r="EA34" s="735" t="s">
        <v>405</v>
      </c>
      <c r="EB34" s="656" t="s">
        <v>388</v>
      </c>
      <c r="EC34" s="735" t="s">
        <v>405</v>
      </c>
      <c r="ED34" s="656" t="s">
        <v>385</v>
      </c>
      <c r="EE34" s="735" t="s">
        <v>404</v>
      </c>
      <c r="EF34" s="656" t="s">
        <v>385</v>
      </c>
      <c r="EG34" s="735" t="s">
        <v>405</v>
      </c>
      <c r="EH34" s="656" t="s">
        <v>385</v>
      </c>
      <c r="EI34" s="735" t="s">
        <v>404</v>
      </c>
      <c r="EJ34" s="656" t="s">
        <v>385</v>
      </c>
      <c r="EK34" s="735" t="s">
        <v>405</v>
      </c>
      <c r="EL34" s="656" t="s">
        <v>385</v>
      </c>
      <c r="EM34" s="735" t="s">
        <v>405</v>
      </c>
      <c r="EN34" s="656" t="s">
        <v>388</v>
      </c>
      <c r="EO34" s="735" t="s">
        <v>405</v>
      </c>
      <c r="EP34" s="656" t="s">
        <v>385</v>
      </c>
      <c r="EQ34" s="735" t="s">
        <v>405</v>
      </c>
      <c r="ER34" s="656" t="s">
        <v>388</v>
      </c>
      <c r="ES34" s="735" t="s">
        <v>404</v>
      </c>
      <c r="ET34" s="656" t="s">
        <v>388</v>
      </c>
      <c r="EU34" s="735" t="s">
        <v>405</v>
      </c>
      <c r="EV34" s="656" t="s">
        <v>388</v>
      </c>
      <c r="EW34" s="735" t="s">
        <v>404</v>
      </c>
      <c r="EX34" s="656" t="s">
        <v>388</v>
      </c>
      <c r="EY34" s="735" t="s">
        <v>404</v>
      </c>
      <c r="EZ34" s="656" t="s">
        <v>385</v>
      </c>
      <c r="FA34" s="735" t="s">
        <v>405</v>
      </c>
      <c r="FB34" s="656" t="s">
        <v>385</v>
      </c>
      <c r="FC34" s="735" t="s">
        <v>405</v>
      </c>
      <c r="FD34" s="656" t="s">
        <v>388</v>
      </c>
      <c r="FE34" s="735" t="s">
        <v>405</v>
      </c>
      <c r="FF34" s="656" t="s">
        <v>385</v>
      </c>
      <c r="FG34" s="735" t="s">
        <v>405</v>
      </c>
      <c r="FH34" s="658" t="s">
        <v>385</v>
      </c>
      <c r="FI34" s="739"/>
      <c r="FJ34" s="820" t="s">
        <v>403</v>
      </c>
      <c r="FK34" s="731"/>
      <c r="FL34" s="817"/>
      <c r="FM34" s="818"/>
      <c r="FN34" s="817"/>
      <c r="FO34" s="819"/>
      <c r="FP34" s="740" t="s">
        <v>407</v>
      </c>
      <c r="FQ34" s="666" t="s">
        <v>405</v>
      </c>
      <c r="FR34" s="656" t="s">
        <v>408</v>
      </c>
      <c r="FS34" s="741" t="s">
        <v>407</v>
      </c>
      <c r="FT34" s="666" t="s">
        <v>404</v>
      </c>
      <c r="FU34" s="668" t="s">
        <v>408</v>
      </c>
      <c r="FV34" s="586"/>
      <c r="FW34" s="587"/>
      <c r="FX34" s="799"/>
      <c r="FY34" s="589"/>
      <c r="FZ34" s="800"/>
      <c r="GA34" s="591"/>
      <c r="GB34" s="801"/>
      <c r="GC34" s="593"/>
      <c r="GD34" s="801"/>
      <c r="GE34" s="594"/>
      <c r="GF34" s="742"/>
      <c r="GG34" s="743"/>
      <c r="GH34" s="743"/>
      <c r="GI34" s="743"/>
      <c r="GJ34" s="572"/>
      <c r="GK34" s="821" t="s">
        <v>650</v>
      </c>
      <c r="GL34" s="821"/>
      <c r="GM34" s="821"/>
      <c r="GN34" s="821"/>
      <c r="GO34" s="821"/>
      <c r="GP34" s="821"/>
      <c r="GQ34" s="608">
        <v>7</v>
      </c>
      <c r="GR34" s="572" t="s">
        <v>293</v>
      </c>
      <c r="GS34" s="573"/>
      <c r="GT34" s="756"/>
      <c r="GU34" s="822"/>
      <c r="GV34" s="823"/>
      <c r="GW34" s="824"/>
      <c r="GX34" s="626"/>
      <c r="GY34" s="626"/>
      <c r="GZ34" s="626"/>
      <c r="HA34" s="626"/>
      <c r="HB34" s="627"/>
      <c r="HC34" s="523"/>
      <c r="HD34" s="716"/>
      <c r="HE34" s="412"/>
      <c r="HF34" s="412"/>
    </row>
    <row r="35" spans="1:219" ht="20.100000000000001" customHeight="1">
      <c r="A35" s="825"/>
      <c r="B35" s="459" t="s">
        <v>409</v>
      </c>
      <c r="C35" s="460"/>
      <c r="D35" s="826">
        <v>0</v>
      </c>
      <c r="E35" s="827">
        <v>0</v>
      </c>
      <c r="F35" s="828"/>
      <c r="G35" s="829"/>
      <c r="H35" s="830">
        <v>0</v>
      </c>
      <c r="I35" s="831"/>
      <c r="J35" s="792">
        <v>0</v>
      </c>
      <c r="K35" s="832"/>
      <c r="L35" s="792">
        <v>0</v>
      </c>
      <c r="M35" s="832"/>
      <c r="N35" s="792">
        <v>0</v>
      </c>
      <c r="O35" s="832"/>
      <c r="P35" s="792">
        <v>0</v>
      </c>
      <c r="Q35" s="832"/>
      <c r="R35" s="792">
        <v>0</v>
      </c>
      <c r="S35" s="832"/>
      <c r="T35" s="792">
        <v>0</v>
      </c>
      <c r="U35" s="832"/>
      <c r="V35" s="792">
        <v>0</v>
      </c>
      <c r="W35" s="832"/>
      <c r="X35" s="792">
        <v>0</v>
      </c>
      <c r="Y35" s="832"/>
      <c r="Z35" s="792">
        <v>0</v>
      </c>
      <c r="AA35" s="832"/>
      <c r="AB35" s="792">
        <v>0</v>
      </c>
      <c r="AC35" s="832"/>
      <c r="AD35" s="792">
        <v>0</v>
      </c>
      <c r="AE35" s="832"/>
      <c r="AF35" s="792">
        <v>0</v>
      </c>
      <c r="AG35" s="832"/>
      <c r="AH35" s="792">
        <v>0</v>
      </c>
      <c r="AI35" s="832"/>
      <c r="AJ35" s="792">
        <v>0</v>
      </c>
      <c r="AK35" s="832"/>
      <c r="AL35" s="792">
        <v>0</v>
      </c>
      <c r="AM35" s="832"/>
      <c r="AN35" s="792">
        <v>0</v>
      </c>
      <c r="AO35" s="832"/>
      <c r="AP35" s="792">
        <v>0</v>
      </c>
      <c r="AQ35" s="832"/>
      <c r="AR35" s="792">
        <v>0</v>
      </c>
      <c r="AS35" s="832"/>
      <c r="AT35" s="792">
        <v>0</v>
      </c>
      <c r="AU35" s="832"/>
      <c r="AV35" s="792">
        <v>0</v>
      </c>
      <c r="AW35" s="832"/>
      <c r="AX35" s="792">
        <v>0</v>
      </c>
      <c r="AY35" s="832"/>
      <c r="AZ35" s="792">
        <v>0</v>
      </c>
      <c r="BA35" s="832"/>
      <c r="BB35" s="833">
        <v>0</v>
      </c>
      <c r="BC35" s="555"/>
      <c r="BD35" s="825"/>
      <c r="BE35" s="459" t="s">
        <v>291</v>
      </c>
      <c r="BF35" s="460"/>
      <c r="BG35" s="826">
        <v>0</v>
      </c>
      <c r="BH35" s="827">
        <v>0</v>
      </c>
      <c r="BI35" s="828"/>
      <c r="BJ35" s="829"/>
      <c r="BK35" s="830">
        <v>0</v>
      </c>
      <c r="BL35" s="831"/>
      <c r="BM35" s="792">
        <v>0</v>
      </c>
      <c r="BN35" s="832"/>
      <c r="BO35" s="792">
        <v>0</v>
      </c>
      <c r="BP35" s="832"/>
      <c r="BQ35" s="792">
        <v>0</v>
      </c>
      <c r="BR35" s="832"/>
      <c r="BS35" s="792">
        <v>0</v>
      </c>
      <c r="BT35" s="832"/>
      <c r="BU35" s="792">
        <v>0</v>
      </c>
      <c r="BV35" s="832"/>
      <c r="BW35" s="792">
        <v>0</v>
      </c>
      <c r="BX35" s="832"/>
      <c r="BY35" s="792">
        <v>0</v>
      </c>
      <c r="BZ35" s="832"/>
      <c r="CA35" s="792">
        <v>0</v>
      </c>
      <c r="CB35" s="832"/>
      <c r="CC35" s="792">
        <v>0</v>
      </c>
      <c r="CD35" s="832"/>
      <c r="CE35" s="792">
        <v>0</v>
      </c>
      <c r="CF35" s="832"/>
      <c r="CG35" s="792">
        <v>0</v>
      </c>
      <c r="CH35" s="832"/>
      <c r="CI35" s="792">
        <v>0</v>
      </c>
      <c r="CJ35" s="832"/>
      <c r="CK35" s="792">
        <v>0</v>
      </c>
      <c r="CL35" s="832"/>
      <c r="CM35" s="792">
        <v>0</v>
      </c>
      <c r="CN35" s="832"/>
      <c r="CO35" s="792">
        <v>0</v>
      </c>
      <c r="CP35" s="832"/>
      <c r="CQ35" s="792">
        <v>0</v>
      </c>
      <c r="CR35" s="832"/>
      <c r="CS35" s="792">
        <v>0</v>
      </c>
      <c r="CT35" s="832"/>
      <c r="CU35" s="792">
        <v>0</v>
      </c>
      <c r="CV35" s="832"/>
      <c r="CW35" s="792">
        <v>0</v>
      </c>
      <c r="CX35" s="832"/>
      <c r="CY35" s="792">
        <v>0</v>
      </c>
      <c r="CZ35" s="832"/>
      <c r="DA35" s="792">
        <v>0</v>
      </c>
      <c r="DB35" s="832"/>
      <c r="DC35" s="792">
        <v>0</v>
      </c>
      <c r="DD35" s="832"/>
      <c r="DE35" s="833">
        <v>0</v>
      </c>
      <c r="DF35" s="555"/>
      <c r="DG35" s="825"/>
      <c r="DH35" s="459" t="s">
        <v>291</v>
      </c>
      <c r="DI35" s="460"/>
      <c r="DJ35" s="826">
        <v>0</v>
      </c>
      <c r="DK35" s="827">
        <v>0</v>
      </c>
      <c r="DL35" s="828"/>
      <c r="DM35" s="829"/>
      <c r="DN35" s="830">
        <v>0</v>
      </c>
      <c r="DO35" s="831"/>
      <c r="DP35" s="792">
        <v>0</v>
      </c>
      <c r="DQ35" s="832"/>
      <c r="DR35" s="792">
        <v>0</v>
      </c>
      <c r="DS35" s="832"/>
      <c r="DT35" s="792">
        <v>0</v>
      </c>
      <c r="DU35" s="832"/>
      <c r="DV35" s="792">
        <v>0</v>
      </c>
      <c r="DW35" s="832"/>
      <c r="DX35" s="792">
        <v>0</v>
      </c>
      <c r="DY35" s="832"/>
      <c r="DZ35" s="792">
        <v>0</v>
      </c>
      <c r="EA35" s="832"/>
      <c r="EB35" s="792">
        <v>0</v>
      </c>
      <c r="EC35" s="832"/>
      <c r="ED35" s="792">
        <v>0</v>
      </c>
      <c r="EE35" s="832"/>
      <c r="EF35" s="792">
        <v>0</v>
      </c>
      <c r="EG35" s="832"/>
      <c r="EH35" s="792">
        <v>0</v>
      </c>
      <c r="EI35" s="832"/>
      <c r="EJ35" s="792">
        <v>0</v>
      </c>
      <c r="EK35" s="832"/>
      <c r="EL35" s="792">
        <v>0</v>
      </c>
      <c r="EM35" s="832"/>
      <c r="EN35" s="792">
        <v>0</v>
      </c>
      <c r="EO35" s="832"/>
      <c r="EP35" s="792">
        <v>0</v>
      </c>
      <c r="EQ35" s="832"/>
      <c r="ER35" s="792">
        <v>0</v>
      </c>
      <c r="ES35" s="832"/>
      <c r="ET35" s="792">
        <v>0</v>
      </c>
      <c r="EU35" s="832"/>
      <c r="EV35" s="792">
        <v>0</v>
      </c>
      <c r="EW35" s="832"/>
      <c r="EX35" s="792">
        <v>0</v>
      </c>
      <c r="EY35" s="832"/>
      <c r="EZ35" s="792">
        <v>0</v>
      </c>
      <c r="FA35" s="832"/>
      <c r="FB35" s="792">
        <v>0</v>
      </c>
      <c r="FC35" s="832"/>
      <c r="FD35" s="792">
        <v>0</v>
      </c>
      <c r="FE35" s="832"/>
      <c r="FF35" s="792">
        <v>0</v>
      </c>
      <c r="FG35" s="832"/>
      <c r="FH35" s="833">
        <v>0</v>
      </c>
      <c r="FI35" s="556"/>
      <c r="FJ35" s="834"/>
      <c r="FK35" s="459" t="s">
        <v>291</v>
      </c>
      <c r="FL35" s="460"/>
      <c r="FM35" s="826">
        <v>0</v>
      </c>
      <c r="FN35" s="827">
        <v>0</v>
      </c>
      <c r="FO35" s="828"/>
      <c r="FP35" s="835"/>
      <c r="FQ35" s="831"/>
      <c r="FR35" s="830">
        <v>0</v>
      </c>
      <c r="FS35" s="836"/>
      <c r="FT35" s="831"/>
      <c r="FU35" s="798">
        <v>0</v>
      </c>
      <c r="FV35" s="586"/>
      <c r="FW35" s="587"/>
      <c r="FX35" s="799"/>
      <c r="FY35" s="589"/>
      <c r="FZ35" s="800"/>
      <c r="GA35" s="591"/>
      <c r="GB35" s="801"/>
      <c r="GC35" s="593"/>
      <c r="GD35" s="801"/>
      <c r="GE35" s="594"/>
      <c r="GF35" s="837"/>
      <c r="GG35" s="595"/>
      <c r="GH35" s="595"/>
      <c r="GI35" s="595"/>
      <c r="GJ35" s="523"/>
      <c r="GK35" s="523" t="s">
        <v>522</v>
      </c>
      <c r="GL35" s="523"/>
      <c r="GM35" s="572"/>
      <c r="GN35" s="523"/>
      <c r="GO35" s="572"/>
      <c r="GP35" s="572"/>
      <c r="GQ35" s="572"/>
      <c r="GR35" s="572"/>
      <c r="GS35" s="406"/>
      <c r="GT35" s="756"/>
      <c r="GU35" s="822"/>
      <c r="GV35" s="823"/>
      <c r="GW35" s="824"/>
      <c r="GX35" s="626"/>
      <c r="GY35" s="626"/>
      <c r="GZ35" s="626"/>
      <c r="HA35" s="626"/>
      <c r="HB35" s="627"/>
      <c r="HC35" s="523"/>
      <c r="HD35" s="555"/>
      <c r="HE35" s="412"/>
      <c r="HF35" s="412"/>
    </row>
    <row r="36" spans="1:219" ht="20.100000000000001" customHeight="1">
      <c r="A36" s="825"/>
      <c r="B36" s="635"/>
      <c r="C36" s="635"/>
      <c r="D36" s="636" t="s">
        <v>410</v>
      </c>
      <c r="E36" s="635"/>
      <c r="F36" s="635"/>
      <c r="G36" s="838"/>
      <c r="H36" s="1279">
        <v>0</v>
      </c>
      <c r="I36" s="1280"/>
      <c r="J36" s="841">
        <v>0</v>
      </c>
      <c r="K36" s="842"/>
      <c r="L36" s="841">
        <v>0</v>
      </c>
      <c r="M36" s="842"/>
      <c r="N36" s="841">
        <v>0</v>
      </c>
      <c r="O36" s="842"/>
      <c r="P36" s="841">
        <v>0</v>
      </c>
      <c r="Q36" s="842"/>
      <c r="R36" s="841">
        <v>0</v>
      </c>
      <c r="S36" s="842"/>
      <c r="T36" s="841">
        <v>0</v>
      </c>
      <c r="U36" s="842"/>
      <c r="V36" s="841">
        <v>0</v>
      </c>
      <c r="W36" s="842"/>
      <c r="X36" s="841">
        <v>0</v>
      </c>
      <c r="Y36" s="842"/>
      <c r="Z36" s="841">
        <v>0</v>
      </c>
      <c r="AA36" s="842"/>
      <c r="AB36" s="841">
        <v>0</v>
      </c>
      <c r="AC36" s="842"/>
      <c r="AD36" s="841">
        <v>0</v>
      </c>
      <c r="AE36" s="842"/>
      <c r="AF36" s="841">
        <v>0</v>
      </c>
      <c r="AG36" s="842"/>
      <c r="AH36" s="841">
        <v>0</v>
      </c>
      <c r="AI36" s="842"/>
      <c r="AJ36" s="841">
        <v>0</v>
      </c>
      <c r="AK36" s="842"/>
      <c r="AL36" s="841">
        <v>0</v>
      </c>
      <c r="AM36" s="842"/>
      <c r="AN36" s="841">
        <v>0</v>
      </c>
      <c r="AO36" s="842"/>
      <c r="AP36" s="841">
        <v>0</v>
      </c>
      <c r="AQ36" s="842"/>
      <c r="AR36" s="841">
        <v>0</v>
      </c>
      <c r="AS36" s="842"/>
      <c r="AT36" s="841">
        <v>0</v>
      </c>
      <c r="AU36" s="842"/>
      <c r="AV36" s="841">
        <v>0</v>
      </c>
      <c r="AW36" s="842"/>
      <c r="AX36" s="841">
        <v>0</v>
      </c>
      <c r="AY36" s="842"/>
      <c r="AZ36" s="841">
        <v>0</v>
      </c>
      <c r="BA36" s="842"/>
      <c r="BB36" s="1281">
        <v>0</v>
      </c>
      <c r="BC36" s="641"/>
      <c r="BD36" s="825"/>
      <c r="BE36" s="635"/>
      <c r="BF36" s="635"/>
      <c r="BG36" s="636" t="s">
        <v>292</v>
      </c>
      <c r="BH36" s="635"/>
      <c r="BI36" s="635"/>
      <c r="BJ36" s="838"/>
      <c r="BK36" s="1279">
        <v>0</v>
      </c>
      <c r="BL36" s="1280"/>
      <c r="BM36" s="841">
        <v>0</v>
      </c>
      <c r="BN36" s="842"/>
      <c r="BO36" s="841">
        <v>0</v>
      </c>
      <c r="BP36" s="842"/>
      <c r="BQ36" s="841">
        <v>0</v>
      </c>
      <c r="BR36" s="842"/>
      <c r="BS36" s="841">
        <v>0</v>
      </c>
      <c r="BT36" s="842"/>
      <c r="BU36" s="841">
        <v>0</v>
      </c>
      <c r="BV36" s="842"/>
      <c r="BW36" s="841">
        <v>0</v>
      </c>
      <c r="BX36" s="842"/>
      <c r="BY36" s="841">
        <v>0</v>
      </c>
      <c r="BZ36" s="842"/>
      <c r="CA36" s="841">
        <v>0</v>
      </c>
      <c r="CB36" s="842"/>
      <c r="CC36" s="841">
        <v>0</v>
      </c>
      <c r="CD36" s="842"/>
      <c r="CE36" s="841">
        <v>0</v>
      </c>
      <c r="CF36" s="842"/>
      <c r="CG36" s="841">
        <v>0</v>
      </c>
      <c r="CH36" s="842"/>
      <c r="CI36" s="841">
        <v>0</v>
      </c>
      <c r="CJ36" s="842"/>
      <c r="CK36" s="841">
        <v>0</v>
      </c>
      <c r="CL36" s="842"/>
      <c r="CM36" s="841">
        <v>0</v>
      </c>
      <c r="CN36" s="842"/>
      <c r="CO36" s="841">
        <v>0</v>
      </c>
      <c r="CP36" s="842"/>
      <c r="CQ36" s="841">
        <v>0</v>
      </c>
      <c r="CR36" s="842"/>
      <c r="CS36" s="841">
        <v>0</v>
      </c>
      <c r="CT36" s="842"/>
      <c r="CU36" s="841">
        <v>0</v>
      </c>
      <c r="CV36" s="842"/>
      <c r="CW36" s="841">
        <v>0</v>
      </c>
      <c r="CX36" s="842"/>
      <c r="CY36" s="841">
        <v>0</v>
      </c>
      <c r="CZ36" s="842"/>
      <c r="DA36" s="841">
        <v>0</v>
      </c>
      <c r="DB36" s="842"/>
      <c r="DC36" s="841">
        <v>0</v>
      </c>
      <c r="DD36" s="842"/>
      <c r="DE36" s="1281">
        <v>0</v>
      </c>
      <c r="DF36" s="641"/>
      <c r="DG36" s="825"/>
      <c r="DH36" s="635"/>
      <c r="DI36" s="635"/>
      <c r="DJ36" s="636" t="s">
        <v>292</v>
      </c>
      <c r="DK36" s="635"/>
      <c r="DL36" s="635"/>
      <c r="DM36" s="838"/>
      <c r="DN36" s="1279">
        <v>0</v>
      </c>
      <c r="DO36" s="1280"/>
      <c r="DP36" s="841">
        <v>0</v>
      </c>
      <c r="DQ36" s="842"/>
      <c r="DR36" s="841">
        <v>0</v>
      </c>
      <c r="DS36" s="842"/>
      <c r="DT36" s="841">
        <v>0</v>
      </c>
      <c r="DU36" s="842"/>
      <c r="DV36" s="841">
        <v>0</v>
      </c>
      <c r="DW36" s="842"/>
      <c r="DX36" s="841">
        <v>0</v>
      </c>
      <c r="DY36" s="842"/>
      <c r="DZ36" s="841">
        <v>0</v>
      </c>
      <c r="EA36" s="842"/>
      <c r="EB36" s="841">
        <v>0</v>
      </c>
      <c r="EC36" s="842"/>
      <c r="ED36" s="841">
        <v>0</v>
      </c>
      <c r="EE36" s="842"/>
      <c r="EF36" s="841">
        <v>0</v>
      </c>
      <c r="EG36" s="842"/>
      <c r="EH36" s="841">
        <v>0</v>
      </c>
      <c r="EI36" s="842"/>
      <c r="EJ36" s="841">
        <v>0</v>
      </c>
      <c r="EK36" s="842"/>
      <c r="EL36" s="841">
        <v>0</v>
      </c>
      <c r="EM36" s="842"/>
      <c r="EN36" s="841">
        <v>0</v>
      </c>
      <c r="EO36" s="842"/>
      <c r="EP36" s="841">
        <v>0</v>
      </c>
      <c r="EQ36" s="842"/>
      <c r="ER36" s="841">
        <v>0</v>
      </c>
      <c r="ES36" s="842"/>
      <c r="ET36" s="841">
        <v>0</v>
      </c>
      <c r="EU36" s="842"/>
      <c r="EV36" s="841">
        <v>0</v>
      </c>
      <c r="EW36" s="842"/>
      <c r="EX36" s="841">
        <v>0</v>
      </c>
      <c r="EY36" s="842"/>
      <c r="EZ36" s="841">
        <v>0</v>
      </c>
      <c r="FA36" s="842"/>
      <c r="FB36" s="841">
        <v>0</v>
      </c>
      <c r="FC36" s="842"/>
      <c r="FD36" s="841">
        <v>0</v>
      </c>
      <c r="FE36" s="842"/>
      <c r="FF36" s="841">
        <v>0</v>
      </c>
      <c r="FG36" s="842"/>
      <c r="FH36" s="1281">
        <v>0</v>
      </c>
      <c r="FI36" s="642"/>
      <c r="FJ36" s="834"/>
      <c r="FK36" s="635"/>
      <c r="FL36" s="635"/>
      <c r="FM36" s="636" t="s">
        <v>292</v>
      </c>
      <c r="FN36" s="635"/>
      <c r="FO36" s="635"/>
      <c r="FP36" s="643"/>
      <c r="FQ36" s="1280"/>
      <c r="FR36" s="1279">
        <v>0</v>
      </c>
      <c r="FS36" s="1282"/>
      <c r="FT36" s="1280"/>
      <c r="FU36" s="1283">
        <v>0</v>
      </c>
      <c r="FV36" s="586"/>
      <c r="FW36" s="587"/>
      <c r="FX36" s="799"/>
      <c r="FY36" s="589"/>
      <c r="FZ36" s="800"/>
      <c r="GA36" s="591"/>
      <c r="GB36" s="801"/>
      <c r="GC36" s="593"/>
      <c r="GD36" s="801"/>
      <c r="GE36" s="594"/>
      <c r="GF36" s="647"/>
      <c r="GG36" s="648"/>
      <c r="GH36" s="648"/>
      <c r="GI36" s="648"/>
      <c r="GJ36" s="523"/>
      <c r="GK36" s="821" t="s">
        <v>651</v>
      </c>
      <c r="GL36" s="821"/>
      <c r="GM36" s="821"/>
      <c r="GN36" s="821"/>
      <c r="GO36" s="821"/>
      <c r="GP36" s="821"/>
      <c r="GQ36" s="608">
        <v>12.1</v>
      </c>
      <c r="GR36" s="572" t="s">
        <v>479</v>
      </c>
      <c r="GS36" s="523"/>
      <c r="GT36" s="756"/>
      <c r="GU36" s="822"/>
      <c r="GV36" s="823"/>
      <c r="GW36" s="824"/>
      <c r="GX36" s="626"/>
      <c r="GY36" s="626"/>
      <c r="GZ36" s="626"/>
      <c r="HA36" s="626"/>
      <c r="HB36" s="627"/>
      <c r="HC36" s="523"/>
      <c r="HD36" s="641"/>
      <c r="HE36" s="412"/>
      <c r="HF36" s="412"/>
    </row>
    <row r="37" spans="1:219" ht="24" customHeight="1">
      <c r="A37" s="846" t="s">
        <v>411</v>
      </c>
      <c r="B37" s="847"/>
      <c r="C37" s="848" t="s">
        <v>412</v>
      </c>
      <c r="D37" s="849"/>
      <c r="E37" s="850" t="s">
        <v>413</v>
      </c>
      <c r="F37" s="851"/>
      <c r="G37" s="655" t="s">
        <v>405</v>
      </c>
      <c r="H37" s="656" t="s">
        <v>294</v>
      </c>
      <c r="I37" s="657" t="s">
        <v>405</v>
      </c>
      <c r="J37" s="656" t="s">
        <v>415</v>
      </c>
      <c r="K37" s="657" t="s">
        <v>405</v>
      </c>
      <c r="L37" s="656" t="s">
        <v>415</v>
      </c>
      <c r="M37" s="657" t="s">
        <v>405</v>
      </c>
      <c r="N37" s="656" t="s">
        <v>416</v>
      </c>
      <c r="O37" s="657" t="s">
        <v>405</v>
      </c>
      <c r="P37" s="656" t="s">
        <v>415</v>
      </c>
      <c r="Q37" s="657" t="s">
        <v>405</v>
      </c>
      <c r="R37" s="656" t="s">
        <v>416</v>
      </c>
      <c r="S37" s="657" t="s">
        <v>405</v>
      </c>
      <c r="T37" s="656" t="s">
        <v>416</v>
      </c>
      <c r="U37" s="657" t="s">
        <v>405</v>
      </c>
      <c r="V37" s="656" t="s">
        <v>416</v>
      </c>
      <c r="W37" s="657" t="s">
        <v>404</v>
      </c>
      <c r="X37" s="656" t="s">
        <v>415</v>
      </c>
      <c r="Y37" s="657" t="s">
        <v>404</v>
      </c>
      <c r="Z37" s="656" t="s">
        <v>415</v>
      </c>
      <c r="AA37" s="657" t="s">
        <v>404</v>
      </c>
      <c r="AB37" s="656" t="s">
        <v>416</v>
      </c>
      <c r="AC37" s="657" t="s">
        <v>404</v>
      </c>
      <c r="AD37" s="656" t="s">
        <v>416</v>
      </c>
      <c r="AE37" s="657" t="s">
        <v>404</v>
      </c>
      <c r="AF37" s="656" t="s">
        <v>415</v>
      </c>
      <c r="AG37" s="657" t="s">
        <v>405</v>
      </c>
      <c r="AH37" s="656" t="s">
        <v>416</v>
      </c>
      <c r="AI37" s="657" t="s">
        <v>404</v>
      </c>
      <c r="AJ37" s="656" t="s">
        <v>415</v>
      </c>
      <c r="AK37" s="657" t="s">
        <v>404</v>
      </c>
      <c r="AL37" s="656" t="s">
        <v>416</v>
      </c>
      <c r="AM37" s="657" t="s">
        <v>405</v>
      </c>
      <c r="AN37" s="656" t="s">
        <v>416</v>
      </c>
      <c r="AO37" s="657" t="s">
        <v>404</v>
      </c>
      <c r="AP37" s="656" t="s">
        <v>415</v>
      </c>
      <c r="AQ37" s="657" t="s">
        <v>404</v>
      </c>
      <c r="AR37" s="656" t="s">
        <v>415</v>
      </c>
      <c r="AS37" s="657" t="s">
        <v>404</v>
      </c>
      <c r="AT37" s="656" t="s">
        <v>416</v>
      </c>
      <c r="AU37" s="657" t="s">
        <v>404</v>
      </c>
      <c r="AV37" s="656" t="s">
        <v>415</v>
      </c>
      <c r="AW37" s="657" t="s">
        <v>404</v>
      </c>
      <c r="AX37" s="656" t="s">
        <v>416</v>
      </c>
      <c r="AY37" s="657" t="s">
        <v>404</v>
      </c>
      <c r="AZ37" s="656" t="s">
        <v>415</v>
      </c>
      <c r="BA37" s="657" t="s">
        <v>404</v>
      </c>
      <c r="BB37" s="658" t="s">
        <v>416</v>
      </c>
      <c r="BC37" s="716"/>
      <c r="BD37" s="846" t="s">
        <v>411</v>
      </c>
      <c r="BE37" s="847"/>
      <c r="BF37" s="848" t="s">
        <v>412</v>
      </c>
      <c r="BG37" s="849"/>
      <c r="BH37" s="850" t="s">
        <v>413</v>
      </c>
      <c r="BI37" s="851"/>
      <c r="BJ37" s="655" t="s">
        <v>405</v>
      </c>
      <c r="BK37" s="656" t="s">
        <v>414</v>
      </c>
      <c r="BL37" s="657" t="s">
        <v>405</v>
      </c>
      <c r="BM37" s="656" t="s">
        <v>416</v>
      </c>
      <c r="BN37" s="657" t="s">
        <v>404</v>
      </c>
      <c r="BO37" s="656" t="s">
        <v>416</v>
      </c>
      <c r="BP37" s="657" t="s">
        <v>405</v>
      </c>
      <c r="BQ37" s="656" t="s">
        <v>416</v>
      </c>
      <c r="BR37" s="657" t="s">
        <v>404</v>
      </c>
      <c r="BS37" s="656" t="s">
        <v>416</v>
      </c>
      <c r="BT37" s="657" t="s">
        <v>404</v>
      </c>
      <c r="BU37" s="656" t="s">
        <v>415</v>
      </c>
      <c r="BV37" s="657" t="s">
        <v>404</v>
      </c>
      <c r="BW37" s="656" t="s">
        <v>416</v>
      </c>
      <c r="BX37" s="657" t="s">
        <v>405</v>
      </c>
      <c r="BY37" s="656" t="s">
        <v>416</v>
      </c>
      <c r="BZ37" s="657" t="s">
        <v>405</v>
      </c>
      <c r="CA37" s="656" t="s">
        <v>416</v>
      </c>
      <c r="CB37" s="657" t="s">
        <v>404</v>
      </c>
      <c r="CC37" s="656" t="s">
        <v>416</v>
      </c>
      <c r="CD37" s="657" t="s">
        <v>404</v>
      </c>
      <c r="CE37" s="656" t="s">
        <v>416</v>
      </c>
      <c r="CF37" s="657" t="s">
        <v>405</v>
      </c>
      <c r="CG37" s="656" t="s">
        <v>415</v>
      </c>
      <c r="CH37" s="657" t="s">
        <v>404</v>
      </c>
      <c r="CI37" s="656" t="s">
        <v>416</v>
      </c>
      <c r="CJ37" s="657" t="s">
        <v>405</v>
      </c>
      <c r="CK37" s="656" t="s">
        <v>416</v>
      </c>
      <c r="CL37" s="657" t="s">
        <v>404</v>
      </c>
      <c r="CM37" s="656" t="s">
        <v>415</v>
      </c>
      <c r="CN37" s="657" t="s">
        <v>404</v>
      </c>
      <c r="CO37" s="656" t="s">
        <v>416</v>
      </c>
      <c r="CP37" s="657" t="s">
        <v>405</v>
      </c>
      <c r="CQ37" s="656" t="s">
        <v>416</v>
      </c>
      <c r="CR37" s="657" t="s">
        <v>405</v>
      </c>
      <c r="CS37" s="656" t="s">
        <v>416</v>
      </c>
      <c r="CT37" s="657" t="s">
        <v>404</v>
      </c>
      <c r="CU37" s="656" t="s">
        <v>416</v>
      </c>
      <c r="CV37" s="657" t="s">
        <v>405</v>
      </c>
      <c r="CW37" s="656" t="s">
        <v>416</v>
      </c>
      <c r="CX37" s="657" t="s">
        <v>404</v>
      </c>
      <c r="CY37" s="656" t="s">
        <v>416</v>
      </c>
      <c r="CZ37" s="657" t="s">
        <v>405</v>
      </c>
      <c r="DA37" s="656" t="s">
        <v>416</v>
      </c>
      <c r="DB37" s="657" t="s">
        <v>404</v>
      </c>
      <c r="DC37" s="656" t="s">
        <v>416</v>
      </c>
      <c r="DD37" s="657" t="s">
        <v>405</v>
      </c>
      <c r="DE37" s="658" t="s">
        <v>415</v>
      </c>
      <c r="DF37" s="716"/>
      <c r="DG37" s="846" t="s">
        <v>419</v>
      </c>
      <c r="DH37" s="847"/>
      <c r="DI37" s="848" t="s">
        <v>412</v>
      </c>
      <c r="DJ37" s="849"/>
      <c r="DK37" s="850" t="s">
        <v>413</v>
      </c>
      <c r="DL37" s="851"/>
      <c r="DM37" s="655" t="s">
        <v>404</v>
      </c>
      <c r="DN37" s="656" t="s">
        <v>294</v>
      </c>
      <c r="DO37" s="657" t="s">
        <v>404</v>
      </c>
      <c r="DP37" s="656" t="s">
        <v>415</v>
      </c>
      <c r="DQ37" s="657" t="s">
        <v>404</v>
      </c>
      <c r="DR37" s="656" t="s">
        <v>416</v>
      </c>
      <c r="DS37" s="657" t="s">
        <v>404</v>
      </c>
      <c r="DT37" s="656" t="s">
        <v>416</v>
      </c>
      <c r="DU37" s="657" t="s">
        <v>405</v>
      </c>
      <c r="DV37" s="656" t="s">
        <v>416</v>
      </c>
      <c r="DW37" s="657" t="s">
        <v>404</v>
      </c>
      <c r="DX37" s="656" t="s">
        <v>415</v>
      </c>
      <c r="DY37" s="657" t="s">
        <v>404</v>
      </c>
      <c r="DZ37" s="656" t="s">
        <v>415</v>
      </c>
      <c r="EA37" s="657" t="s">
        <v>404</v>
      </c>
      <c r="EB37" s="656" t="s">
        <v>416</v>
      </c>
      <c r="EC37" s="657" t="s">
        <v>404</v>
      </c>
      <c r="ED37" s="656" t="s">
        <v>416</v>
      </c>
      <c r="EE37" s="657" t="s">
        <v>404</v>
      </c>
      <c r="EF37" s="656" t="s">
        <v>415</v>
      </c>
      <c r="EG37" s="657" t="s">
        <v>405</v>
      </c>
      <c r="EH37" s="656" t="s">
        <v>416</v>
      </c>
      <c r="EI37" s="657" t="s">
        <v>404</v>
      </c>
      <c r="EJ37" s="656" t="s">
        <v>415</v>
      </c>
      <c r="EK37" s="657" t="s">
        <v>404</v>
      </c>
      <c r="EL37" s="656" t="s">
        <v>416</v>
      </c>
      <c r="EM37" s="657" t="s">
        <v>405</v>
      </c>
      <c r="EN37" s="656" t="s">
        <v>416</v>
      </c>
      <c r="EO37" s="657" t="s">
        <v>404</v>
      </c>
      <c r="EP37" s="656" t="s">
        <v>415</v>
      </c>
      <c r="EQ37" s="657" t="s">
        <v>404</v>
      </c>
      <c r="ER37" s="656" t="s">
        <v>415</v>
      </c>
      <c r="ES37" s="657" t="s">
        <v>404</v>
      </c>
      <c r="ET37" s="656" t="s">
        <v>416</v>
      </c>
      <c r="EU37" s="657" t="s">
        <v>404</v>
      </c>
      <c r="EV37" s="656" t="s">
        <v>415</v>
      </c>
      <c r="EW37" s="657" t="s">
        <v>404</v>
      </c>
      <c r="EX37" s="656" t="s">
        <v>416</v>
      </c>
      <c r="EY37" s="657" t="s">
        <v>404</v>
      </c>
      <c r="EZ37" s="656" t="s">
        <v>415</v>
      </c>
      <c r="FA37" s="657" t="s">
        <v>404</v>
      </c>
      <c r="FB37" s="656" t="s">
        <v>416</v>
      </c>
      <c r="FC37" s="657" t="s">
        <v>404</v>
      </c>
      <c r="FD37" s="656" t="s">
        <v>415</v>
      </c>
      <c r="FE37" s="657" t="s">
        <v>405</v>
      </c>
      <c r="FF37" s="656" t="s">
        <v>416</v>
      </c>
      <c r="FG37" s="657" t="s">
        <v>405</v>
      </c>
      <c r="FH37" s="658" t="s">
        <v>415</v>
      </c>
      <c r="FI37" s="739"/>
      <c r="FJ37" s="820" t="s">
        <v>411</v>
      </c>
      <c r="FK37" s="847"/>
      <c r="FL37" s="848" t="s">
        <v>412</v>
      </c>
      <c r="FM37" s="849"/>
      <c r="FN37" s="850" t="s">
        <v>418</v>
      </c>
      <c r="FO37" s="851"/>
      <c r="FP37" s="665"/>
      <c r="FQ37" s="852" t="s">
        <v>295</v>
      </c>
      <c r="FR37" s="656" t="s">
        <v>415</v>
      </c>
      <c r="FS37" s="667"/>
      <c r="FT37" s="852" t="s">
        <v>295</v>
      </c>
      <c r="FU37" s="668" t="s">
        <v>416</v>
      </c>
      <c r="FV37" s="586"/>
      <c r="FW37" s="587"/>
      <c r="FX37" s="799"/>
      <c r="FY37" s="589"/>
      <c r="FZ37" s="800"/>
      <c r="GA37" s="591"/>
      <c r="GB37" s="801"/>
      <c r="GC37" s="593"/>
      <c r="GD37" s="801"/>
      <c r="GE37" s="594"/>
      <c r="GF37" s="853"/>
      <c r="GG37" s="743"/>
      <c r="GH37" s="743"/>
      <c r="GI37" s="743"/>
      <c r="GJ37" s="523"/>
      <c r="GK37" s="410"/>
      <c r="GL37" s="573"/>
      <c r="GM37" s="410"/>
      <c r="GN37" s="573"/>
      <c r="GO37" s="410"/>
      <c r="GP37" s="410"/>
      <c r="GQ37" s="410"/>
      <c r="GR37" s="410"/>
      <c r="GS37" s="523"/>
      <c r="GT37" s="854"/>
      <c r="GU37" s="822"/>
      <c r="GV37" s="823"/>
      <c r="GW37" s="824"/>
      <c r="GX37" s="626"/>
      <c r="GY37" s="626"/>
      <c r="GZ37" s="626"/>
      <c r="HA37" s="626"/>
      <c r="HB37" s="627"/>
      <c r="HC37" s="523"/>
      <c r="HD37" s="716"/>
      <c r="HE37" s="412"/>
      <c r="HF37" s="412"/>
    </row>
    <row r="38" spans="1:219" ht="20.100000000000001" customHeight="1">
      <c r="A38" s="855"/>
      <c r="B38" s="856" t="s">
        <v>422</v>
      </c>
      <c r="C38" s="857"/>
      <c r="D38" s="858"/>
      <c r="E38" s="859"/>
      <c r="F38" s="860"/>
      <c r="G38" s="675"/>
      <c r="H38" s="861">
        <v>0</v>
      </c>
      <c r="I38" s="676"/>
      <c r="J38" s="861">
        <v>0</v>
      </c>
      <c r="K38" s="676"/>
      <c r="L38" s="861">
        <v>0</v>
      </c>
      <c r="M38" s="676"/>
      <c r="N38" s="861">
        <v>0</v>
      </c>
      <c r="O38" s="676"/>
      <c r="P38" s="861">
        <v>0</v>
      </c>
      <c r="Q38" s="676"/>
      <c r="R38" s="861">
        <v>0</v>
      </c>
      <c r="S38" s="676"/>
      <c r="T38" s="861">
        <v>0</v>
      </c>
      <c r="U38" s="676"/>
      <c r="V38" s="861">
        <v>0</v>
      </c>
      <c r="W38" s="676"/>
      <c r="X38" s="861">
        <v>0</v>
      </c>
      <c r="Y38" s="676"/>
      <c r="Z38" s="861">
        <v>0</v>
      </c>
      <c r="AA38" s="676"/>
      <c r="AB38" s="861">
        <v>0</v>
      </c>
      <c r="AC38" s="676"/>
      <c r="AD38" s="861">
        <v>0</v>
      </c>
      <c r="AE38" s="676"/>
      <c r="AF38" s="861">
        <v>0</v>
      </c>
      <c r="AG38" s="676"/>
      <c r="AH38" s="861">
        <v>0</v>
      </c>
      <c r="AI38" s="676"/>
      <c r="AJ38" s="861">
        <v>0</v>
      </c>
      <c r="AK38" s="676"/>
      <c r="AL38" s="861">
        <v>0</v>
      </c>
      <c r="AM38" s="676"/>
      <c r="AN38" s="861">
        <v>0</v>
      </c>
      <c r="AO38" s="676"/>
      <c r="AP38" s="861">
        <v>0</v>
      </c>
      <c r="AQ38" s="676"/>
      <c r="AR38" s="861">
        <v>0</v>
      </c>
      <c r="AS38" s="676"/>
      <c r="AT38" s="861">
        <v>0</v>
      </c>
      <c r="AU38" s="676"/>
      <c r="AV38" s="861">
        <v>0</v>
      </c>
      <c r="AW38" s="676"/>
      <c r="AX38" s="861">
        <v>0</v>
      </c>
      <c r="AY38" s="676"/>
      <c r="AZ38" s="861">
        <v>0</v>
      </c>
      <c r="BA38" s="676"/>
      <c r="BB38" s="862">
        <v>0</v>
      </c>
      <c r="BC38" s="555"/>
      <c r="BD38" s="855"/>
      <c r="BE38" s="856" t="s">
        <v>421</v>
      </c>
      <c r="BF38" s="863"/>
      <c r="BG38" s="864"/>
      <c r="BH38" s="859"/>
      <c r="BI38" s="860"/>
      <c r="BJ38" s="675"/>
      <c r="BK38" s="861">
        <v>0</v>
      </c>
      <c r="BL38" s="676"/>
      <c r="BM38" s="861">
        <v>0</v>
      </c>
      <c r="BN38" s="676"/>
      <c r="BO38" s="861">
        <v>0</v>
      </c>
      <c r="BP38" s="676"/>
      <c r="BQ38" s="861">
        <v>0</v>
      </c>
      <c r="BR38" s="676"/>
      <c r="BS38" s="861">
        <v>0</v>
      </c>
      <c r="BT38" s="676"/>
      <c r="BU38" s="861">
        <v>0</v>
      </c>
      <c r="BV38" s="676"/>
      <c r="BW38" s="861">
        <v>0</v>
      </c>
      <c r="BX38" s="676"/>
      <c r="BY38" s="861">
        <v>0</v>
      </c>
      <c r="BZ38" s="676"/>
      <c r="CA38" s="861">
        <v>0</v>
      </c>
      <c r="CB38" s="676"/>
      <c r="CC38" s="861">
        <v>0</v>
      </c>
      <c r="CD38" s="676"/>
      <c r="CE38" s="861">
        <v>0</v>
      </c>
      <c r="CF38" s="676"/>
      <c r="CG38" s="861">
        <v>0</v>
      </c>
      <c r="CH38" s="676"/>
      <c r="CI38" s="861">
        <v>0</v>
      </c>
      <c r="CJ38" s="676"/>
      <c r="CK38" s="861">
        <v>0</v>
      </c>
      <c r="CL38" s="676"/>
      <c r="CM38" s="861">
        <v>0</v>
      </c>
      <c r="CN38" s="676"/>
      <c r="CO38" s="861">
        <v>0</v>
      </c>
      <c r="CP38" s="676"/>
      <c r="CQ38" s="861">
        <v>0</v>
      </c>
      <c r="CR38" s="676"/>
      <c r="CS38" s="861">
        <v>0</v>
      </c>
      <c r="CT38" s="676"/>
      <c r="CU38" s="861">
        <v>0</v>
      </c>
      <c r="CV38" s="676"/>
      <c r="CW38" s="861">
        <v>0</v>
      </c>
      <c r="CX38" s="676"/>
      <c r="CY38" s="861">
        <v>0</v>
      </c>
      <c r="CZ38" s="676"/>
      <c r="DA38" s="861">
        <v>0</v>
      </c>
      <c r="DB38" s="676"/>
      <c r="DC38" s="861">
        <v>0</v>
      </c>
      <c r="DD38" s="676"/>
      <c r="DE38" s="862">
        <v>0</v>
      </c>
      <c r="DF38" s="555"/>
      <c r="DG38" s="855"/>
      <c r="DH38" s="856" t="s">
        <v>421</v>
      </c>
      <c r="DI38" s="863"/>
      <c r="DJ38" s="864"/>
      <c r="DK38" s="859"/>
      <c r="DL38" s="860"/>
      <c r="DM38" s="675"/>
      <c r="DN38" s="861">
        <v>0</v>
      </c>
      <c r="DO38" s="676"/>
      <c r="DP38" s="861">
        <v>0</v>
      </c>
      <c r="DQ38" s="676"/>
      <c r="DR38" s="861">
        <v>0</v>
      </c>
      <c r="DS38" s="676"/>
      <c r="DT38" s="861">
        <v>0</v>
      </c>
      <c r="DU38" s="676"/>
      <c r="DV38" s="861">
        <v>0</v>
      </c>
      <c r="DW38" s="676"/>
      <c r="DX38" s="861">
        <v>0</v>
      </c>
      <c r="DY38" s="676"/>
      <c r="DZ38" s="861">
        <v>0</v>
      </c>
      <c r="EA38" s="676"/>
      <c r="EB38" s="861">
        <v>0</v>
      </c>
      <c r="EC38" s="676"/>
      <c r="ED38" s="861">
        <v>0</v>
      </c>
      <c r="EE38" s="676"/>
      <c r="EF38" s="861">
        <v>0</v>
      </c>
      <c r="EG38" s="676"/>
      <c r="EH38" s="861">
        <v>0</v>
      </c>
      <c r="EI38" s="676"/>
      <c r="EJ38" s="861">
        <v>0</v>
      </c>
      <c r="EK38" s="676"/>
      <c r="EL38" s="861">
        <v>0</v>
      </c>
      <c r="EM38" s="676"/>
      <c r="EN38" s="861">
        <v>0</v>
      </c>
      <c r="EO38" s="676"/>
      <c r="EP38" s="861">
        <v>0</v>
      </c>
      <c r="EQ38" s="676"/>
      <c r="ER38" s="861">
        <v>0</v>
      </c>
      <c r="ES38" s="676"/>
      <c r="ET38" s="861">
        <v>0</v>
      </c>
      <c r="EU38" s="676"/>
      <c r="EV38" s="861">
        <v>0</v>
      </c>
      <c r="EW38" s="676"/>
      <c r="EX38" s="861">
        <v>0</v>
      </c>
      <c r="EY38" s="676"/>
      <c r="EZ38" s="861">
        <v>0</v>
      </c>
      <c r="FA38" s="676"/>
      <c r="FB38" s="861">
        <v>0</v>
      </c>
      <c r="FC38" s="676"/>
      <c r="FD38" s="861">
        <v>0</v>
      </c>
      <c r="FE38" s="676"/>
      <c r="FF38" s="861">
        <v>0</v>
      </c>
      <c r="FG38" s="676"/>
      <c r="FH38" s="862">
        <v>0</v>
      </c>
      <c r="FI38" s="556"/>
      <c r="FJ38" s="820"/>
      <c r="FK38" s="856" t="s">
        <v>421</v>
      </c>
      <c r="FL38" s="857"/>
      <c r="FM38" s="858"/>
      <c r="FN38" s="859">
        <v>0</v>
      </c>
      <c r="FO38" s="860"/>
      <c r="FP38" s="678"/>
      <c r="FQ38" s="679"/>
      <c r="FR38" s="552">
        <v>0</v>
      </c>
      <c r="FS38" s="680"/>
      <c r="FT38" s="679"/>
      <c r="FU38" s="560">
        <v>0</v>
      </c>
      <c r="FV38" s="586"/>
      <c r="FW38" s="587"/>
      <c r="FX38" s="799"/>
      <c r="FY38" s="589"/>
      <c r="FZ38" s="800"/>
      <c r="GA38" s="591"/>
      <c r="GB38" s="801"/>
      <c r="GC38" s="593"/>
      <c r="GD38" s="801"/>
      <c r="GE38" s="594"/>
      <c r="GF38" s="681"/>
      <c r="GG38" s="595"/>
      <c r="GH38" s="595"/>
      <c r="GI38" s="595"/>
      <c r="GJ38" s="573"/>
      <c r="GK38" s="410" t="s">
        <v>501</v>
      </c>
      <c r="GL38" s="406"/>
      <c r="GM38" s="410"/>
      <c r="GN38" s="406"/>
      <c r="GO38" s="410"/>
      <c r="GP38" s="410"/>
      <c r="GQ38" s="410"/>
      <c r="GR38" s="410"/>
      <c r="GS38" s="573"/>
      <c r="GT38" s="854"/>
      <c r="GU38" s="865" t="s">
        <v>472</v>
      </c>
      <c r="GV38" s="866"/>
      <c r="GW38" s="866"/>
      <c r="GX38" s="866"/>
      <c r="GY38" s="866"/>
      <c r="GZ38" s="867"/>
      <c r="HA38" s="626">
        <v>167.82999999999998</v>
      </c>
      <c r="HB38" s="868">
        <v>153.66999999999999</v>
      </c>
      <c r="HC38" s="523"/>
      <c r="HD38" s="523"/>
      <c r="HE38" s="384"/>
      <c r="HF38" s="384"/>
      <c r="HK38" s="412"/>
    </row>
    <row r="39" spans="1:219" ht="20.100000000000001" customHeight="1">
      <c r="A39" s="825"/>
      <c r="B39" s="869" t="s">
        <v>630</v>
      </c>
      <c r="C39" s="870"/>
      <c r="D39" s="871"/>
      <c r="E39" s="872"/>
      <c r="F39" s="873"/>
      <c r="G39" s="687"/>
      <c r="H39" s="874">
        <v>0</v>
      </c>
      <c r="I39" s="688"/>
      <c r="J39" s="874">
        <v>0</v>
      </c>
      <c r="K39" s="688"/>
      <c r="L39" s="874">
        <v>0</v>
      </c>
      <c r="M39" s="688"/>
      <c r="N39" s="874">
        <v>0</v>
      </c>
      <c r="O39" s="688"/>
      <c r="P39" s="874">
        <v>0</v>
      </c>
      <c r="Q39" s="688"/>
      <c r="R39" s="874">
        <v>0</v>
      </c>
      <c r="S39" s="688"/>
      <c r="T39" s="874">
        <v>0</v>
      </c>
      <c r="U39" s="688"/>
      <c r="V39" s="874">
        <v>0</v>
      </c>
      <c r="W39" s="688"/>
      <c r="X39" s="874">
        <v>0</v>
      </c>
      <c r="Y39" s="688"/>
      <c r="Z39" s="874">
        <v>0</v>
      </c>
      <c r="AA39" s="688"/>
      <c r="AB39" s="874">
        <v>0</v>
      </c>
      <c r="AC39" s="688"/>
      <c r="AD39" s="874">
        <v>0</v>
      </c>
      <c r="AE39" s="688"/>
      <c r="AF39" s="874">
        <v>0</v>
      </c>
      <c r="AG39" s="688"/>
      <c r="AH39" s="874">
        <v>0</v>
      </c>
      <c r="AI39" s="688"/>
      <c r="AJ39" s="874">
        <v>0</v>
      </c>
      <c r="AK39" s="688"/>
      <c r="AL39" s="874">
        <v>0</v>
      </c>
      <c r="AM39" s="688"/>
      <c r="AN39" s="874">
        <v>0</v>
      </c>
      <c r="AO39" s="688"/>
      <c r="AP39" s="874">
        <v>0</v>
      </c>
      <c r="AQ39" s="688"/>
      <c r="AR39" s="874">
        <v>0</v>
      </c>
      <c r="AS39" s="688"/>
      <c r="AT39" s="874">
        <v>0</v>
      </c>
      <c r="AU39" s="688"/>
      <c r="AV39" s="874">
        <v>0</v>
      </c>
      <c r="AW39" s="688"/>
      <c r="AX39" s="874">
        <v>0</v>
      </c>
      <c r="AY39" s="688"/>
      <c r="AZ39" s="874">
        <v>0</v>
      </c>
      <c r="BA39" s="688"/>
      <c r="BB39" s="875">
        <v>0</v>
      </c>
      <c r="BC39" s="555"/>
      <c r="BD39" s="825"/>
      <c r="BE39" s="869" t="s">
        <v>423</v>
      </c>
      <c r="BF39" s="876"/>
      <c r="BG39" s="877"/>
      <c r="BH39" s="872"/>
      <c r="BI39" s="873"/>
      <c r="BJ39" s="687"/>
      <c r="BK39" s="874">
        <v>0</v>
      </c>
      <c r="BL39" s="688"/>
      <c r="BM39" s="874">
        <v>0</v>
      </c>
      <c r="BN39" s="688"/>
      <c r="BO39" s="874">
        <v>0</v>
      </c>
      <c r="BP39" s="688"/>
      <c r="BQ39" s="874">
        <v>0</v>
      </c>
      <c r="BR39" s="688"/>
      <c r="BS39" s="874">
        <v>0</v>
      </c>
      <c r="BT39" s="688"/>
      <c r="BU39" s="874">
        <v>0</v>
      </c>
      <c r="BV39" s="688"/>
      <c r="BW39" s="874">
        <v>0</v>
      </c>
      <c r="BX39" s="688"/>
      <c r="BY39" s="874">
        <v>0</v>
      </c>
      <c r="BZ39" s="688"/>
      <c r="CA39" s="874">
        <v>0</v>
      </c>
      <c r="CB39" s="688"/>
      <c r="CC39" s="874">
        <v>0</v>
      </c>
      <c r="CD39" s="688"/>
      <c r="CE39" s="874">
        <v>0</v>
      </c>
      <c r="CF39" s="688"/>
      <c r="CG39" s="874">
        <v>0</v>
      </c>
      <c r="CH39" s="688"/>
      <c r="CI39" s="874">
        <v>0</v>
      </c>
      <c r="CJ39" s="688"/>
      <c r="CK39" s="874">
        <v>0</v>
      </c>
      <c r="CL39" s="688"/>
      <c r="CM39" s="874">
        <v>0</v>
      </c>
      <c r="CN39" s="688"/>
      <c r="CO39" s="874">
        <v>0</v>
      </c>
      <c r="CP39" s="688"/>
      <c r="CQ39" s="874">
        <v>0</v>
      </c>
      <c r="CR39" s="688"/>
      <c r="CS39" s="874">
        <v>0</v>
      </c>
      <c r="CT39" s="688"/>
      <c r="CU39" s="874">
        <v>0</v>
      </c>
      <c r="CV39" s="688"/>
      <c r="CW39" s="874">
        <v>0</v>
      </c>
      <c r="CX39" s="688"/>
      <c r="CY39" s="874">
        <v>0</v>
      </c>
      <c r="CZ39" s="688"/>
      <c r="DA39" s="874">
        <v>0</v>
      </c>
      <c r="DB39" s="688"/>
      <c r="DC39" s="874">
        <v>0</v>
      </c>
      <c r="DD39" s="688"/>
      <c r="DE39" s="875">
        <v>0</v>
      </c>
      <c r="DF39" s="555"/>
      <c r="DG39" s="825"/>
      <c r="DH39" s="869" t="s">
        <v>423</v>
      </c>
      <c r="DI39" s="876"/>
      <c r="DJ39" s="877"/>
      <c r="DK39" s="872"/>
      <c r="DL39" s="873"/>
      <c r="DM39" s="687"/>
      <c r="DN39" s="874">
        <v>0</v>
      </c>
      <c r="DO39" s="688"/>
      <c r="DP39" s="874">
        <v>0</v>
      </c>
      <c r="DQ39" s="688"/>
      <c r="DR39" s="874">
        <v>0</v>
      </c>
      <c r="DS39" s="688"/>
      <c r="DT39" s="874">
        <v>0</v>
      </c>
      <c r="DU39" s="688"/>
      <c r="DV39" s="874">
        <v>0</v>
      </c>
      <c r="DW39" s="688"/>
      <c r="DX39" s="874">
        <v>0</v>
      </c>
      <c r="DY39" s="688"/>
      <c r="DZ39" s="874">
        <v>0</v>
      </c>
      <c r="EA39" s="688"/>
      <c r="EB39" s="874">
        <v>0</v>
      </c>
      <c r="EC39" s="688"/>
      <c r="ED39" s="874">
        <v>0</v>
      </c>
      <c r="EE39" s="688"/>
      <c r="EF39" s="874">
        <v>0</v>
      </c>
      <c r="EG39" s="688"/>
      <c r="EH39" s="874">
        <v>0</v>
      </c>
      <c r="EI39" s="688"/>
      <c r="EJ39" s="874">
        <v>0</v>
      </c>
      <c r="EK39" s="688"/>
      <c r="EL39" s="874">
        <v>0</v>
      </c>
      <c r="EM39" s="688"/>
      <c r="EN39" s="874">
        <v>0</v>
      </c>
      <c r="EO39" s="688"/>
      <c r="EP39" s="874">
        <v>0</v>
      </c>
      <c r="EQ39" s="688"/>
      <c r="ER39" s="874">
        <v>0</v>
      </c>
      <c r="ES39" s="688"/>
      <c r="ET39" s="874">
        <v>0</v>
      </c>
      <c r="EU39" s="688"/>
      <c r="EV39" s="874">
        <v>0</v>
      </c>
      <c r="EW39" s="688"/>
      <c r="EX39" s="874">
        <v>0</v>
      </c>
      <c r="EY39" s="688"/>
      <c r="EZ39" s="874">
        <v>0</v>
      </c>
      <c r="FA39" s="688"/>
      <c r="FB39" s="874">
        <v>0</v>
      </c>
      <c r="FC39" s="688"/>
      <c r="FD39" s="874">
        <v>0</v>
      </c>
      <c r="FE39" s="688"/>
      <c r="FF39" s="874">
        <v>0</v>
      </c>
      <c r="FG39" s="688"/>
      <c r="FH39" s="875">
        <v>0</v>
      </c>
      <c r="FI39" s="556"/>
      <c r="FJ39" s="834"/>
      <c r="FK39" s="869" t="s">
        <v>423</v>
      </c>
      <c r="FL39" s="870"/>
      <c r="FM39" s="871"/>
      <c r="FN39" s="872">
        <v>0</v>
      </c>
      <c r="FO39" s="873"/>
      <c r="FP39" s="689"/>
      <c r="FQ39" s="690"/>
      <c r="FR39" s="580">
        <v>0</v>
      </c>
      <c r="FS39" s="691"/>
      <c r="FT39" s="690"/>
      <c r="FU39" s="585">
        <v>0</v>
      </c>
      <c r="FV39" s="586"/>
      <c r="FW39" s="587"/>
      <c r="FX39" s="799"/>
      <c r="FY39" s="589"/>
      <c r="FZ39" s="800"/>
      <c r="GA39" s="591"/>
      <c r="GB39" s="801"/>
      <c r="GC39" s="593"/>
      <c r="GD39" s="801"/>
      <c r="GE39" s="594"/>
      <c r="GF39" s="681"/>
      <c r="GG39" s="595"/>
      <c r="GH39" s="595"/>
      <c r="GI39" s="595"/>
      <c r="GJ39" s="406"/>
      <c r="GK39" s="878"/>
      <c r="GL39" s="879"/>
      <c r="GM39" s="880" t="s">
        <v>502</v>
      </c>
      <c r="GN39" s="879"/>
      <c r="GO39" s="880" t="s">
        <v>592</v>
      </c>
      <c r="GP39" s="879"/>
      <c r="GQ39" s="880" t="s">
        <v>521</v>
      </c>
      <c r="GR39" s="881"/>
      <c r="GS39" s="410"/>
      <c r="GT39" s="682"/>
      <c r="GU39" s="523" t="s">
        <v>652</v>
      </c>
      <c r="GV39" s="523"/>
      <c r="GW39" s="523"/>
      <c r="GX39" s="523"/>
      <c r="GY39" s="523"/>
      <c r="GZ39" s="523"/>
      <c r="HA39" s="683">
        <v>1.0900000000000001</v>
      </c>
      <c r="HB39" s="572"/>
      <c r="HC39" s="523"/>
      <c r="HD39" s="555"/>
    </row>
    <row r="40" spans="1:219" ht="20.100000000000001" customHeight="1">
      <c r="A40" s="882"/>
      <c r="B40" s="635"/>
      <c r="C40" s="635"/>
      <c r="D40" s="636" t="s">
        <v>425</v>
      </c>
      <c r="E40" s="635"/>
      <c r="F40" s="635"/>
      <c r="G40" s="838"/>
      <c r="H40" s="1279">
        <v>0</v>
      </c>
      <c r="I40" s="1280"/>
      <c r="J40" s="841">
        <v>0</v>
      </c>
      <c r="K40" s="842"/>
      <c r="L40" s="841">
        <v>0</v>
      </c>
      <c r="M40" s="842"/>
      <c r="N40" s="841">
        <v>0</v>
      </c>
      <c r="O40" s="842"/>
      <c r="P40" s="841">
        <v>0</v>
      </c>
      <c r="Q40" s="842"/>
      <c r="R40" s="841">
        <v>0</v>
      </c>
      <c r="S40" s="842"/>
      <c r="T40" s="841">
        <v>0</v>
      </c>
      <c r="U40" s="842"/>
      <c r="V40" s="841">
        <v>0</v>
      </c>
      <c r="W40" s="842"/>
      <c r="X40" s="841">
        <v>0</v>
      </c>
      <c r="Y40" s="842"/>
      <c r="Z40" s="841">
        <v>0</v>
      </c>
      <c r="AA40" s="842"/>
      <c r="AB40" s="841">
        <v>0</v>
      </c>
      <c r="AC40" s="842"/>
      <c r="AD40" s="841">
        <v>0</v>
      </c>
      <c r="AE40" s="842"/>
      <c r="AF40" s="841">
        <v>0</v>
      </c>
      <c r="AG40" s="842"/>
      <c r="AH40" s="841">
        <v>0</v>
      </c>
      <c r="AI40" s="842"/>
      <c r="AJ40" s="841">
        <v>0</v>
      </c>
      <c r="AK40" s="842"/>
      <c r="AL40" s="841">
        <v>0</v>
      </c>
      <c r="AM40" s="842"/>
      <c r="AN40" s="841">
        <v>0</v>
      </c>
      <c r="AO40" s="842"/>
      <c r="AP40" s="841">
        <v>0</v>
      </c>
      <c r="AQ40" s="842"/>
      <c r="AR40" s="841">
        <v>0</v>
      </c>
      <c r="AS40" s="842"/>
      <c r="AT40" s="841">
        <v>0</v>
      </c>
      <c r="AU40" s="842"/>
      <c r="AV40" s="841">
        <v>0</v>
      </c>
      <c r="AW40" s="842"/>
      <c r="AX40" s="841">
        <v>0</v>
      </c>
      <c r="AY40" s="842"/>
      <c r="AZ40" s="841">
        <v>0</v>
      </c>
      <c r="BA40" s="842"/>
      <c r="BB40" s="1281">
        <v>0</v>
      </c>
      <c r="BC40" s="641"/>
      <c r="BD40" s="882"/>
      <c r="BE40" s="635"/>
      <c r="BF40" s="635"/>
      <c r="BG40" s="636" t="s">
        <v>425</v>
      </c>
      <c r="BH40" s="635"/>
      <c r="BI40" s="635"/>
      <c r="BJ40" s="838"/>
      <c r="BK40" s="1279">
        <v>0</v>
      </c>
      <c r="BL40" s="1280"/>
      <c r="BM40" s="841">
        <v>0</v>
      </c>
      <c r="BN40" s="842"/>
      <c r="BO40" s="841">
        <v>0</v>
      </c>
      <c r="BP40" s="842"/>
      <c r="BQ40" s="841">
        <v>0</v>
      </c>
      <c r="BR40" s="842"/>
      <c r="BS40" s="841">
        <v>0</v>
      </c>
      <c r="BT40" s="842"/>
      <c r="BU40" s="841">
        <v>0</v>
      </c>
      <c r="BV40" s="842"/>
      <c r="BW40" s="841">
        <v>0</v>
      </c>
      <c r="BX40" s="842"/>
      <c r="BY40" s="841">
        <v>0</v>
      </c>
      <c r="BZ40" s="842"/>
      <c r="CA40" s="841">
        <v>0</v>
      </c>
      <c r="CB40" s="842"/>
      <c r="CC40" s="841">
        <v>0</v>
      </c>
      <c r="CD40" s="842"/>
      <c r="CE40" s="841">
        <v>0</v>
      </c>
      <c r="CF40" s="842"/>
      <c r="CG40" s="841">
        <v>0</v>
      </c>
      <c r="CH40" s="842"/>
      <c r="CI40" s="841">
        <v>0</v>
      </c>
      <c r="CJ40" s="842"/>
      <c r="CK40" s="841">
        <v>0</v>
      </c>
      <c r="CL40" s="842"/>
      <c r="CM40" s="841">
        <v>0</v>
      </c>
      <c r="CN40" s="842"/>
      <c r="CO40" s="841">
        <v>0</v>
      </c>
      <c r="CP40" s="842"/>
      <c r="CQ40" s="841">
        <v>0</v>
      </c>
      <c r="CR40" s="842"/>
      <c r="CS40" s="841">
        <v>0</v>
      </c>
      <c r="CT40" s="842"/>
      <c r="CU40" s="841">
        <v>0</v>
      </c>
      <c r="CV40" s="842"/>
      <c r="CW40" s="841">
        <v>0</v>
      </c>
      <c r="CX40" s="842"/>
      <c r="CY40" s="841">
        <v>0</v>
      </c>
      <c r="CZ40" s="842"/>
      <c r="DA40" s="841">
        <v>0</v>
      </c>
      <c r="DB40" s="842"/>
      <c r="DC40" s="841">
        <v>0</v>
      </c>
      <c r="DD40" s="842"/>
      <c r="DE40" s="1281">
        <v>0</v>
      </c>
      <c r="DF40" s="641"/>
      <c r="DG40" s="882"/>
      <c r="DH40" s="635"/>
      <c r="DI40" s="635"/>
      <c r="DJ40" s="636" t="s">
        <v>297</v>
      </c>
      <c r="DK40" s="635"/>
      <c r="DL40" s="635"/>
      <c r="DM40" s="838"/>
      <c r="DN40" s="1279">
        <v>0</v>
      </c>
      <c r="DO40" s="1280"/>
      <c r="DP40" s="841">
        <v>0</v>
      </c>
      <c r="DQ40" s="842"/>
      <c r="DR40" s="841">
        <v>0</v>
      </c>
      <c r="DS40" s="842"/>
      <c r="DT40" s="841">
        <v>0</v>
      </c>
      <c r="DU40" s="842"/>
      <c r="DV40" s="841">
        <v>0</v>
      </c>
      <c r="DW40" s="842"/>
      <c r="DX40" s="841">
        <v>0</v>
      </c>
      <c r="DY40" s="842"/>
      <c r="DZ40" s="841">
        <v>0</v>
      </c>
      <c r="EA40" s="842"/>
      <c r="EB40" s="841">
        <v>0</v>
      </c>
      <c r="EC40" s="842"/>
      <c r="ED40" s="841">
        <v>0</v>
      </c>
      <c r="EE40" s="842"/>
      <c r="EF40" s="841">
        <v>0</v>
      </c>
      <c r="EG40" s="842"/>
      <c r="EH40" s="841">
        <v>0</v>
      </c>
      <c r="EI40" s="842"/>
      <c r="EJ40" s="841">
        <v>0</v>
      </c>
      <c r="EK40" s="842"/>
      <c r="EL40" s="841">
        <v>0</v>
      </c>
      <c r="EM40" s="842"/>
      <c r="EN40" s="841">
        <v>0</v>
      </c>
      <c r="EO40" s="842"/>
      <c r="EP40" s="841">
        <v>0</v>
      </c>
      <c r="EQ40" s="842"/>
      <c r="ER40" s="841">
        <v>0</v>
      </c>
      <c r="ES40" s="842"/>
      <c r="ET40" s="841">
        <v>0</v>
      </c>
      <c r="EU40" s="842"/>
      <c r="EV40" s="841">
        <v>0</v>
      </c>
      <c r="EW40" s="842"/>
      <c r="EX40" s="841">
        <v>0</v>
      </c>
      <c r="EY40" s="842"/>
      <c r="EZ40" s="841">
        <v>0</v>
      </c>
      <c r="FA40" s="842"/>
      <c r="FB40" s="841">
        <v>0</v>
      </c>
      <c r="FC40" s="842"/>
      <c r="FD40" s="841">
        <v>0</v>
      </c>
      <c r="FE40" s="842"/>
      <c r="FF40" s="841">
        <v>0</v>
      </c>
      <c r="FG40" s="842"/>
      <c r="FH40" s="1281">
        <v>0</v>
      </c>
      <c r="FI40" s="642"/>
      <c r="FJ40" s="834"/>
      <c r="FK40" s="635"/>
      <c r="FL40" s="635"/>
      <c r="FM40" s="636" t="s">
        <v>425</v>
      </c>
      <c r="FN40" s="635"/>
      <c r="FO40" s="635"/>
      <c r="FP40" s="643"/>
      <c r="FQ40" s="1280"/>
      <c r="FR40" s="1279">
        <v>0</v>
      </c>
      <c r="FS40" s="1282"/>
      <c r="FT40" s="1280"/>
      <c r="FU40" s="1283">
        <v>0</v>
      </c>
      <c r="FV40" s="586"/>
      <c r="FW40" s="587"/>
      <c r="FX40" s="799"/>
      <c r="FY40" s="589"/>
      <c r="FZ40" s="800"/>
      <c r="GA40" s="591"/>
      <c r="GB40" s="801"/>
      <c r="GC40" s="593"/>
      <c r="GD40" s="801"/>
      <c r="GE40" s="594"/>
      <c r="GF40" s="647"/>
      <c r="GG40" s="648"/>
      <c r="GH40" s="648"/>
      <c r="GI40" s="648"/>
      <c r="GJ40" s="523"/>
      <c r="GK40" s="883"/>
      <c r="GL40" s="884"/>
      <c r="GM40" s="884"/>
      <c r="GN40" s="884"/>
      <c r="GO40" s="884"/>
      <c r="GP40" s="884"/>
      <c r="GQ40" s="884"/>
      <c r="GR40" s="885"/>
      <c r="GS40" s="886"/>
      <c r="GT40" s="682"/>
      <c r="GU40" s="523" t="s">
        <v>665</v>
      </c>
      <c r="GV40" s="523"/>
      <c r="GW40" s="523"/>
      <c r="GX40" s="523"/>
      <c r="GY40" s="523"/>
      <c r="GZ40" s="523"/>
      <c r="HA40" s="887">
        <v>25.8</v>
      </c>
      <c r="HB40" s="410"/>
      <c r="HC40" s="523"/>
      <c r="HD40" s="573"/>
      <c r="HK40" s="412"/>
    </row>
    <row r="41" spans="1:219" ht="20.100000000000001" customHeight="1">
      <c r="A41" s="855" t="s">
        <v>426</v>
      </c>
      <c r="B41" s="731"/>
      <c r="C41" s="888"/>
      <c r="D41" s="888"/>
      <c r="E41" s="888"/>
      <c r="F41" s="889"/>
      <c r="G41" s="733"/>
      <c r="H41" s="656" t="s">
        <v>385</v>
      </c>
      <c r="I41" s="734"/>
      <c r="J41" s="656" t="s">
        <v>385</v>
      </c>
      <c r="K41" s="735"/>
      <c r="L41" s="656" t="s">
        <v>388</v>
      </c>
      <c r="M41" s="735"/>
      <c r="N41" s="656" t="s">
        <v>388</v>
      </c>
      <c r="O41" s="735"/>
      <c r="P41" s="656" t="s">
        <v>385</v>
      </c>
      <c r="Q41" s="735"/>
      <c r="R41" s="656" t="s">
        <v>385</v>
      </c>
      <c r="S41" s="735"/>
      <c r="T41" s="656" t="s">
        <v>388</v>
      </c>
      <c r="U41" s="735"/>
      <c r="V41" s="656" t="s">
        <v>385</v>
      </c>
      <c r="W41" s="735"/>
      <c r="X41" s="656" t="s">
        <v>388</v>
      </c>
      <c r="Y41" s="735" t="s">
        <v>405</v>
      </c>
      <c r="Z41" s="656" t="s">
        <v>388</v>
      </c>
      <c r="AA41" s="735" t="s">
        <v>405</v>
      </c>
      <c r="AB41" s="656" t="s">
        <v>385</v>
      </c>
      <c r="AC41" s="735"/>
      <c r="AD41" s="656" t="s">
        <v>388</v>
      </c>
      <c r="AE41" s="735"/>
      <c r="AF41" s="656" t="s">
        <v>385</v>
      </c>
      <c r="AG41" s="735"/>
      <c r="AH41" s="656" t="s">
        <v>388</v>
      </c>
      <c r="AI41" s="735"/>
      <c r="AJ41" s="656" t="s">
        <v>388</v>
      </c>
      <c r="AK41" s="735"/>
      <c r="AL41" s="656" t="s">
        <v>385</v>
      </c>
      <c r="AM41" s="735"/>
      <c r="AN41" s="656" t="s">
        <v>388</v>
      </c>
      <c r="AO41" s="735"/>
      <c r="AP41" s="656" t="s">
        <v>388</v>
      </c>
      <c r="AQ41" s="735"/>
      <c r="AR41" s="656" t="s">
        <v>385</v>
      </c>
      <c r="AS41" s="735"/>
      <c r="AT41" s="656" t="s">
        <v>388</v>
      </c>
      <c r="AU41" s="735"/>
      <c r="AV41" s="656" t="s">
        <v>388</v>
      </c>
      <c r="AW41" s="735"/>
      <c r="AX41" s="656" t="s">
        <v>385</v>
      </c>
      <c r="AY41" s="735"/>
      <c r="AZ41" s="656" t="s">
        <v>388</v>
      </c>
      <c r="BA41" s="735"/>
      <c r="BB41" s="658" t="s">
        <v>385</v>
      </c>
      <c r="BC41" s="716"/>
      <c r="BD41" s="855" t="s">
        <v>427</v>
      </c>
      <c r="BE41" s="731"/>
      <c r="BF41" s="888"/>
      <c r="BG41" s="888"/>
      <c r="BH41" s="888"/>
      <c r="BI41" s="889"/>
      <c r="BJ41" s="733"/>
      <c r="BK41" s="656" t="s">
        <v>385</v>
      </c>
      <c r="BL41" s="734"/>
      <c r="BM41" s="656" t="s">
        <v>388</v>
      </c>
      <c r="BN41" s="735"/>
      <c r="BO41" s="656" t="s">
        <v>385</v>
      </c>
      <c r="BP41" s="735"/>
      <c r="BQ41" s="656" t="s">
        <v>388</v>
      </c>
      <c r="BR41" s="735"/>
      <c r="BS41" s="656" t="s">
        <v>388</v>
      </c>
      <c r="BT41" s="735"/>
      <c r="BU41" s="656" t="s">
        <v>385</v>
      </c>
      <c r="BV41" s="735"/>
      <c r="BW41" s="656" t="s">
        <v>388</v>
      </c>
      <c r="BX41" s="735"/>
      <c r="BY41" s="656" t="s">
        <v>388</v>
      </c>
      <c r="BZ41" s="735"/>
      <c r="CA41" s="656" t="s">
        <v>385</v>
      </c>
      <c r="CB41" s="735" t="s">
        <v>405</v>
      </c>
      <c r="CC41" s="656" t="s">
        <v>385</v>
      </c>
      <c r="CD41" s="735" t="s">
        <v>404</v>
      </c>
      <c r="CE41" s="656" t="s">
        <v>385</v>
      </c>
      <c r="CF41" s="735"/>
      <c r="CG41" s="656" t="s">
        <v>385</v>
      </c>
      <c r="CH41" s="735"/>
      <c r="CI41" s="656" t="s">
        <v>385</v>
      </c>
      <c r="CJ41" s="735"/>
      <c r="CK41" s="656" t="s">
        <v>385</v>
      </c>
      <c r="CL41" s="735"/>
      <c r="CM41" s="656" t="s">
        <v>388</v>
      </c>
      <c r="CN41" s="735"/>
      <c r="CO41" s="656" t="s">
        <v>388</v>
      </c>
      <c r="CP41" s="735"/>
      <c r="CQ41" s="656" t="s">
        <v>385</v>
      </c>
      <c r="CR41" s="735"/>
      <c r="CS41" s="656" t="s">
        <v>388</v>
      </c>
      <c r="CT41" s="735"/>
      <c r="CU41" s="656" t="s">
        <v>388</v>
      </c>
      <c r="CV41" s="735"/>
      <c r="CW41" s="656" t="s">
        <v>385</v>
      </c>
      <c r="CX41" s="735"/>
      <c r="CY41" s="656" t="s">
        <v>388</v>
      </c>
      <c r="CZ41" s="735"/>
      <c r="DA41" s="656" t="s">
        <v>388</v>
      </c>
      <c r="DB41" s="735"/>
      <c r="DC41" s="656" t="s">
        <v>385</v>
      </c>
      <c r="DD41" s="735"/>
      <c r="DE41" s="658" t="s">
        <v>388</v>
      </c>
      <c r="DF41" s="716"/>
      <c r="DG41" s="855" t="s">
        <v>426</v>
      </c>
      <c r="DH41" s="731"/>
      <c r="DI41" s="888"/>
      <c r="DJ41" s="888"/>
      <c r="DK41" s="888"/>
      <c r="DL41" s="889"/>
      <c r="DM41" s="733"/>
      <c r="DN41" s="656" t="s">
        <v>388</v>
      </c>
      <c r="DO41" s="734"/>
      <c r="DP41" s="656" t="s">
        <v>388</v>
      </c>
      <c r="DQ41" s="735"/>
      <c r="DR41" s="656" t="s">
        <v>388</v>
      </c>
      <c r="DS41" s="735"/>
      <c r="DT41" s="656" t="s">
        <v>385</v>
      </c>
      <c r="DU41" s="735"/>
      <c r="DV41" s="656" t="s">
        <v>388</v>
      </c>
      <c r="DW41" s="735"/>
      <c r="DX41" s="656" t="s">
        <v>388</v>
      </c>
      <c r="DY41" s="735"/>
      <c r="DZ41" s="656" t="s">
        <v>385</v>
      </c>
      <c r="EA41" s="735"/>
      <c r="EB41" s="656" t="s">
        <v>388</v>
      </c>
      <c r="EC41" s="735"/>
      <c r="ED41" s="656" t="s">
        <v>388</v>
      </c>
      <c r="EE41" s="735" t="s">
        <v>405</v>
      </c>
      <c r="EF41" s="656" t="s">
        <v>385</v>
      </c>
      <c r="EG41" s="735" t="s">
        <v>404</v>
      </c>
      <c r="EH41" s="656" t="s">
        <v>388</v>
      </c>
      <c r="EI41" s="735"/>
      <c r="EJ41" s="656" t="s">
        <v>388</v>
      </c>
      <c r="EK41" s="735"/>
      <c r="EL41" s="656" t="s">
        <v>388</v>
      </c>
      <c r="EM41" s="735"/>
      <c r="EN41" s="656" t="s">
        <v>385</v>
      </c>
      <c r="EO41" s="735"/>
      <c r="EP41" s="656" t="s">
        <v>385</v>
      </c>
      <c r="EQ41" s="735"/>
      <c r="ER41" s="656" t="s">
        <v>388</v>
      </c>
      <c r="ES41" s="735"/>
      <c r="ET41" s="656" t="s">
        <v>388</v>
      </c>
      <c r="EU41" s="735"/>
      <c r="EV41" s="656" t="s">
        <v>388</v>
      </c>
      <c r="EW41" s="735"/>
      <c r="EX41" s="656" t="s">
        <v>388</v>
      </c>
      <c r="EY41" s="735"/>
      <c r="EZ41" s="656" t="s">
        <v>388</v>
      </c>
      <c r="FA41" s="735"/>
      <c r="FB41" s="656" t="s">
        <v>385</v>
      </c>
      <c r="FC41" s="735"/>
      <c r="FD41" s="656" t="s">
        <v>388</v>
      </c>
      <c r="FE41" s="735"/>
      <c r="FF41" s="656" t="s">
        <v>388</v>
      </c>
      <c r="FG41" s="735"/>
      <c r="FH41" s="658" t="s">
        <v>385</v>
      </c>
      <c r="FI41" s="739"/>
      <c r="FJ41" s="820" t="s">
        <v>427</v>
      </c>
      <c r="FK41" s="736"/>
      <c r="FL41" s="890"/>
      <c r="FM41" s="890"/>
      <c r="FN41" s="890"/>
      <c r="FO41" s="891"/>
      <c r="FP41" s="740"/>
      <c r="FQ41" s="666"/>
      <c r="FR41" s="656" t="s">
        <v>408</v>
      </c>
      <c r="FS41" s="741"/>
      <c r="FT41" s="666"/>
      <c r="FU41" s="668" t="s">
        <v>391</v>
      </c>
      <c r="FV41" s="586"/>
      <c r="FW41" s="587"/>
      <c r="FX41" s="799"/>
      <c r="FY41" s="589"/>
      <c r="FZ41" s="800"/>
      <c r="GA41" s="591"/>
      <c r="GB41" s="801"/>
      <c r="GC41" s="593"/>
      <c r="GD41" s="801"/>
      <c r="GE41" s="594"/>
      <c r="GF41" s="742"/>
      <c r="GG41" s="743"/>
      <c r="GH41" s="743"/>
      <c r="GI41" s="743"/>
      <c r="GJ41" s="573"/>
      <c r="GK41" s="892" t="s">
        <v>593</v>
      </c>
      <c r="GL41" s="893"/>
      <c r="GM41" s="894" t="s">
        <v>653</v>
      </c>
      <c r="GN41" s="894"/>
      <c r="GO41" s="894" t="s">
        <v>507</v>
      </c>
      <c r="GP41" s="894"/>
      <c r="GQ41" s="894"/>
      <c r="GR41" s="895"/>
      <c r="GS41" s="854"/>
      <c r="GT41" s="682"/>
      <c r="GU41" s="523" t="s">
        <v>666</v>
      </c>
      <c r="GV41" s="523"/>
      <c r="GW41" s="523"/>
      <c r="GX41" s="523"/>
      <c r="GY41" s="523"/>
      <c r="GZ41" s="523"/>
      <c r="HA41" s="887">
        <v>23</v>
      </c>
      <c r="HB41" s="410"/>
      <c r="HC41" s="523"/>
      <c r="HD41" s="406"/>
    </row>
    <row r="42" spans="1:219" ht="20.100000000000001" customHeight="1">
      <c r="A42" s="825"/>
      <c r="B42" s="896" t="s">
        <v>429</v>
      </c>
      <c r="C42" s="897"/>
      <c r="D42" s="897"/>
      <c r="E42" s="898"/>
      <c r="F42" s="899"/>
      <c r="G42" s="829"/>
      <c r="H42" s="830"/>
      <c r="I42" s="831"/>
      <c r="J42" s="792"/>
      <c r="K42" s="832"/>
      <c r="L42" s="792"/>
      <c r="M42" s="832"/>
      <c r="N42" s="792"/>
      <c r="O42" s="832"/>
      <c r="P42" s="792"/>
      <c r="Q42" s="832"/>
      <c r="R42" s="792"/>
      <c r="S42" s="832"/>
      <c r="T42" s="792"/>
      <c r="U42" s="832"/>
      <c r="V42" s="792"/>
      <c r="W42" s="832"/>
      <c r="X42" s="792">
        <v>2935</v>
      </c>
      <c r="Y42" s="832"/>
      <c r="Z42" s="792">
        <v>1875</v>
      </c>
      <c r="AA42" s="832"/>
      <c r="AB42" s="792">
        <v>1829</v>
      </c>
      <c r="AC42" s="832"/>
      <c r="AD42" s="792">
        <v>1783</v>
      </c>
      <c r="AE42" s="832"/>
      <c r="AF42" s="792">
        <v>1736</v>
      </c>
      <c r="AG42" s="832"/>
      <c r="AH42" s="792">
        <v>1690</v>
      </c>
      <c r="AI42" s="832"/>
      <c r="AJ42" s="792">
        <v>1660</v>
      </c>
      <c r="AK42" s="832"/>
      <c r="AL42" s="792">
        <v>1629</v>
      </c>
      <c r="AM42" s="832"/>
      <c r="AN42" s="792">
        <v>1583</v>
      </c>
      <c r="AO42" s="832"/>
      <c r="AP42" s="792">
        <v>1567</v>
      </c>
      <c r="AQ42" s="832"/>
      <c r="AR42" s="792"/>
      <c r="AS42" s="832"/>
      <c r="AT42" s="792"/>
      <c r="AU42" s="832"/>
      <c r="AV42" s="792"/>
      <c r="AW42" s="832"/>
      <c r="AX42" s="792"/>
      <c r="AY42" s="832"/>
      <c r="AZ42" s="792"/>
      <c r="BA42" s="832"/>
      <c r="BB42" s="833"/>
      <c r="BC42" s="555"/>
      <c r="BD42" s="825"/>
      <c r="BE42" s="900" t="s">
        <v>429</v>
      </c>
      <c r="BF42" s="897"/>
      <c r="BG42" s="897"/>
      <c r="BH42" s="898"/>
      <c r="BI42" s="899"/>
      <c r="BJ42" s="829"/>
      <c r="BK42" s="830"/>
      <c r="BL42" s="831"/>
      <c r="BM42" s="792"/>
      <c r="BN42" s="832"/>
      <c r="BO42" s="792"/>
      <c r="BP42" s="832"/>
      <c r="BQ42" s="792"/>
      <c r="BR42" s="832"/>
      <c r="BS42" s="792"/>
      <c r="BT42" s="832"/>
      <c r="BU42" s="792"/>
      <c r="BV42" s="832"/>
      <c r="BW42" s="792"/>
      <c r="BX42" s="832"/>
      <c r="BY42" s="792"/>
      <c r="BZ42" s="832"/>
      <c r="CA42" s="792">
        <v>2935</v>
      </c>
      <c r="CB42" s="832"/>
      <c r="CC42" s="792">
        <v>1875</v>
      </c>
      <c r="CD42" s="832"/>
      <c r="CE42" s="792">
        <v>1829</v>
      </c>
      <c r="CF42" s="832"/>
      <c r="CG42" s="792">
        <v>1783</v>
      </c>
      <c r="CH42" s="832"/>
      <c r="CI42" s="792">
        <v>1736</v>
      </c>
      <c r="CJ42" s="832"/>
      <c r="CK42" s="792">
        <v>1690</v>
      </c>
      <c r="CL42" s="832"/>
      <c r="CM42" s="792">
        <v>1660</v>
      </c>
      <c r="CN42" s="832"/>
      <c r="CO42" s="792">
        <v>1629</v>
      </c>
      <c r="CP42" s="832"/>
      <c r="CQ42" s="792">
        <v>1583</v>
      </c>
      <c r="CR42" s="832"/>
      <c r="CS42" s="792">
        <v>1567</v>
      </c>
      <c r="CT42" s="832"/>
      <c r="CU42" s="792"/>
      <c r="CV42" s="832"/>
      <c r="CW42" s="792"/>
      <c r="CX42" s="832"/>
      <c r="CY42" s="792"/>
      <c r="CZ42" s="832"/>
      <c r="DA42" s="792"/>
      <c r="DB42" s="832"/>
      <c r="DC42" s="792"/>
      <c r="DD42" s="832"/>
      <c r="DE42" s="833"/>
      <c r="DF42" s="555"/>
      <c r="DG42" s="825"/>
      <c r="DH42" s="900" t="s">
        <v>428</v>
      </c>
      <c r="DI42" s="897"/>
      <c r="DJ42" s="897"/>
      <c r="DK42" s="898"/>
      <c r="DL42" s="899"/>
      <c r="DM42" s="829"/>
      <c r="DN42" s="830"/>
      <c r="DO42" s="831"/>
      <c r="DP42" s="792"/>
      <c r="DQ42" s="832"/>
      <c r="DR42" s="792"/>
      <c r="DS42" s="832"/>
      <c r="DT42" s="792"/>
      <c r="DU42" s="832"/>
      <c r="DV42" s="792"/>
      <c r="DW42" s="832"/>
      <c r="DX42" s="792"/>
      <c r="DY42" s="832"/>
      <c r="DZ42" s="792"/>
      <c r="EA42" s="832"/>
      <c r="EB42" s="792"/>
      <c r="EC42" s="832"/>
      <c r="ED42" s="792">
        <v>2935</v>
      </c>
      <c r="EE42" s="832"/>
      <c r="EF42" s="792">
        <v>1875</v>
      </c>
      <c r="EG42" s="832"/>
      <c r="EH42" s="792">
        <v>1829</v>
      </c>
      <c r="EI42" s="832"/>
      <c r="EJ42" s="792">
        <v>1783</v>
      </c>
      <c r="EK42" s="832"/>
      <c r="EL42" s="792">
        <v>1736</v>
      </c>
      <c r="EM42" s="832"/>
      <c r="EN42" s="792">
        <v>1690</v>
      </c>
      <c r="EO42" s="832"/>
      <c r="EP42" s="792">
        <v>1660</v>
      </c>
      <c r="EQ42" s="832"/>
      <c r="ER42" s="792">
        <v>1629</v>
      </c>
      <c r="ES42" s="832"/>
      <c r="ET42" s="792">
        <v>1583</v>
      </c>
      <c r="EU42" s="832"/>
      <c r="EV42" s="792">
        <v>1567</v>
      </c>
      <c r="EW42" s="832"/>
      <c r="EX42" s="792"/>
      <c r="EY42" s="832"/>
      <c r="EZ42" s="792"/>
      <c r="FA42" s="832"/>
      <c r="FB42" s="792"/>
      <c r="FC42" s="832"/>
      <c r="FD42" s="792"/>
      <c r="FE42" s="832"/>
      <c r="FF42" s="792"/>
      <c r="FG42" s="832"/>
      <c r="FH42" s="833"/>
      <c r="FI42" s="556"/>
      <c r="FJ42" s="834"/>
      <c r="FK42" s="900" t="s">
        <v>428</v>
      </c>
      <c r="FL42" s="897"/>
      <c r="FM42" s="897"/>
      <c r="FN42" s="898"/>
      <c r="FO42" s="899"/>
      <c r="FP42" s="835"/>
      <c r="FQ42" s="831"/>
      <c r="FR42" s="830">
        <v>3888</v>
      </c>
      <c r="FS42" s="836"/>
      <c r="FT42" s="831"/>
      <c r="FU42" s="798">
        <v>3888</v>
      </c>
      <c r="FV42" s="586"/>
      <c r="FW42" s="587"/>
      <c r="FX42" s="799"/>
      <c r="FY42" s="589"/>
      <c r="FZ42" s="800"/>
      <c r="GA42" s="591"/>
      <c r="GB42" s="801"/>
      <c r="GC42" s="593"/>
      <c r="GD42" s="801"/>
      <c r="GE42" s="594"/>
      <c r="GF42" s="837"/>
      <c r="GG42" s="595"/>
      <c r="GH42" s="595"/>
      <c r="GI42" s="595"/>
      <c r="GJ42" s="406"/>
      <c r="GK42" s="901"/>
      <c r="GL42" s="902"/>
      <c r="GM42" s="903">
        <v>7</v>
      </c>
      <c r="GN42" s="903"/>
      <c r="GO42" s="903">
        <v>12.1</v>
      </c>
      <c r="GP42" s="903"/>
      <c r="GQ42" s="903">
        <v>19.100000000000001</v>
      </c>
      <c r="GR42" s="904"/>
      <c r="GS42" s="573"/>
      <c r="GT42" s="493"/>
      <c r="GU42" s="493"/>
      <c r="GV42" s="493"/>
      <c r="GW42" s="572"/>
      <c r="GX42" s="572"/>
      <c r="GY42" s="572"/>
      <c r="GZ42" s="571"/>
      <c r="HA42" s="493"/>
      <c r="HB42" s="493"/>
      <c r="HC42" s="523"/>
      <c r="HD42" s="523"/>
    </row>
    <row r="43" spans="1:219" ht="20.100000000000001" customHeight="1">
      <c r="A43" s="825"/>
      <c r="B43" s="905" t="s">
        <v>431</v>
      </c>
      <c r="C43" s="906"/>
      <c r="D43" s="906"/>
      <c r="E43" s="906"/>
      <c r="F43" s="907"/>
      <c r="G43" s="687"/>
      <c r="H43" s="908">
        <v>0</v>
      </c>
      <c r="I43" s="688"/>
      <c r="J43" s="908">
        <v>0</v>
      </c>
      <c r="K43" s="688"/>
      <c r="L43" s="908">
        <v>0</v>
      </c>
      <c r="M43" s="688"/>
      <c r="N43" s="908">
        <v>0</v>
      </c>
      <c r="O43" s="688"/>
      <c r="P43" s="908">
        <v>0</v>
      </c>
      <c r="Q43" s="688"/>
      <c r="R43" s="908">
        <v>0</v>
      </c>
      <c r="S43" s="688"/>
      <c r="T43" s="908">
        <v>0</v>
      </c>
      <c r="U43" s="688"/>
      <c r="V43" s="908">
        <v>0</v>
      </c>
      <c r="W43" s="909"/>
      <c r="X43" s="908">
        <v>0</v>
      </c>
      <c r="Y43" s="688"/>
      <c r="Z43" s="908">
        <v>0</v>
      </c>
      <c r="AA43" s="688"/>
      <c r="AB43" s="908">
        <v>0</v>
      </c>
      <c r="AC43" s="688"/>
      <c r="AD43" s="908">
        <v>0</v>
      </c>
      <c r="AE43" s="688"/>
      <c r="AF43" s="908">
        <v>0</v>
      </c>
      <c r="AG43" s="688"/>
      <c r="AH43" s="908">
        <v>0</v>
      </c>
      <c r="AI43" s="688"/>
      <c r="AJ43" s="908">
        <v>0</v>
      </c>
      <c r="AK43" s="688"/>
      <c r="AL43" s="908">
        <v>0</v>
      </c>
      <c r="AM43" s="688"/>
      <c r="AN43" s="908">
        <v>0</v>
      </c>
      <c r="AO43" s="688"/>
      <c r="AP43" s="908">
        <v>0</v>
      </c>
      <c r="AQ43" s="688"/>
      <c r="AR43" s="908">
        <v>0</v>
      </c>
      <c r="AS43" s="688"/>
      <c r="AT43" s="908">
        <v>0</v>
      </c>
      <c r="AU43" s="688"/>
      <c r="AV43" s="908">
        <v>0</v>
      </c>
      <c r="AW43" s="688"/>
      <c r="AX43" s="908">
        <v>0</v>
      </c>
      <c r="AY43" s="688"/>
      <c r="AZ43" s="908">
        <v>0</v>
      </c>
      <c r="BA43" s="688"/>
      <c r="BB43" s="875">
        <v>0</v>
      </c>
      <c r="BC43" s="555"/>
      <c r="BD43" s="825"/>
      <c r="BE43" s="910" t="s">
        <v>430</v>
      </c>
      <c r="BF43" s="906"/>
      <c r="BG43" s="906"/>
      <c r="BH43" s="906"/>
      <c r="BI43" s="907"/>
      <c r="BJ43" s="687"/>
      <c r="BK43" s="908">
        <v>0</v>
      </c>
      <c r="BL43" s="688"/>
      <c r="BM43" s="908">
        <v>0</v>
      </c>
      <c r="BN43" s="688"/>
      <c r="BO43" s="908">
        <v>0</v>
      </c>
      <c r="BP43" s="688"/>
      <c r="BQ43" s="908">
        <v>0</v>
      </c>
      <c r="BR43" s="688"/>
      <c r="BS43" s="908">
        <v>0</v>
      </c>
      <c r="BT43" s="688"/>
      <c r="BU43" s="908">
        <v>0</v>
      </c>
      <c r="BV43" s="688"/>
      <c r="BW43" s="908">
        <v>0</v>
      </c>
      <c r="BX43" s="688"/>
      <c r="BY43" s="908">
        <v>0</v>
      </c>
      <c r="BZ43" s="909"/>
      <c r="CA43" s="908">
        <v>0</v>
      </c>
      <c r="CB43" s="688"/>
      <c r="CC43" s="908">
        <v>0</v>
      </c>
      <c r="CD43" s="688"/>
      <c r="CE43" s="908">
        <v>0</v>
      </c>
      <c r="CF43" s="688"/>
      <c r="CG43" s="908">
        <v>0</v>
      </c>
      <c r="CH43" s="688"/>
      <c r="CI43" s="908">
        <v>0</v>
      </c>
      <c r="CJ43" s="688"/>
      <c r="CK43" s="908">
        <v>0</v>
      </c>
      <c r="CL43" s="688"/>
      <c r="CM43" s="908">
        <v>0</v>
      </c>
      <c r="CN43" s="688"/>
      <c r="CO43" s="908">
        <v>0</v>
      </c>
      <c r="CP43" s="688"/>
      <c r="CQ43" s="908">
        <v>0</v>
      </c>
      <c r="CR43" s="688"/>
      <c r="CS43" s="908">
        <v>0</v>
      </c>
      <c r="CT43" s="688"/>
      <c r="CU43" s="908">
        <v>0</v>
      </c>
      <c r="CV43" s="688"/>
      <c r="CW43" s="908">
        <v>0</v>
      </c>
      <c r="CX43" s="688"/>
      <c r="CY43" s="908">
        <v>0</v>
      </c>
      <c r="CZ43" s="688"/>
      <c r="DA43" s="908">
        <v>0</v>
      </c>
      <c r="DB43" s="688"/>
      <c r="DC43" s="908">
        <v>0</v>
      </c>
      <c r="DD43" s="688"/>
      <c r="DE43" s="875">
        <v>0</v>
      </c>
      <c r="DF43" s="555"/>
      <c r="DG43" s="825"/>
      <c r="DH43" s="910" t="s">
        <v>431</v>
      </c>
      <c r="DI43" s="906"/>
      <c r="DJ43" s="906"/>
      <c r="DK43" s="906"/>
      <c r="DL43" s="907"/>
      <c r="DM43" s="687"/>
      <c r="DN43" s="908">
        <v>0</v>
      </c>
      <c r="DO43" s="688"/>
      <c r="DP43" s="908">
        <v>0</v>
      </c>
      <c r="DQ43" s="688"/>
      <c r="DR43" s="908">
        <v>0</v>
      </c>
      <c r="DS43" s="688"/>
      <c r="DT43" s="908">
        <v>0</v>
      </c>
      <c r="DU43" s="688"/>
      <c r="DV43" s="908">
        <v>0</v>
      </c>
      <c r="DW43" s="688"/>
      <c r="DX43" s="908">
        <v>0</v>
      </c>
      <c r="DY43" s="688"/>
      <c r="DZ43" s="908">
        <v>0</v>
      </c>
      <c r="EA43" s="688"/>
      <c r="EB43" s="908">
        <v>0</v>
      </c>
      <c r="EC43" s="909"/>
      <c r="ED43" s="908">
        <v>0</v>
      </c>
      <c r="EE43" s="688"/>
      <c r="EF43" s="908">
        <v>0</v>
      </c>
      <c r="EG43" s="688"/>
      <c r="EH43" s="908">
        <v>0</v>
      </c>
      <c r="EI43" s="688"/>
      <c r="EJ43" s="908">
        <v>0</v>
      </c>
      <c r="EK43" s="688"/>
      <c r="EL43" s="908">
        <v>0</v>
      </c>
      <c r="EM43" s="688"/>
      <c r="EN43" s="908">
        <v>0</v>
      </c>
      <c r="EO43" s="688"/>
      <c r="EP43" s="908">
        <v>0</v>
      </c>
      <c r="EQ43" s="688"/>
      <c r="ER43" s="908">
        <v>0</v>
      </c>
      <c r="ES43" s="688"/>
      <c r="ET43" s="908">
        <v>0</v>
      </c>
      <c r="EU43" s="688"/>
      <c r="EV43" s="908">
        <v>0</v>
      </c>
      <c r="EW43" s="688"/>
      <c r="EX43" s="908">
        <v>0</v>
      </c>
      <c r="EY43" s="688"/>
      <c r="EZ43" s="908">
        <v>0</v>
      </c>
      <c r="FA43" s="688"/>
      <c r="FB43" s="908">
        <v>0</v>
      </c>
      <c r="FC43" s="688"/>
      <c r="FD43" s="908">
        <v>0</v>
      </c>
      <c r="FE43" s="688"/>
      <c r="FF43" s="908">
        <v>0</v>
      </c>
      <c r="FG43" s="688"/>
      <c r="FH43" s="875">
        <v>0</v>
      </c>
      <c r="FI43" s="556"/>
      <c r="FJ43" s="834"/>
      <c r="FK43" s="910" t="s">
        <v>430</v>
      </c>
      <c r="FL43" s="906"/>
      <c r="FM43" s="906"/>
      <c r="FN43" s="906"/>
      <c r="FO43" s="907"/>
      <c r="FP43" s="689"/>
      <c r="FQ43" s="690"/>
      <c r="FR43" s="580">
        <v>0</v>
      </c>
      <c r="FS43" s="691"/>
      <c r="FT43" s="690"/>
      <c r="FU43" s="585">
        <v>0</v>
      </c>
      <c r="FV43" s="911"/>
      <c r="FW43" s="912"/>
      <c r="FX43" s="913"/>
      <c r="FY43" s="914"/>
      <c r="FZ43" s="915"/>
      <c r="GA43" s="916"/>
      <c r="GB43" s="917"/>
      <c r="GC43" s="918"/>
      <c r="GD43" s="917"/>
      <c r="GE43" s="919"/>
      <c r="GF43" s="681"/>
      <c r="GG43" s="595"/>
      <c r="GH43" s="595"/>
      <c r="GI43" s="595"/>
      <c r="GJ43" s="920"/>
      <c r="GK43" s="921" t="s">
        <v>508</v>
      </c>
      <c r="GL43" s="922"/>
      <c r="GM43" s="923" t="s">
        <v>654</v>
      </c>
      <c r="GN43" s="923"/>
      <c r="GO43" s="923" t="s">
        <v>509</v>
      </c>
      <c r="GP43" s="923"/>
      <c r="GQ43" s="923"/>
      <c r="GR43" s="924"/>
      <c r="GS43" s="573"/>
      <c r="GT43" s="602"/>
      <c r="GU43" s="523" t="s">
        <v>481</v>
      </c>
      <c r="GV43" s="410"/>
      <c r="GW43" s="406"/>
      <c r="GX43" s="410"/>
      <c r="GY43" s="410"/>
      <c r="GZ43" s="410"/>
      <c r="HA43" s="406"/>
      <c r="HB43" s="410"/>
      <c r="HC43" s="925"/>
      <c r="HD43" s="412"/>
    </row>
    <row r="44" spans="1:219" ht="20.100000000000001" customHeight="1" thickBot="1">
      <c r="A44" s="926"/>
      <c r="B44" s="635"/>
      <c r="C44" s="635"/>
      <c r="D44" s="636" t="s">
        <v>298</v>
      </c>
      <c r="E44" s="635"/>
      <c r="F44" s="635"/>
      <c r="G44" s="838"/>
      <c r="H44" s="1279">
        <v>0</v>
      </c>
      <c r="I44" s="1280"/>
      <c r="J44" s="841">
        <v>0</v>
      </c>
      <c r="K44" s="842"/>
      <c r="L44" s="841">
        <v>0</v>
      </c>
      <c r="M44" s="842"/>
      <c r="N44" s="841">
        <v>0</v>
      </c>
      <c r="O44" s="842"/>
      <c r="P44" s="841">
        <v>0</v>
      </c>
      <c r="Q44" s="842"/>
      <c r="R44" s="841">
        <v>0</v>
      </c>
      <c r="S44" s="842"/>
      <c r="T44" s="841">
        <v>0</v>
      </c>
      <c r="U44" s="842"/>
      <c r="V44" s="841">
        <v>0</v>
      </c>
      <c r="W44" s="842"/>
      <c r="X44" s="841">
        <v>2935</v>
      </c>
      <c r="Y44" s="842"/>
      <c r="Z44" s="841">
        <v>1875</v>
      </c>
      <c r="AA44" s="842"/>
      <c r="AB44" s="841">
        <v>1829</v>
      </c>
      <c r="AC44" s="842"/>
      <c r="AD44" s="841">
        <v>1783</v>
      </c>
      <c r="AE44" s="842"/>
      <c r="AF44" s="841">
        <v>1736</v>
      </c>
      <c r="AG44" s="842"/>
      <c r="AH44" s="841">
        <v>1690</v>
      </c>
      <c r="AI44" s="842"/>
      <c r="AJ44" s="841">
        <v>1660</v>
      </c>
      <c r="AK44" s="842"/>
      <c r="AL44" s="841">
        <v>1629</v>
      </c>
      <c r="AM44" s="842"/>
      <c r="AN44" s="841">
        <v>1583</v>
      </c>
      <c r="AO44" s="842"/>
      <c r="AP44" s="841">
        <v>1567</v>
      </c>
      <c r="AQ44" s="842"/>
      <c r="AR44" s="841">
        <v>0</v>
      </c>
      <c r="AS44" s="842"/>
      <c r="AT44" s="841">
        <v>0</v>
      </c>
      <c r="AU44" s="842"/>
      <c r="AV44" s="841">
        <v>0</v>
      </c>
      <c r="AW44" s="842"/>
      <c r="AX44" s="841">
        <v>0</v>
      </c>
      <c r="AY44" s="842"/>
      <c r="AZ44" s="841">
        <v>0</v>
      </c>
      <c r="BA44" s="842"/>
      <c r="BB44" s="1281">
        <v>0</v>
      </c>
      <c r="BC44" s="641"/>
      <c r="BD44" s="926"/>
      <c r="BE44" s="635"/>
      <c r="BF44" s="635"/>
      <c r="BG44" s="636" t="s">
        <v>298</v>
      </c>
      <c r="BH44" s="635"/>
      <c r="BI44" s="635"/>
      <c r="BJ44" s="838"/>
      <c r="BK44" s="1279">
        <v>0</v>
      </c>
      <c r="BL44" s="1280"/>
      <c r="BM44" s="841">
        <v>0</v>
      </c>
      <c r="BN44" s="842"/>
      <c r="BO44" s="841">
        <v>0</v>
      </c>
      <c r="BP44" s="842"/>
      <c r="BQ44" s="841">
        <v>0</v>
      </c>
      <c r="BR44" s="842"/>
      <c r="BS44" s="841">
        <v>0</v>
      </c>
      <c r="BT44" s="842"/>
      <c r="BU44" s="841">
        <v>0</v>
      </c>
      <c r="BV44" s="842"/>
      <c r="BW44" s="841">
        <v>0</v>
      </c>
      <c r="BX44" s="842"/>
      <c r="BY44" s="841">
        <v>0</v>
      </c>
      <c r="BZ44" s="842"/>
      <c r="CA44" s="841">
        <v>2935</v>
      </c>
      <c r="CB44" s="842"/>
      <c r="CC44" s="841">
        <v>1875</v>
      </c>
      <c r="CD44" s="842"/>
      <c r="CE44" s="841">
        <v>1829</v>
      </c>
      <c r="CF44" s="842"/>
      <c r="CG44" s="841">
        <v>1783</v>
      </c>
      <c r="CH44" s="842"/>
      <c r="CI44" s="841">
        <v>1736</v>
      </c>
      <c r="CJ44" s="842"/>
      <c r="CK44" s="841">
        <v>1690</v>
      </c>
      <c r="CL44" s="842"/>
      <c r="CM44" s="841">
        <v>1660</v>
      </c>
      <c r="CN44" s="842"/>
      <c r="CO44" s="841">
        <v>1629</v>
      </c>
      <c r="CP44" s="842"/>
      <c r="CQ44" s="841">
        <v>1583</v>
      </c>
      <c r="CR44" s="842"/>
      <c r="CS44" s="841">
        <v>1567</v>
      </c>
      <c r="CT44" s="842"/>
      <c r="CU44" s="841">
        <v>0</v>
      </c>
      <c r="CV44" s="842"/>
      <c r="CW44" s="841">
        <v>0</v>
      </c>
      <c r="CX44" s="842"/>
      <c r="CY44" s="841">
        <v>0</v>
      </c>
      <c r="CZ44" s="842"/>
      <c r="DA44" s="841">
        <v>0</v>
      </c>
      <c r="DB44" s="842"/>
      <c r="DC44" s="841">
        <v>0</v>
      </c>
      <c r="DD44" s="842"/>
      <c r="DE44" s="1281">
        <v>0</v>
      </c>
      <c r="DF44" s="641"/>
      <c r="DG44" s="926"/>
      <c r="DH44" s="635"/>
      <c r="DI44" s="635"/>
      <c r="DJ44" s="636" t="s">
        <v>568</v>
      </c>
      <c r="DK44" s="635"/>
      <c r="DL44" s="635"/>
      <c r="DM44" s="838"/>
      <c r="DN44" s="1279">
        <v>0</v>
      </c>
      <c r="DO44" s="1280"/>
      <c r="DP44" s="841">
        <v>0</v>
      </c>
      <c r="DQ44" s="842"/>
      <c r="DR44" s="841">
        <v>0</v>
      </c>
      <c r="DS44" s="842"/>
      <c r="DT44" s="841">
        <v>0</v>
      </c>
      <c r="DU44" s="842"/>
      <c r="DV44" s="841">
        <v>0</v>
      </c>
      <c r="DW44" s="842"/>
      <c r="DX44" s="841">
        <v>0</v>
      </c>
      <c r="DY44" s="842"/>
      <c r="DZ44" s="841">
        <v>0</v>
      </c>
      <c r="EA44" s="842"/>
      <c r="EB44" s="841">
        <v>0</v>
      </c>
      <c r="EC44" s="842"/>
      <c r="ED44" s="841">
        <v>2935</v>
      </c>
      <c r="EE44" s="842"/>
      <c r="EF44" s="841">
        <v>1875</v>
      </c>
      <c r="EG44" s="842"/>
      <c r="EH44" s="841">
        <v>1829</v>
      </c>
      <c r="EI44" s="842"/>
      <c r="EJ44" s="841">
        <v>1783</v>
      </c>
      <c r="EK44" s="842"/>
      <c r="EL44" s="841">
        <v>1736</v>
      </c>
      <c r="EM44" s="842"/>
      <c r="EN44" s="841">
        <v>1690</v>
      </c>
      <c r="EO44" s="842"/>
      <c r="EP44" s="841">
        <v>1660</v>
      </c>
      <c r="EQ44" s="842"/>
      <c r="ER44" s="841">
        <v>1629</v>
      </c>
      <c r="ES44" s="842"/>
      <c r="ET44" s="841">
        <v>1583</v>
      </c>
      <c r="EU44" s="842"/>
      <c r="EV44" s="841">
        <v>1567</v>
      </c>
      <c r="EW44" s="842"/>
      <c r="EX44" s="841">
        <v>0</v>
      </c>
      <c r="EY44" s="842"/>
      <c r="EZ44" s="841">
        <v>0</v>
      </c>
      <c r="FA44" s="842"/>
      <c r="FB44" s="841">
        <v>0</v>
      </c>
      <c r="FC44" s="842"/>
      <c r="FD44" s="841">
        <v>0</v>
      </c>
      <c r="FE44" s="842"/>
      <c r="FF44" s="841">
        <v>0</v>
      </c>
      <c r="FG44" s="842"/>
      <c r="FH44" s="1281">
        <v>0</v>
      </c>
      <c r="FI44" s="642"/>
      <c r="FJ44" s="927"/>
      <c r="FK44" s="635"/>
      <c r="FL44" s="635"/>
      <c r="FM44" s="636" t="s">
        <v>568</v>
      </c>
      <c r="FN44" s="635"/>
      <c r="FO44" s="635"/>
      <c r="FP44" s="643"/>
      <c r="FQ44" s="1280"/>
      <c r="FR44" s="1279">
        <v>3888</v>
      </c>
      <c r="FS44" s="1282"/>
      <c r="FT44" s="1280"/>
      <c r="FU44" s="1283">
        <v>3888</v>
      </c>
      <c r="FV44" s="586" t="s">
        <v>299</v>
      </c>
      <c r="FW44" s="587"/>
      <c r="FX44" s="799" t="s">
        <v>300</v>
      </c>
      <c r="FY44" s="589"/>
      <c r="FZ44" s="800" t="s">
        <v>301</v>
      </c>
      <c r="GA44" s="591"/>
      <c r="GB44" s="801" t="s">
        <v>302</v>
      </c>
      <c r="GC44" s="593"/>
      <c r="GD44" s="801" t="s">
        <v>303</v>
      </c>
      <c r="GE44" s="594"/>
      <c r="GF44" s="647"/>
      <c r="GG44" s="648"/>
      <c r="GH44" s="648"/>
      <c r="GI44" s="648"/>
      <c r="GJ44" s="523"/>
      <c r="GK44" s="901"/>
      <c r="GL44" s="902"/>
      <c r="GM44" s="928">
        <v>4.5999999999999996</v>
      </c>
      <c r="GN44" s="928"/>
      <c r="GO44" s="928">
        <v>8</v>
      </c>
      <c r="GP44" s="928"/>
      <c r="GQ44" s="903">
        <v>12.6</v>
      </c>
      <c r="GR44" s="904"/>
      <c r="GS44" s="929"/>
      <c r="GT44" s="930"/>
      <c r="GU44" s="523" t="s">
        <v>510</v>
      </c>
      <c r="GV44" s="608"/>
      <c r="GW44" s="608"/>
      <c r="GX44" s="608"/>
      <c r="GY44" s="410"/>
      <c r="GZ44" s="410"/>
      <c r="HA44" s="744">
        <v>-3.9</v>
      </c>
      <c r="HB44" s="410" t="s">
        <v>304</v>
      </c>
      <c r="HC44" s="931"/>
      <c r="HD44" s="412"/>
    </row>
    <row r="45" spans="1:219" ht="20.100000000000001" customHeight="1" thickTop="1">
      <c r="A45" s="932" t="s">
        <v>432</v>
      </c>
      <c r="B45" s="933"/>
      <c r="C45" s="933"/>
      <c r="D45" s="933"/>
      <c r="E45" s="933"/>
      <c r="F45" s="934"/>
      <c r="G45" s="935"/>
      <c r="H45" s="936">
        <v>0</v>
      </c>
      <c r="I45" s="937"/>
      <c r="J45" s="936">
        <v>0</v>
      </c>
      <c r="K45" s="937"/>
      <c r="L45" s="936">
        <v>0</v>
      </c>
      <c r="M45" s="937"/>
      <c r="N45" s="936">
        <v>0</v>
      </c>
      <c r="O45" s="937"/>
      <c r="P45" s="936">
        <v>0</v>
      </c>
      <c r="Q45" s="937"/>
      <c r="R45" s="936">
        <v>0</v>
      </c>
      <c r="S45" s="937"/>
      <c r="T45" s="936">
        <v>0</v>
      </c>
      <c r="U45" s="937"/>
      <c r="V45" s="936">
        <v>0</v>
      </c>
      <c r="W45" s="937"/>
      <c r="X45" s="936">
        <v>8238</v>
      </c>
      <c r="Y45" s="937"/>
      <c r="Z45" s="936">
        <v>7359</v>
      </c>
      <c r="AA45" s="937"/>
      <c r="AB45" s="936">
        <v>7916</v>
      </c>
      <c r="AC45" s="937"/>
      <c r="AD45" s="936">
        <v>6783</v>
      </c>
      <c r="AE45" s="937"/>
      <c r="AF45" s="936">
        <v>8739</v>
      </c>
      <c r="AG45" s="937"/>
      <c r="AH45" s="936">
        <v>8727</v>
      </c>
      <c r="AI45" s="937"/>
      <c r="AJ45" s="936">
        <v>8446</v>
      </c>
      <c r="AK45" s="937"/>
      <c r="AL45" s="936">
        <v>7941</v>
      </c>
      <c r="AM45" s="937"/>
      <c r="AN45" s="936">
        <v>7356</v>
      </c>
      <c r="AO45" s="937"/>
      <c r="AP45" s="936">
        <v>6439</v>
      </c>
      <c r="AQ45" s="937"/>
      <c r="AR45" s="936">
        <v>0</v>
      </c>
      <c r="AS45" s="937"/>
      <c r="AT45" s="936">
        <v>0</v>
      </c>
      <c r="AU45" s="937"/>
      <c r="AV45" s="936">
        <v>0</v>
      </c>
      <c r="AW45" s="937"/>
      <c r="AX45" s="936">
        <v>0</v>
      </c>
      <c r="AY45" s="937"/>
      <c r="AZ45" s="936">
        <v>0</v>
      </c>
      <c r="BA45" s="937"/>
      <c r="BB45" s="938">
        <v>0</v>
      </c>
      <c r="BC45" s="641"/>
      <c r="BD45" s="932" t="s">
        <v>432</v>
      </c>
      <c r="BE45" s="933"/>
      <c r="BF45" s="933"/>
      <c r="BG45" s="933"/>
      <c r="BH45" s="933"/>
      <c r="BI45" s="934"/>
      <c r="BJ45" s="935"/>
      <c r="BK45" s="936">
        <v>0</v>
      </c>
      <c r="BL45" s="937"/>
      <c r="BM45" s="936">
        <v>0</v>
      </c>
      <c r="BN45" s="937"/>
      <c r="BO45" s="936">
        <v>0</v>
      </c>
      <c r="BP45" s="937"/>
      <c r="BQ45" s="936">
        <v>0</v>
      </c>
      <c r="BR45" s="937"/>
      <c r="BS45" s="936">
        <v>0</v>
      </c>
      <c r="BT45" s="937"/>
      <c r="BU45" s="936">
        <v>0</v>
      </c>
      <c r="BV45" s="937"/>
      <c r="BW45" s="936">
        <v>0</v>
      </c>
      <c r="BX45" s="937"/>
      <c r="BY45" s="936">
        <v>0</v>
      </c>
      <c r="BZ45" s="937"/>
      <c r="CA45" s="936">
        <v>8194</v>
      </c>
      <c r="CB45" s="937"/>
      <c r="CC45" s="936">
        <v>7385</v>
      </c>
      <c r="CD45" s="937"/>
      <c r="CE45" s="936">
        <v>8016</v>
      </c>
      <c r="CF45" s="937"/>
      <c r="CG45" s="936">
        <v>6956</v>
      </c>
      <c r="CH45" s="937"/>
      <c r="CI45" s="936">
        <v>8915</v>
      </c>
      <c r="CJ45" s="937"/>
      <c r="CK45" s="936">
        <v>8960</v>
      </c>
      <c r="CL45" s="937"/>
      <c r="CM45" s="936">
        <v>8726</v>
      </c>
      <c r="CN45" s="937"/>
      <c r="CO45" s="936">
        <v>8254</v>
      </c>
      <c r="CP45" s="937"/>
      <c r="CQ45" s="936">
        <v>7606</v>
      </c>
      <c r="CR45" s="937"/>
      <c r="CS45" s="936">
        <v>6593</v>
      </c>
      <c r="CT45" s="937"/>
      <c r="CU45" s="936">
        <v>0</v>
      </c>
      <c r="CV45" s="937"/>
      <c r="CW45" s="936">
        <v>0</v>
      </c>
      <c r="CX45" s="937"/>
      <c r="CY45" s="936">
        <v>0</v>
      </c>
      <c r="CZ45" s="937"/>
      <c r="DA45" s="936">
        <v>0</v>
      </c>
      <c r="DB45" s="937"/>
      <c r="DC45" s="936">
        <v>0</v>
      </c>
      <c r="DD45" s="937"/>
      <c r="DE45" s="938">
        <v>0</v>
      </c>
      <c r="DF45" s="641"/>
      <c r="DG45" s="932" t="s">
        <v>433</v>
      </c>
      <c r="DH45" s="933"/>
      <c r="DI45" s="933"/>
      <c r="DJ45" s="933"/>
      <c r="DK45" s="933"/>
      <c r="DL45" s="934"/>
      <c r="DM45" s="935"/>
      <c r="DN45" s="936">
        <v>0</v>
      </c>
      <c r="DO45" s="937"/>
      <c r="DP45" s="936">
        <v>0</v>
      </c>
      <c r="DQ45" s="937"/>
      <c r="DR45" s="936">
        <v>0</v>
      </c>
      <c r="DS45" s="937"/>
      <c r="DT45" s="936">
        <v>0</v>
      </c>
      <c r="DU45" s="937"/>
      <c r="DV45" s="936">
        <v>0</v>
      </c>
      <c r="DW45" s="937"/>
      <c r="DX45" s="936">
        <v>0</v>
      </c>
      <c r="DY45" s="937"/>
      <c r="DZ45" s="936">
        <v>0</v>
      </c>
      <c r="EA45" s="937"/>
      <c r="EB45" s="936">
        <v>0</v>
      </c>
      <c r="EC45" s="937"/>
      <c r="ED45" s="936">
        <v>8269</v>
      </c>
      <c r="EE45" s="937"/>
      <c r="EF45" s="936">
        <v>8166</v>
      </c>
      <c r="EG45" s="937"/>
      <c r="EH45" s="936">
        <v>9086</v>
      </c>
      <c r="EI45" s="937"/>
      <c r="EJ45" s="936">
        <v>8057</v>
      </c>
      <c r="EK45" s="937"/>
      <c r="EL45" s="936">
        <v>9889</v>
      </c>
      <c r="EM45" s="937"/>
      <c r="EN45" s="936">
        <v>9707</v>
      </c>
      <c r="EO45" s="937"/>
      <c r="EP45" s="936">
        <v>9139</v>
      </c>
      <c r="EQ45" s="937"/>
      <c r="ER45" s="936">
        <v>8265</v>
      </c>
      <c r="ES45" s="937"/>
      <c r="ET45" s="936">
        <v>7262</v>
      </c>
      <c r="EU45" s="937"/>
      <c r="EV45" s="936">
        <v>6097</v>
      </c>
      <c r="EW45" s="937"/>
      <c r="EX45" s="936">
        <v>0</v>
      </c>
      <c r="EY45" s="937"/>
      <c r="EZ45" s="936">
        <v>0</v>
      </c>
      <c r="FA45" s="937"/>
      <c r="FB45" s="936">
        <v>0</v>
      </c>
      <c r="FC45" s="937"/>
      <c r="FD45" s="936">
        <v>0</v>
      </c>
      <c r="FE45" s="937"/>
      <c r="FF45" s="936">
        <v>0</v>
      </c>
      <c r="FG45" s="937"/>
      <c r="FH45" s="938">
        <v>0</v>
      </c>
      <c r="FI45" s="641"/>
      <c r="FJ45" s="932" t="s">
        <v>433</v>
      </c>
      <c r="FK45" s="933"/>
      <c r="FL45" s="933"/>
      <c r="FM45" s="933"/>
      <c r="FN45" s="933"/>
      <c r="FO45" s="934"/>
      <c r="FP45" s="939"/>
      <c r="FQ45" s="940"/>
      <c r="FR45" s="936">
        <v>7828</v>
      </c>
      <c r="FS45" s="941"/>
      <c r="FT45" s="940"/>
      <c r="FU45" s="942">
        <v>7901</v>
      </c>
      <c r="FV45" s="586"/>
      <c r="FW45" s="587"/>
      <c r="FX45" s="799"/>
      <c r="FY45" s="589"/>
      <c r="FZ45" s="800"/>
      <c r="GA45" s="591"/>
      <c r="GB45" s="801"/>
      <c r="GC45" s="593"/>
      <c r="GD45" s="801"/>
      <c r="GE45" s="594"/>
      <c r="GF45" s="647"/>
      <c r="GG45" s="648"/>
      <c r="GH45" s="648"/>
      <c r="GI45" s="648"/>
      <c r="GJ45" s="493"/>
      <c r="GK45" s="943"/>
      <c r="GL45" s="943"/>
      <c r="GM45" s="944"/>
      <c r="GN45" s="944"/>
      <c r="GO45" s="945"/>
      <c r="GP45" s="943"/>
      <c r="GQ45" s="943"/>
      <c r="GR45" s="943"/>
      <c r="GS45" s="946"/>
      <c r="GT45" s="854"/>
      <c r="GU45" s="523" t="s">
        <v>511</v>
      </c>
      <c r="GV45" s="410"/>
      <c r="GW45" s="410"/>
      <c r="GX45" s="410"/>
      <c r="GY45" s="523"/>
      <c r="GZ45" s="726"/>
      <c r="HA45" s="744">
        <v>20</v>
      </c>
      <c r="HB45" s="410" t="s">
        <v>484</v>
      </c>
      <c r="HC45" s="931"/>
      <c r="HD45" s="412"/>
    </row>
    <row r="46" spans="1:219" ht="20.100000000000001" customHeight="1">
      <c r="A46" s="947" t="s">
        <v>305</v>
      </c>
      <c r="B46" s="948"/>
      <c r="C46" s="948"/>
      <c r="D46" s="948"/>
      <c r="E46" s="948"/>
      <c r="F46" s="949"/>
      <c r="G46" s="950" t="s">
        <v>631</v>
      </c>
      <c r="H46" s="951"/>
      <c r="I46" s="1284" t="s">
        <v>631</v>
      </c>
      <c r="J46" s="951"/>
      <c r="K46" s="1284" t="s">
        <v>631</v>
      </c>
      <c r="L46" s="951"/>
      <c r="M46" s="1284" t="s">
        <v>631</v>
      </c>
      <c r="N46" s="951"/>
      <c r="O46" s="1284" t="s">
        <v>631</v>
      </c>
      <c r="P46" s="951"/>
      <c r="Q46" s="1284" t="s">
        <v>631</v>
      </c>
      <c r="R46" s="951"/>
      <c r="S46" s="1284" t="s">
        <v>631</v>
      </c>
      <c r="T46" s="951"/>
      <c r="U46" s="1284" t="s">
        <v>631</v>
      </c>
      <c r="V46" s="951"/>
      <c r="W46" s="1284" t="s">
        <v>631</v>
      </c>
      <c r="X46" s="951"/>
      <c r="Y46" s="1284" t="s">
        <v>631</v>
      </c>
      <c r="Z46" s="951"/>
      <c r="AA46" s="1284" t="s">
        <v>631</v>
      </c>
      <c r="AB46" s="951"/>
      <c r="AC46" s="1284" t="s">
        <v>631</v>
      </c>
      <c r="AD46" s="951"/>
      <c r="AE46" s="1284" t="s">
        <v>631</v>
      </c>
      <c r="AF46" s="951"/>
      <c r="AG46" s="1284" t="s">
        <v>631</v>
      </c>
      <c r="AH46" s="951"/>
      <c r="AI46" s="1284" t="s">
        <v>631</v>
      </c>
      <c r="AJ46" s="951"/>
      <c r="AK46" s="1284" t="s">
        <v>631</v>
      </c>
      <c r="AL46" s="951"/>
      <c r="AM46" s="1284" t="s">
        <v>631</v>
      </c>
      <c r="AN46" s="951"/>
      <c r="AO46" s="1284" t="s">
        <v>631</v>
      </c>
      <c r="AP46" s="951"/>
      <c r="AQ46" s="1284" t="s">
        <v>631</v>
      </c>
      <c r="AR46" s="951"/>
      <c r="AS46" s="1284" t="s">
        <v>631</v>
      </c>
      <c r="AT46" s="951"/>
      <c r="AU46" s="1284" t="s">
        <v>631</v>
      </c>
      <c r="AV46" s="951"/>
      <c r="AW46" s="1284" t="s">
        <v>631</v>
      </c>
      <c r="AX46" s="951"/>
      <c r="AY46" s="1284" t="s">
        <v>631</v>
      </c>
      <c r="AZ46" s="953"/>
      <c r="BA46" s="954" t="s">
        <v>631</v>
      </c>
      <c r="BB46" s="1285"/>
      <c r="BC46" s="956"/>
      <c r="BD46" s="947" t="s">
        <v>632</v>
      </c>
      <c r="BE46" s="948"/>
      <c r="BF46" s="948"/>
      <c r="BG46" s="948"/>
      <c r="BH46" s="948"/>
      <c r="BI46" s="949"/>
      <c r="BJ46" s="950" t="s">
        <v>631</v>
      </c>
      <c r="BK46" s="951"/>
      <c r="BL46" s="1284" t="s">
        <v>631</v>
      </c>
      <c r="BM46" s="951"/>
      <c r="BN46" s="1284" t="s">
        <v>631</v>
      </c>
      <c r="BO46" s="951"/>
      <c r="BP46" s="1284" t="s">
        <v>631</v>
      </c>
      <c r="BQ46" s="951"/>
      <c r="BR46" s="1284" t="s">
        <v>631</v>
      </c>
      <c r="BS46" s="951"/>
      <c r="BT46" s="1284" t="s">
        <v>631</v>
      </c>
      <c r="BU46" s="951"/>
      <c r="BV46" s="1284" t="s">
        <v>631</v>
      </c>
      <c r="BW46" s="951"/>
      <c r="BX46" s="1284" t="s">
        <v>631</v>
      </c>
      <c r="BY46" s="951"/>
      <c r="BZ46" s="1284" t="s">
        <v>631</v>
      </c>
      <c r="CA46" s="951"/>
      <c r="CB46" s="1284" t="s">
        <v>631</v>
      </c>
      <c r="CC46" s="951"/>
      <c r="CD46" s="1284" t="s">
        <v>631</v>
      </c>
      <c r="CE46" s="951"/>
      <c r="CF46" s="1284" t="s">
        <v>631</v>
      </c>
      <c r="CG46" s="951"/>
      <c r="CH46" s="1284" t="s">
        <v>631</v>
      </c>
      <c r="CI46" s="951"/>
      <c r="CJ46" s="1284" t="s">
        <v>631</v>
      </c>
      <c r="CK46" s="951"/>
      <c r="CL46" s="1284" t="s">
        <v>631</v>
      </c>
      <c r="CM46" s="951"/>
      <c r="CN46" s="1284" t="s">
        <v>631</v>
      </c>
      <c r="CO46" s="951"/>
      <c r="CP46" s="1284" t="s">
        <v>631</v>
      </c>
      <c r="CQ46" s="951"/>
      <c r="CR46" s="1284" t="s">
        <v>631</v>
      </c>
      <c r="CS46" s="951"/>
      <c r="CT46" s="1284" t="s">
        <v>631</v>
      </c>
      <c r="CU46" s="951"/>
      <c r="CV46" s="1284" t="s">
        <v>631</v>
      </c>
      <c r="CW46" s="951"/>
      <c r="CX46" s="1284" t="s">
        <v>631</v>
      </c>
      <c r="CY46" s="951"/>
      <c r="CZ46" s="1284" t="s">
        <v>631</v>
      </c>
      <c r="DA46" s="951"/>
      <c r="DB46" s="1284" t="s">
        <v>631</v>
      </c>
      <c r="DC46" s="953"/>
      <c r="DD46" s="954" t="s">
        <v>631</v>
      </c>
      <c r="DE46" s="1285"/>
      <c r="DF46" s="956"/>
      <c r="DG46" s="947" t="s">
        <v>632</v>
      </c>
      <c r="DH46" s="948"/>
      <c r="DI46" s="948"/>
      <c r="DJ46" s="948"/>
      <c r="DK46" s="948"/>
      <c r="DL46" s="949"/>
      <c r="DM46" s="950" t="s">
        <v>631</v>
      </c>
      <c r="DN46" s="951"/>
      <c r="DO46" s="1284" t="s">
        <v>631</v>
      </c>
      <c r="DP46" s="951"/>
      <c r="DQ46" s="1284" t="s">
        <v>631</v>
      </c>
      <c r="DR46" s="951"/>
      <c r="DS46" s="1284" t="s">
        <v>631</v>
      </c>
      <c r="DT46" s="951"/>
      <c r="DU46" s="1284" t="s">
        <v>631</v>
      </c>
      <c r="DV46" s="951"/>
      <c r="DW46" s="1284" t="s">
        <v>631</v>
      </c>
      <c r="DX46" s="951"/>
      <c r="DY46" s="1284" t="s">
        <v>631</v>
      </c>
      <c r="DZ46" s="951"/>
      <c r="EA46" s="1284" t="s">
        <v>631</v>
      </c>
      <c r="EB46" s="951"/>
      <c r="EC46" s="1284" t="s">
        <v>631</v>
      </c>
      <c r="ED46" s="951"/>
      <c r="EE46" s="1284" t="s">
        <v>631</v>
      </c>
      <c r="EF46" s="951"/>
      <c r="EG46" s="1284" t="s">
        <v>631</v>
      </c>
      <c r="EH46" s="951"/>
      <c r="EI46" s="1284" t="s">
        <v>631</v>
      </c>
      <c r="EJ46" s="951"/>
      <c r="EK46" s="1284" t="s">
        <v>631</v>
      </c>
      <c r="EL46" s="951"/>
      <c r="EM46" s="1284" t="s">
        <v>631</v>
      </c>
      <c r="EN46" s="951"/>
      <c r="EO46" s="1284" t="s">
        <v>631</v>
      </c>
      <c r="EP46" s="951"/>
      <c r="EQ46" s="1284" t="s">
        <v>631</v>
      </c>
      <c r="ER46" s="951"/>
      <c r="ES46" s="1284" t="s">
        <v>631</v>
      </c>
      <c r="ET46" s="951"/>
      <c r="EU46" s="1284" t="s">
        <v>631</v>
      </c>
      <c r="EV46" s="951"/>
      <c r="EW46" s="1284" t="s">
        <v>631</v>
      </c>
      <c r="EX46" s="951"/>
      <c r="EY46" s="1284" t="s">
        <v>631</v>
      </c>
      <c r="EZ46" s="951"/>
      <c r="FA46" s="1284" t="s">
        <v>631</v>
      </c>
      <c r="FB46" s="951"/>
      <c r="FC46" s="1284" t="s">
        <v>631</v>
      </c>
      <c r="FD46" s="951"/>
      <c r="FE46" s="1284" t="s">
        <v>631</v>
      </c>
      <c r="FF46" s="953"/>
      <c r="FG46" s="954" t="s">
        <v>631</v>
      </c>
      <c r="FH46" s="1285"/>
      <c r="FI46" s="956"/>
      <c r="FJ46" s="947" t="s">
        <v>306</v>
      </c>
      <c r="FK46" s="948"/>
      <c r="FL46" s="948"/>
      <c r="FM46" s="948"/>
      <c r="FN46" s="948"/>
      <c r="FO46" s="949"/>
      <c r="FP46" s="957"/>
      <c r="FQ46" s="958">
        <v>1</v>
      </c>
      <c r="FR46" s="951"/>
      <c r="FS46" s="959"/>
      <c r="FT46" s="960">
        <v>1</v>
      </c>
      <c r="FU46" s="961"/>
      <c r="FV46" s="911"/>
      <c r="FW46" s="912"/>
      <c r="FX46" s="913"/>
      <c r="FY46" s="914"/>
      <c r="FZ46" s="915"/>
      <c r="GA46" s="916"/>
      <c r="GB46" s="917"/>
      <c r="GC46" s="918"/>
      <c r="GD46" s="917"/>
      <c r="GE46" s="919"/>
      <c r="GF46" s="681"/>
      <c r="GG46" s="962"/>
      <c r="GH46" s="962"/>
      <c r="GI46" s="962"/>
      <c r="GJ46" s="410"/>
      <c r="GK46" s="406" t="s">
        <v>513</v>
      </c>
      <c r="GL46" s="410"/>
      <c r="GM46" s="743"/>
      <c r="GN46" s="743"/>
      <c r="GO46" s="743"/>
      <c r="GP46" s="743"/>
      <c r="GQ46" s="743"/>
      <c r="GR46" s="854"/>
      <c r="GS46" s="573"/>
      <c r="GT46" s="756"/>
      <c r="GU46" s="767" t="s">
        <v>655</v>
      </c>
      <c r="GV46" s="767"/>
      <c r="GW46" s="767"/>
      <c r="GX46" s="767"/>
      <c r="GY46" s="608"/>
      <c r="GZ46" s="768"/>
      <c r="HA46" s="744">
        <v>23.9</v>
      </c>
      <c r="HB46" s="410" t="s">
        <v>304</v>
      </c>
      <c r="HC46" s="931"/>
      <c r="HD46" s="412"/>
    </row>
    <row r="47" spans="1:219" ht="20.100000000000001" customHeight="1" thickBot="1">
      <c r="A47" s="963" t="s">
        <v>307</v>
      </c>
      <c r="B47" s="964"/>
      <c r="C47" s="964"/>
      <c r="D47" s="965"/>
      <c r="E47" s="966"/>
      <c r="F47" s="966"/>
      <c r="G47" s="967"/>
      <c r="H47" s="968">
        <v>0</v>
      </c>
      <c r="I47" s="969"/>
      <c r="J47" s="968">
        <v>0</v>
      </c>
      <c r="K47" s="969"/>
      <c r="L47" s="968">
        <v>0</v>
      </c>
      <c r="M47" s="969"/>
      <c r="N47" s="968">
        <v>0</v>
      </c>
      <c r="O47" s="969"/>
      <c r="P47" s="968">
        <v>0</v>
      </c>
      <c r="Q47" s="969"/>
      <c r="R47" s="968">
        <v>0</v>
      </c>
      <c r="S47" s="969"/>
      <c r="T47" s="968">
        <v>0</v>
      </c>
      <c r="U47" s="969"/>
      <c r="V47" s="968">
        <v>0</v>
      </c>
      <c r="W47" s="969"/>
      <c r="X47" s="968">
        <v>8238</v>
      </c>
      <c r="Y47" s="969"/>
      <c r="Z47" s="968">
        <v>7359</v>
      </c>
      <c r="AA47" s="969"/>
      <c r="AB47" s="968">
        <v>7916</v>
      </c>
      <c r="AC47" s="969"/>
      <c r="AD47" s="968">
        <v>6783</v>
      </c>
      <c r="AE47" s="969"/>
      <c r="AF47" s="968">
        <v>8739</v>
      </c>
      <c r="AG47" s="969"/>
      <c r="AH47" s="968">
        <v>8727</v>
      </c>
      <c r="AI47" s="969"/>
      <c r="AJ47" s="968">
        <v>8446</v>
      </c>
      <c r="AK47" s="969"/>
      <c r="AL47" s="968">
        <v>7941</v>
      </c>
      <c r="AM47" s="969"/>
      <c r="AN47" s="968">
        <v>7356</v>
      </c>
      <c r="AO47" s="969"/>
      <c r="AP47" s="968">
        <v>6439</v>
      </c>
      <c r="AQ47" s="969"/>
      <c r="AR47" s="968">
        <v>0</v>
      </c>
      <c r="AS47" s="969"/>
      <c r="AT47" s="968">
        <v>0</v>
      </c>
      <c r="AU47" s="969"/>
      <c r="AV47" s="968">
        <v>0</v>
      </c>
      <c r="AW47" s="969"/>
      <c r="AX47" s="968">
        <v>0</v>
      </c>
      <c r="AY47" s="970"/>
      <c r="AZ47" s="971">
        <v>0</v>
      </c>
      <c r="BA47" s="972"/>
      <c r="BB47" s="973">
        <v>0</v>
      </c>
      <c r="BC47" s="974"/>
      <c r="BD47" s="963" t="s">
        <v>307</v>
      </c>
      <c r="BE47" s="964"/>
      <c r="BF47" s="964"/>
      <c r="BG47" s="965"/>
      <c r="BH47" s="966"/>
      <c r="BI47" s="966"/>
      <c r="BJ47" s="967"/>
      <c r="BK47" s="968">
        <v>0</v>
      </c>
      <c r="BL47" s="969"/>
      <c r="BM47" s="968">
        <v>0</v>
      </c>
      <c r="BN47" s="969"/>
      <c r="BO47" s="968">
        <v>0</v>
      </c>
      <c r="BP47" s="969"/>
      <c r="BQ47" s="968">
        <v>0</v>
      </c>
      <c r="BR47" s="969"/>
      <c r="BS47" s="968">
        <v>0</v>
      </c>
      <c r="BT47" s="969"/>
      <c r="BU47" s="968">
        <v>0</v>
      </c>
      <c r="BV47" s="969"/>
      <c r="BW47" s="968">
        <v>0</v>
      </c>
      <c r="BX47" s="969"/>
      <c r="BY47" s="968">
        <v>0</v>
      </c>
      <c r="BZ47" s="969"/>
      <c r="CA47" s="968">
        <v>8194</v>
      </c>
      <c r="CB47" s="969"/>
      <c r="CC47" s="968">
        <v>7385</v>
      </c>
      <c r="CD47" s="969"/>
      <c r="CE47" s="968">
        <v>8016</v>
      </c>
      <c r="CF47" s="969"/>
      <c r="CG47" s="968">
        <v>6956</v>
      </c>
      <c r="CH47" s="969"/>
      <c r="CI47" s="968">
        <v>8915</v>
      </c>
      <c r="CJ47" s="969"/>
      <c r="CK47" s="968">
        <v>8960</v>
      </c>
      <c r="CL47" s="969"/>
      <c r="CM47" s="968">
        <v>8726</v>
      </c>
      <c r="CN47" s="969"/>
      <c r="CO47" s="968">
        <v>8254</v>
      </c>
      <c r="CP47" s="969"/>
      <c r="CQ47" s="968">
        <v>7606</v>
      </c>
      <c r="CR47" s="969"/>
      <c r="CS47" s="968">
        <v>6593</v>
      </c>
      <c r="CT47" s="969"/>
      <c r="CU47" s="968">
        <v>0</v>
      </c>
      <c r="CV47" s="969"/>
      <c r="CW47" s="968">
        <v>0</v>
      </c>
      <c r="CX47" s="969"/>
      <c r="CY47" s="968">
        <v>0</v>
      </c>
      <c r="CZ47" s="969"/>
      <c r="DA47" s="968">
        <v>0</v>
      </c>
      <c r="DB47" s="970"/>
      <c r="DC47" s="971">
        <v>0</v>
      </c>
      <c r="DD47" s="972"/>
      <c r="DE47" s="973">
        <v>0</v>
      </c>
      <c r="DF47" s="974"/>
      <c r="DG47" s="963" t="s">
        <v>437</v>
      </c>
      <c r="DH47" s="964"/>
      <c r="DI47" s="964"/>
      <c r="DJ47" s="965"/>
      <c r="DK47" s="966"/>
      <c r="DL47" s="966"/>
      <c r="DM47" s="967"/>
      <c r="DN47" s="968">
        <v>0</v>
      </c>
      <c r="DO47" s="969"/>
      <c r="DP47" s="968">
        <v>0</v>
      </c>
      <c r="DQ47" s="969"/>
      <c r="DR47" s="968">
        <v>0</v>
      </c>
      <c r="DS47" s="969"/>
      <c r="DT47" s="968">
        <v>0</v>
      </c>
      <c r="DU47" s="969"/>
      <c r="DV47" s="968">
        <v>0</v>
      </c>
      <c r="DW47" s="969"/>
      <c r="DX47" s="968">
        <v>0</v>
      </c>
      <c r="DY47" s="969"/>
      <c r="DZ47" s="968">
        <v>0</v>
      </c>
      <c r="EA47" s="969"/>
      <c r="EB47" s="968">
        <v>0</v>
      </c>
      <c r="EC47" s="969"/>
      <c r="ED47" s="968">
        <v>8269</v>
      </c>
      <c r="EE47" s="969"/>
      <c r="EF47" s="968">
        <v>8166</v>
      </c>
      <c r="EG47" s="969"/>
      <c r="EH47" s="968">
        <v>9086</v>
      </c>
      <c r="EI47" s="969"/>
      <c r="EJ47" s="968">
        <v>8057</v>
      </c>
      <c r="EK47" s="969"/>
      <c r="EL47" s="968">
        <v>9889</v>
      </c>
      <c r="EM47" s="969"/>
      <c r="EN47" s="968">
        <v>9707</v>
      </c>
      <c r="EO47" s="969"/>
      <c r="EP47" s="968">
        <v>9139</v>
      </c>
      <c r="EQ47" s="969"/>
      <c r="ER47" s="968">
        <v>8265</v>
      </c>
      <c r="ES47" s="969"/>
      <c r="ET47" s="968">
        <v>7262</v>
      </c>
      <c r="EU47" s="969"/>
      <c r="EV47" s="968">
        <v>6097</v>
      </c>
      <c r="EW47" s="969"/>
      <c r="EX47" s="968">
        <v>0</v>
      </c>
      <c r="EY47" s="969"/>
      <c r="EZ47" s="968">
        <v>0</v>
      </c>
      <c r="FA47" s="969"/>
      <c r="FB47" s="968">
        <v>0</v>
      </c>
      <c r="FC47" s="969"/>
      <c r="FD47" s="968">
        <v>0</v>
      </c>
      <c r="FE47" s="970"/>
      <c r="FF47" s="971">
        <v>0</v>
      </c>
      <c r="FG47" s="972"/>
      <c r="FH47" s="973">
        <v>0</v>
      </c>
      <c r="FI47" s="974"/>
      <c r="FJ47" s="963" t="s">
        <v>307</v>
      </c>
      <c r="FK47" s="964"/>
      <c r="FL47" s="964"/>
      <c r="FM47" s="965"/>
      <c r="FN47" s="966"/>
      <c r="FO47" s="966"/>
      <c r="FP47" s="975"/>
      <c r="FQ47" s="976"/>
      <c r="FR47" s="968">
        <v>7828</v>
      </c>
      <c r="FS47" s="977"/>
      <c r="FT47" s="976"/>
      <c r="FU47" s="978">
        <v>7901</v>
      </c>
      <c r="FV47" s="979">
        <v>13</v>
      </c>
      <c r="FW47" s="968">
        <v>8739</v>
      </c>
      <c r="FX47" s="980">
        <v>14</v>
      </c>
      <c r="FY47" s="968">
        <v>8960</v>
      </c>
      <c r="FZ47" s="980">
        <v>13</v>
      </c>
      <c r="GA47" s="968">
        <v>9889</v>
      </c>
      <c r="GB47" s="981" t="s">
        <v>621</v>
      </c>
      <c r="GC47" s="968">
        <v>9889</v>
      </c>
      <c r="GD47" s="981" t="s">
        <v>623</v>
      </c>
      <c r="GE47" s="982">
        <v>7901</v>
      </c>
      <c r="GF47" s="681"/>
      <c r="GG47" s="983"/>
      <c r="GH47" s="983"/>
      <c r="GI47" s="983"/>
      <c r="GJ47" s="886"/>
      <c r="GK47" s="410" t="s">
        <v>656</v>
      </c>
      <c r="GL47" s="886"/>
      <c r="GM47" s="523"/>
      <c r="GN47" s="886"/>
      <c r="GO47" s="523"/>
      <c r="GP47" s="523"/>
      <c r="GQ47" s="523"/>
      <c r="GR47" s="886"/>
      <c r="GS47" s="523"/>
      <c r="GT47" s="756"/>
      <c r="GU47" s="767" t="s">
        <v>657</v>
      </c>
      <c r="GV47" s="767"/>
      <c r="GW47" s="767"/>
      <c r="GX47" s="767"/>
      <c r="GY47" s="523"/>
      <c r="GZ47" s="410"/>
      <c r="HA47" s="771">
        <v>0.17</v>
      </c>
      <c r="HB47" s="410"/>
      <c r="HC47" s="974"/>
      <c r="HD47" s="412"/>
    </row>
    <row r="48" spans="1:219" ht="20.100000000000001" customHeight="1">
      <c r="A48" s="984" t="s">
        <v>438</v>
      </c>
      <c r="B48" s="985" t="s">
        <v>442</v>
      </c>
      <c r="C48" s="888"/>
      <c r="D48" s="818"/>
      <c r="E48" s="818"/>
      <c r="F48" s="819"/>
      <c r="G48" s="733" t="s">
        <v>441</v>
      </c>
      <c r="H48" s="656" t="s">
        <v>388</v>
      </c>
      <c r="I48" s="735" t="s">
        <v>440</v>
      </c>
      <c r="J48" s="986" t="s">
        <v>385</v>
      </c>
      <c r="K48" s="735" t="s">
        <v>440</v>
      </c>
      <c r="L48" s="986" t="s">
        <v>388</v>
      </c>
      <c r="M48" s="735" t="s">
        <v>440</v>
      </c>
      <c r="N48" s="986" t="s">
        <v>385</v>
      </c>
      <c r="O48" s="735" t="s">
        <v>440</v>
      </c>
      <c r="P48" s="986" t="s">
        <v>385</v>
      </c>
      <c r="Q48" s="735" t="s">
        <v>440</v>
      </c>
      <c r="R48" s="986" t="s">
        <v>388</v>
      </c>
      <c r="S48" s="735" t="s">
        <v>440</v>
      </c>
      <c r="T48" s="986" t="s">
        <v>385</v>
      </c>
      <c r="U48" s="735" t="s">
        <v>440</v>
      </c>
      <c r="V48" s="986" t="s">
        <v>388</v>
      </c>
      <c r="W48" s="735" t="s">
        <v>440</v>
      </c>
      <c r="X48" s="986" t="s">
        <v>388</v>
      </c>
      <c r="Y48" s="735" t="s">
        <v>440</v>
      </c>
      <c r="Z48" s="986" t="s">
        <v>385</v>
      </c>
      <c r="AA48" s="735" t="s">
        <v>440</v>
      </c>
      <c r="AB48" s="986" t="s">
        <v>385</v>
      </c>
      <c r="AC48" s="735" t="s">
        <v>441</v>
      </c>
      <c r="AD48" s="986" t="s">
        <v>388</v>
      </c>
      <c r="AE48" s="735" t="s">
        <v>440</v>
      </c>
      <c r="AF48" s="986" t="s">
        <v>385</v>
      </c>
      <c r="AG48" s="735" t="s">
        <v>441</v>
      </c>
      <c r="AH48" s="986" t="s">
        <v>388</v>
      </c>
      <c r="AI48" s="735" t="s">
        <v>440</v>
      </c>
      <c r="AJ48" s="986" t="s">
        <v>388</v>
      </c>
      <c r="AK48" s="735" t="s">
        <v>440</v>
      </c>
      <c r="AL48" s="986" t="s">
        <v>388</v>
      </c>
      <c r="AM48" s="735" t="s">
        <v>441</v>
      </c>
      <c r="AN48" s="986" t="s">
        <v>388</v>
      </c>
      <c r="AO48" s="735" t="s">
        <v>441</v>
      </c>
      <c r="AP48" s="986" t="s">
        <v>388</v>
      </c>
      <c r="AQ48" s="735" t="s">
        <v>441</v>
      </c>
      <c r="AR48" s="986" t="s">
        <v>385</v>
      </c>
      <c r="AS48" s="735" t="s">
        <v>440</v>
      </c>
      <c r="AT48" s="986" t="s">
        <v>385</v>
      </c>
      <c r="AU48" s="735" t="s">
        <v>440</v>
      </c>
      <c r="AV48" s="986" t="s">
        <v>385</v>
      </c>
      <c r="AW48" s="735" t="s">
        <v>441</v>
      </c>
      <c r="AX48" s="986" t="s">
        <v>385</v>
      </c>
      <c r="AY48" s="735" t="s">
        <v>440</v>
      </c>
      <c r="AZ48" s="987" t="s">
        <v>385</v>
      </c>
      <c r="BA48" s="988" t="s">
        <v>440</v>
      </c>
      <c r="BB48" s="989" t="s">
        <v>388</v>
      </c>
      <c r="BC48" s="925"/>
      <c r="BD48" s="984" t="s">
        <v>443</v>
      </c>
      <c r="BE48" s="985" t="s">
        <v>442</v>
      </c>
      <c r="BF48" s="888"/>
      <c r="BG48" s="818"/>
      <c r="BH48" s="818"/>
      <c r="BI48" s="819"/>
      <c r="BJ48" s="733" t="s">
        <v>440</v>
      </c>
      <c r="BK48" s="656" t="s">
        <v>385</v>
      </c>
      <c r="BL48" s="735" t="s">
        <v>441</v>
      </c>
      <c r="BM48" s="986" t="s">
        <v>388</v>
      </c>
      <c r="BN48" s="735" t="s">
        <v>440</v>
      </c>
      <c r="BO48" s="986" t="s">
        <v>388</v>
      </c>
      <c r="BP48" s="735" t="s">
        <v>441</v>
      </c>
      <c r="BQ48" s="986" t="s">
        <v>388</v>
      </c>
      <c r="BR48" s="735" t="s">
        <v>440</v>
      </c>
      <c r="BS48" s="986" t="s">
        <v>388</v>
      </c>
      <c r="BT48" s="735" t="s">
        <v>440</v>
      </c>
      <c r="BU48" s="986" t="s">
        <v>388</v>
      </c>
      <c r="BV48" s="735" t="s">
        <v>441</v>
      </c>
      <c r="BW48" s="986" t="s">
        <v>385</v>
      </c>
      <c r="BX48" s="735" t="s">
        <v>441</v>
      </c>
      <c r="BY48" s="986" t="s">
        <v>388</v>
      </c>
      <c r="BZ48" s="735" t="s">
        <v>440</v>
      </c>
      <c r="CA48" s="986" t="s">
        <v>385</v>
      </c>
      <c r="CB48" s="735" t="s">
        <v>440</v>
      </c>
      <c r="CC48" s="986" t="s">
        <v>385</v>
      </c>
      <c r="CD48" s="735" t="s">
        <v>440</v>
      </c>
      <c r="CE48" s="986" t="s">
        <v>388</v>
      </c>
      <c r="CF48" s="735" t="s">
        <v>440</v>
      </c>
      <c r="CG48" s="986" t="s">
        <v>385</v>
      </c>
      <c r="CH48" s="735" t="s">
        <v>440</v>
      </c>
      <c r="CI48" s="986" t="s">
        <v>388</v>
      </c>
      <c r="CJ48" s="735" t="s">
        <v>440</v>
      </c>
      <c r="CK48" s="986" t="s">
        <v>388</v>
      </c>
      <c r="CL48" s="735" t="s">
        <v>440</v>
      </c>
      <c r="CM48" s="986" t="s">
        <v>385</v>
      </c>
      <c r="CN48" s="735" t="s">
        <v>440</v>
      </c>
      <c r="CO48" s="986" t="s">
        <v>385</v>
      </c>
      <c r="CP48" s="735" t="s">
        <v>441</v>
      </c>
      <c r="CQ48" s="986" t="s">
        <v>388</v>
      </c>
      <c r="CR48" s="735" t="s">
        <v>440</v>
      </c>
      <c r="CS48" s="986" t="s">
        <v>385</v>
      </c>
      <c r="CT48" s="735" t="s">
        <v>441</v>
      </c>
      <c r="CU48" s="986" t="s">
        <v>388</v>
      </c>
      <c r="CV48" s="735" t="s">
        <v>440</v>
      </c>
      <c r="CW48" s="986" t="s">
        <v>388</v>
      </c>
      <c r="CX48" s="735" t="s">
        <v>440</v>
      </c>
      <c r="CY48" s="986" t="s">
        <v>388</v>
      </c>
      <c r="CZ48" s="735" t="s">
        <v>441</v>
      </c>
      <c r="DA48" s="986" t="s">
        <v>388</v>
      </c>
      <c r="DB48" s="735" t="s">
        <v>441</v>
      </c>
      <c r="DC48" s="987" t="s">
        <v>388</v>
      </c>
      <c r="DD48" s="988" t="s">
        <v>441</v>
      </c>
      <c r="DE48" s="989" t="s">
        <v>385</v>
      </c>
      <c r="DF48" s="925"/>
      <c r="DG48" s="984" t="s">
        <v>438</v>
      </c>
      <c r="DH48" s="985" t="s">
        <v>442</v>
      </c>
      <c r="DI48" s="888"/>
      <c r="DJ48" s="818"/>
      <c r="DK48" s="818"/>
      <c r="DL48" s="819"/>
      <c r="DM48" s="733" t="s">
        <v>440</v>
      </c>
      <c r="DN48" s="656" t="s">
        <v>388</v>
      </c>
      <c r="DO48" s="735" t="s">
        <v>441</v>
      </c>
      <c r="DP48" s="986" t="s">
        <v>388</v>
      </c>
      <c r="DQ48" s="735" t="s">
        <v>440</v>
      </c>
      <c r="DR48" s="986" t="s">
        <v>385</v>
      </c>
      <c r="DS48" s="735" t="s">
        <v>440</v>
      </c>
      <c r="DT48" s="986" t="s">
        <v>388</v>
      </c>
      <c r="DU48" s="735" t="s">
        <v>441</v>
      </c>
      <c r="DV48" s="986" t="s">
        <v>385</v>
      </c>
      <c r="DW48" s="735" t="s">
        <v>440</v>
      </c>
      <c r="DX48" s="986" t="s">
        <v>388</v>
      </c>
      <c r="DY48" s="735" t="s">
        <v>441</v>
      </c>
      <c r="DZ48" s="986" t="s">
        <v>388</v>
      </c>
      <c r="EA48" s="735" t="s">
        <v>440</v>
      </c>
      <c r="EB48" s="986" t="s">
        <v>385</v>
      </c>
      <c r="EC48" s="735" t="s">
        <v>441</v>
      </c>
      <c r="ED48" s="986" t="s">
        <v>388</v>
      </c>
      <c r="EE48" s="735" t="s">
        <v>440</v>
      </c>
      <c r="EF48" s="986" t="s">
        <v>385</v>
      </c>
      <c r="EG48" s="735" t="s">
        <v>440</v>
      </c>
      <c r="EH48" s="986" t="s">
        <v>388</v>
      </c>
      <c r="EI48" s="735" t="s">
        <v>441</v>
      </c>
      <c r="EJ48" s="986" t="s">
        <v>385</v>
      </c>
      <c r="EK48" s="735" t="s">
        <v>441</v>
      </c>
      <c r="EL48" s="986" t="s">
        <v>388</v>
      </c>
      <c r="EM48" s="735" t="s">
        <v>440</v>
      </c>
      <c r="EN48" s="986" t="s">
        <v>385</v>
      </c>
      <c r="EO48" s="735" t="s">
        <v>440</v>
      </c>
      <c r="EP48" s="986" t="s">
        <v>385</v>
      </c>
      <c r="EQ48" s="735" t="s">
        <v>440</v>
      </c>
      <c r="ER48" s="986" t="s">
        <v>388</v>
      </c>
      <c r="ES48" s="735" t="s">
        <v>440</v>
      </c>
      <c r="ET48" s="986" t="s">
        <v>385</v>
      </c>
      <c r="EU48" s="735" t="s">
        <v>440</v>
      </c>
      <c r="EV48" s="986" t="s">
        <v>388</v>
      </c>
      <c r="EW48" s="735" t="s">
        <v>440</v>
      </c>
      <c r="EX48" s="986" t="s">
        <v>388</v>
      </c>
      <c r="EY48" s="735" t="s">
        <v>440</v>
      </c>
      <c r="EZ48" s="986" t="s">
        <v>385</v>
      </c>
      <c r="FA48" s="735" t="s">
        <v>440</v>
      </c>
      <c r="FB48" s="986" t="s">
        <v>385</v>
      </c>
      <c r="FC48" s="735" t="s">
        <v>441</v>
      </c>
      <c r="FD48" s="986" t="s">
        <v>388</v>
      </c>
      <c r="FE48" s="735" t="s">
        <v>440</v>
      </c>
      <c r="FF48" s="987" t="s">
        <v>385</v>
      </c>
      <c r="FG48" s="988" t="s">
        <v>441</v>
      </c>
      <c r="FH48" s="989" t="s">
        <v>388</v>
      </c>
      <c r="FI48" s="925"/>
      <c r="FJ48" s="984" t="s">
        <v>438</v>
      </c>
      <c r="FK48" s="731" t="s">
        <v>439</v>
      </c>
      <c r="FL48" s="888"/>
      <c r="FM48" s="818"/>
      <c r="FN48" s="818"/>
      <c r="FO48" s="819"/>
      <c r="FP48" s="740" t="s">
        <v>407</v>
      </c>
      <c r="FQ48" s="666" t="s">
        <v>441</v>
      </c>
      <c r="FR48" s="656" t="s">
        <v>408</v>
      </c>
      <c r="FS48" s="990" t="s">
        <v>390</v>
      </c>
      <c r="FT48" s="666" t="s">
        <v>440</v>
      </c>
      <c r="FU48" s="991" t="s">
        <v>391</v>
      </c>
      <c r="FV48" s="992"/>
      <c r="FW48" s="986" t="s">
        <v>289</v>
      </c>
      <c r="FX48" s="990"/>
      <c r="FY48" s="986" t="s">
        <v>289</v>
      </c>
      <c r="FZ48" s="990"/>
      <c r="GA48" s="986" t="s">
        <v>289</v>
      </c>
      <c r="GB48" s="990"/>
      <c r="GC48" s="986" t="s">
        <v>289</v>
      </c>
      <c r="GD48" s="990"/>
      <c r="GE48" s="993" t="s">
        <v>290</v>
      </c>
      <c r="GF48" s="681"/>
      <c r="GG48" s="648"/>
      <c r="GH48" s="648"/>
      <c r="GI48" s="648"/>
      <c r="GJ48" s="523"/>
      <c r="GK48" s="608" t="s">
        <v>658</v>
      </c>
      <c r="GL48" s="523"/>
      <c r="GM48" s="608"/>
      <c r="GN48" s="523"/>
      <c r="GO48" s="608"/>
      <c r="GP48" s="608"/>
      <c r="GQ48" s="608"/>
      <c r="GR48" s="523"/>
      <c r="GS48" s="523"/>
      <c r="GT48" s="493"/>
      <c r="GU48" s="493"/>
      <c r="GV48" s="493"/>
      <c r="GW48" s="572"/>
      <c r="GX48" s="572"/>
      <c r="GY48" s="572"/>
      <c r="GZ48" s="571"/>
      <c r="HA48" s="493"/>
      <c r="HB48" s="493"/>
      <c r="HC48" s="974"/>
      <c r="HD48" s="412"/>
    </row>
    <row r="49" spans="1:212" ht="20.100000000000001" customHeight="1">
      <c r="A49" s="994"/>
      <c r="B49" s="745" t="s">
        <v>392</v>
      </c>
      <c r="C49" s="995"/>
      <c r="D49" s="747">
        <v>66</v>
      </c>
      <c r="E49" s="748">
        <v>16</v>
      </c>
      <c r="F49" s="996" t="s">
        <v>393</v>
      </c>
      <c r="G49" s="750"/>
      <c r="H49" s="552"/>
      <c r="I49" s="751"/>
      <c r="J49" s="552"/>
      <c r="K49" s="751"/>
      <c r="L49" s="552"/>
      <c r="M49" s="751"/>
      <c r="N49" s="552"/>
      <c r="O49" s="751"/>
      <c r="P49" s="552"/>
      <c r="Q49" s="751"/>
      <c r="R49" s="552"/>
      <c r="S49" s="751"/>
      <c r="T49" s="552"/>
      <c r="U49" s="751"/>
      <c r="V49" s="552"/>
      <c r="W49" s="751">
        <v>1</v>
      </c>
      <c r="X49" s="552">
        <v>1056</v>
      </c>
      <c r="Y49" s="751">
        <v>1</v>
      </c>
      <c r="Z49" s="552">
        <v>1056</v>
      </c>
      <c r="AA49" s="751">
        <v>1</v>
      </c>
      <c r="AB49" s="552">
        <v>1056</v>
      </c>
      <c r="AC49" s="751">
        <v>0.6</v>
      </c>
      <c r="AD49" s="552">
        <v>634</v>
      </c>
      <c r="AE49" s="751">
        <v>1</v>
      </c>
      <c r="AF49" s="552">
        <v>1056</v>
      </c>
      <c r="AG49" s="751">
        <v>1</v>
      </c>
      <c r="AH49" s="552">
        <v>1056</v>
      </c>
      <c r="AI49" s="751">
        <v>1</v>
      </c>
      <c r="AJ49" s="552">
        <v>1056</v>
      </c>
      <c r="AK49" s="751">
        <v>1</v>
      </c>
      <c r="AL49" s="552">
        <v>1056</v>
      </c>
      <c r="AM49" s="751">
        <v>1</v>
      </c>
      <c r="AN49" s="552">
        <v>1056</v>
      </c>
      <c r="AO49" s="751">
        <v>0.5</v>
      </c>
      <c r="AP49" s="552">
        <v>528</v>
      </c>
      <c r="AQ49" s="751"/>
      <c r="AR49" s="552"/>
      <c r="AS49" s="751"/>
      <c r="AT49" s="552"/>
      <c r="AU49" s="751"/>
      <c r="AV49" s="552"/>
      <c r="AW49" s="751"/>
      <c r="AX49" s="552"/>
      <c r="AY49" s="997"/>
      <c r="AZ49" s="998"/>
      <c r="BA49" s="999"/>
      <c r="BB49" s="1000"/>
      <c r="BC49" s="931"/>
      <c r="BD49" s="994"/>
      <c r="BE49" s="745" t="s">
        <v>392</v>
      </c>
      <c r="BF49" s="995"/>
      <c r="BG49" s="747"/>
      <c r="BH49" s="748">
        <v>16</v>
      </c>
      <c r="BI49" s="996" t="s">
        <v>393</v>
      </c>
      <c r="BJ49" s="750"/>
      <c r="BK49" s="552"/>
      <c r="BL49" s="751"/>
      <c r="BM49" s="552"/>
      <c r="BN49" s="751"/>
      <c r="BO49" s="552"/>
      <c r="BP49" s="751"/>
      <c r="BQ49" s="552"/>
      <c r="BR49" s="751"/>
      <c r="BS49" s="552"/>
      <c r="BT49" s="751"/>
      <c r="BU49" s="552"/>
      <c r="BV49" s="751"/>
      <c r="BW49" s="552"/>
      <c r="BX49" s="751"/>
      <c r="BY49" s="552"/>
      <c r="BZ49" s="751">
        <v>1</v>
      </c>
      <c r="CA49" s="552">
        <v>1056</v>
      </c>
      <c r="CB49" s="751">
        <v>1</v>
      </c>
      <c r="CC49" s="552">
        <v>1056</v>
      </c>
      <c r="CD49" s="751">
        <v>1</v>
      </c>
      <c r="CE49" s="552">
        <v>1056</v>
      </c>
      <c r="CF49" s="751">
        <v>0.6</v>
      </c>
      <c r="CG49" s="552">
        <v>634</v>
      </c>
      <c r="CH49" s="751">
        <v>1</v>
      </c>
      <c r="CI49" s="552">
        <v>1056</v>
      </c>
      <c r="CJ49" s="751">
        <v>1</v>
      </c>
      <c r="CK49" s="552">
        <v>1056</v>
      </c>
      <c r="CL49" s="751">
        <v>1</v>
      </c>
      <c r="CM49" s="552">
        <v>1056</v>
      </c>
      <c r="CN49" s="751">
        <v>1</v>
      </c>
      <c r="CO49" s="552">
        <v>1056</v>
      </c>
      <c r="CP49" s="751">
        <v>1</v>
      </c>
      <c r="CQ49" s="552">
        <v>1056</v>
      </c>
      <c r="CR49" s="751">
        <v>0.5</v>
      </c>
      <c r="CS49" s="552">
        <v>528</v>
      </c>
      <c r="CT49" s="751"/>
      <c r="CU49" s="552"/>
      <c r="CV49" s="751"/>
      <c r="CW49" s="552"/>
      <c r="CX49" s="751"/>
      <c r="CY49" s="552"/>
      <c r="CZ49" s="751"/>
      <c r="DA49" s="552"/>
      <c r="DB49" s="997"/>
      <c r="DC49" s="998"/>
      <c r="DD49" s="999"/>
      <c r="DE49" s="1000"/>
      <c r="DF49" s="931"/>
      <c r="DG49" s="994"/>
      <c r="DH49" s="745" t="s">
        <v>394</v>
      </c>
      <c r="DI49" s="995"/>
      <c r="DJ49" s="747"/>
      <c r="DK49" s="748">
        <v>16</v>
      </c>
      <c r="DL49" s="996" t="s">
        <v>393</v>
      </c>
      <c r="DM49" s="750"/>
      <c r="DN49" s="552"/>
      <c r="DO49" s="751"/>
      <c r="DP49" s="552"/>
      <c r="DQ49" s="751"/>
      <c r="DR49" s="552"/>
      <c r="DS49" s="751"/>
      <c r="DT49" s="552"/>
      <c r="DU49" s="751"/>
      <c r="DV49" s="552"/>
      <c r="DW49" s="751"/>
      <c r="DX49" s="552"/>
      <c r="DY49" s="751"/>
      <c r="DZ49" s="552"/>
      <c r="EA49" s="751"/>
      <c r="EB49" s="552"/>
      <c r="EC49" s="751">
        <v>1</v>
      </c>
      <c r="ED49" s="552">
        <v>1056</v>
      </c>
      <c r="EE49" s="751">
        <v>1</v>
      </c>
      <c r="EF49" s="552">
        <v>1056</v>
      </c>
      <c r="EG49" s="751">
        <v>1</v>
      </c>
      <c r="EH49" s="552">
        <v>1056</v>
      </c>
      <c r="EI49" s="751">
        <v>0.6</v>
      </c>
      <c r="EJ49" s="552">
        <v>634</v>
      </c>
      <c r="EK49" s="751">
        <v>1</v>
      </c>
      <c r="EL49" s="552">
        <v>1056</v>
      </c>
      <c r="EM49" s="751">
        <v>1</v>
      </c>
      <c r="EN49" s="552">
        <v>1056</v>
      </c>
      <c r="EO49" s="751">
        <v>1</v>
      </c>
      <c r="EP49" s="552">
        <v>1056</v>
      </c>
      <c r="EQ49" s="751">
        <v>1</v>
      </c>
      <c r="ER49" s="552">
        <v>1056</v>
      </c>
      <c r="ES49" s="751">
        <v>1</v>
      </c>
      <c r="ET49" s="552">
        <v>1056</v>
      </c>
      <c r="EU49" s="751">
        <v>0.5</v>
      </c>
      <c r="EV49" s="552">
        <v>528</v>
      </c>
      <c r="EW49" s="751"/>
      <c r="EX49" s="552"/>
      <c r="EY49" s="751"/>
      <c r="EZ49" s="552"/>
      <c r="FA49" s="751"/>
      <c r="FB49" s="552"/>
      <c r="FC49" s="751"/>
      <c r="FD49" s="552"/>
      <c r="FE49" s="997"/>
      <c r="FF49" s="998"/>
      <c r="FG49" s="999"/>
      <c r="FH49" s="1000"/>
      <c r="FI49" s="931"/>
      <c r="FJ49" s="994"/>
      <c r="FK49" s="745" t="s">
        <v>394</v>
      </c>
      <c r="FL49" s="995"/>
      <c r="FM49" s="752"/>
      <c r="FN49" s="748">
        <v>0</v>
      </c>
      <c r="FO49" s="996"/>
      <c r="FP49" s="678"/>
      <c r="FQ49" s="753"/>
      <c r="FR49" s="580">
        <v>0</v>
      </c>
      <c r="FS49" s="754"/>
      <c r="FT49" s="753"/>
      <c r="FU49" s="560">
        <v>0</v>
      </c>
      <c r="FV49" s="1001" t="s">
        <v>308</v>
      </c>
      <c r="FW49" s="1002"/>
      <c r="FX49" s="1003" t="s">
        <v>309</v>
      </c>
      <c r="FY49" s="1004"/>
      <c r="FZ49" s="1005" t="s">
        <v>310</v>
      </c>
      <c r="GA49" s="1006"/>
      <c r="GB49" s="1007" t="s">
        <v>311</v>
      </c>
      <c r="GC49" s="1008"/>
      <c r="GD49" s="1007" t="s">
        <v>312</v>
      </c>
      <c r="GE49" s="1009"/>
      <c r="GF49" s="681"/>
      <c r="GG49" s="595"/>
      <c r="GH49" s="595"/>
      <c r="GI49" s="595"/>
      <c r="GJ49" s="573"/>
      <c r="GK49" s="410" t="s">
        <v>659</v>
      </c>
      <c r="GL49" s="573"/>
      <c r="GM49" s="410"/>
      <c r="GN49" s="573"/>
      <c r="GO49" s="410"/>
      <c r="GP49" s="410"/>
      <c r="GQ49" s="410"/>
      <c r="GR49" s="573"/>
      <c r="GS49" s="523"/>
      <c r="GT49" s="854"/>
      <c r="GU49" s="523" t="s">
        <v>497</v>
      </c>
      <c r="GV49" s="608"/>
      <c r="GW49" s="523"/>
      <c r="GX49" s="608"/>
      <c r="GY49" s="523"/>
      <c r="GZ49" s="388"/>
      <c r="HA49" s="573"/>
      <c r="HB49" s="388"/>
      <c r="HC49" s="1010"/>
      <c r="HD49" s="412"/>
    </row>
    <row r="50" spans="1:212" ht="20.100000000000001" customHeight="1">
      <c r="A50" s="994"/>
      <c r="B50" s="757" t="s">
        <v>403</v>
      </c>
      <c r="C50" s="1011"/>
      <c r="D50" s="1012">
        <v>0</v>
      </c>
      <c r="E50" s="1013">
        <v>0</v>
      </c>
      <c r="F50" s="1014"/>
      <c r="G50" s="1015"/>
      <c r="H50" s="580">
        <v>0</v>
      </c>
      <c r="I50" s="1016"/>
      <c r="J50" s="580">
        <v>0</v>
      </c>
      <c r="K50" s="1016"/>
      <c r="L50" s="580">
        <v>0</v>
      </c>
      <c r="M50" s="1016"/>
      <c r="N50" s="580">
        <v>0</v>
      </c>
      <c r="O50" s="1016"/>
      <c r="P50" s="580">
        <v>0</v>
      </c>
      <c r="Q50" s="1016"/>
      <c r="R50" s="580">
        <v>0</v>
      </c>
      <c r="S50" s="1016"/>
      <c r="T50" s="580">
        <v>0</v>
      </c>
      <c r="U50" s="1016"/>
      <c r="V50" s="580">
        <v>0</v>
      </c>
      <c r="W50" s="1016"/>
      <c r="X50" s="580">
        <v>0</v>
      </c>
      <c r="Y50" s="1016"/>
      <c r="Z50" s="580">
        <v>0</v>
      </c>
      <c r="AA50" s="1016"/>
      <c r="AB50" s="580">
        <v>0</v>
      </c>
      <c r="AC50" s="1016"/>
      <c r="AD50" s="580">
        <v>0</v>
      </c>
      <c r="AE50" s="1016"/>
      <c r="AF50" s="580">
        <v>0</v>
      </c>
      <c r="AG50" s="1016"/>
      <c r="AH50" s="580">
        <v>0</v>
      </c>
      <c r="AI50" s="1016"/>
      <c r="AJ50" s="580">
        <v>0</v>
      </c>
      <c r="AK50" s="1016"/>
      <c r="AL50" s="580">
        <v>0</v>
      </c>
      <c r="AM50" s="1016"/>
      <c r="AN50" s="580">
        <v>0</v>
      </c>
      <c r="AO50" s="1016"/>
      <c r="AP50" s="580">
        <v>0</v>
      </c>
      <c r="AQ50" s="1016"/>
      <c r="AR50" s="580">
        <v>0</v>
      </c>
      <c r="AS50" s="1016"/>
      <c r="AT50" s="580">
        <v>0</v>
      </c>
      <c r="AU50" s="1016"/>
      <c r="AV50" s="580">
        <v>0</v>
      </c>
      <c r="AW50" s="1016"/>
      <c r="AX50" s="580">
        <v>0</v>
      </c>
      <c r="AY50" s="1017"/>
      <c r="AZ50" s="1018">
        <v>0</v>
      </c>
      <c r="BA50" s="1019"/>
      <c r="BB50" s="1020">
        <v>0</v>
      </c>
      <c r="BC50" s="931"/>
      <c r="BD50" s="994"/>
      <c r="BE50" s="757" t="s">
        <v>406</v>
      </c>
      <c r="BF50" s="1011"/>
      <c r="BG50" s="1012">
        <v>0</v>
      </c>
      <c r="BH50" s="1013">
        <v>0</v>
      </c>
      <c r="BI50" s="1014"/>
      <c r="BJ50" s="1015"/>
      <c r="BK50" s="580">
        <v>0</v>
      </c>
      <c r="BL50" s="1016"/>
      <c r="BM50" s="580">
        <v>0</v>
      </c>
      <c r="BN50" s="1016"/>
      <c r="BO50" s="580">
        <v>0</v>
      </c>
      <c r="BP50" s="1016"/>
      <c r="BQ50" s="580">
        <v>0</v>
      </c>
      <c r="BR50" s="1016"/>
      <c r="BS50" s="580">
        <v>0</v>
      </c>
      <c r="BT50" s="1016"/>
      <c r="BU50" s="580">
        <v>0</v>
      </c>
      <c r="BV50" s="1016"/>
      <c r="BW50" s="580">
        <v>0</v>
      </c>
      <c r="BX50" s="1016"/>
      <c r="BY50" s="580">
        <v>0</v>
      </c>
      <c r="BZ50" s="1016"/>
      <c r="CA50" s="580">
        <v>0</v>
      </c>
      <c r="CB50" s="1016"/>
      <c r="CC50" s="580">
        <v>0</v>
      </c>
      <c r="CD50" s="1016"/>
      <c r="CE50" s="580">
        <v>0</v>
      </c>
      <c r="CF50" s="1016"/>
      <c r="CG50" s="580">
        <v>0</v>
      </c>
      <c r="CH50" s="1016"/>
      <c r="CI50" s="580">
        <v>0</v>
      </c>
      <c r="CJ50" s="1016"/>
      <c r="CK50" s="580">
        <v>0</v>
      </c>
      <c r="CL50" s="1016"/>
      <c r="CM50" s="580">
        <v>0</v>
      </c>
      <c r="CN50" s="1016"/>
      <c r="CO50" s="580">
        <v>0</v>
      </c>
      <c r="CP50" s="1016"/>
      <c r="CQ50" s="580">
        <v>0</v>
      </c>
      <c r="CR50" s="1016"/>
      <c r="CS50" s="580">
        <v>0</v>
      </c>
      <c r="CT50" s="1016"/>
      <c r="CU50" s="580">
        <v>0</v>
      </c>
      <c r="CV50" s="1016"/>
      <c r="CW50" s="580">
        <v>0</v>
      </c>
      <c r="CX50" s="1016"/>
      <c r="CY50" s="580">
        <v>0</v>
      </c>
      <c r="CZ50" s="1016"/>
      <c r="DA50" s="580">
        <v>0</v>
      </c>
      <c r="DB50" s="1017"/>
      <c r="DC50" s="1018">
        <v>0</v>
      </c>
      <c r="DD50" s="1019"/>
      <c r="DE50" s="1020">
        <v>0</v>
      </c>
      <c r="DF50" s="931"/>
      <c r="DG50" s="994"/>
      <c r="DH50" s="757" t="s">
        <v>403</v>
      </c>
      <c r="DI50" s="1011"/>
      <c r="DJ50" s="1012">
        <v>0</v>
      </c>
      <c r="DK50" s="1013">
        <v>0</v>
      </c>
      <c r="DL50" s="1014"/>
      <c r="DM50" s="1015"/>
      <c r="DN50" s="580">
        <v>0</v>
      </c>
      <c r="DO50" s="1016"/>
      <c r="DP50" s="580">
        <v>0</v>
      </c>
      <c r="DQ50" s="1016"/>
      <c r="DR50" s="580">
        <v>0</v>
      </c>
      <c r="DS50" s="1016"/>
      <c r="DT50" s="580">
        <v>0</v>
      </c>
      <c r="DU50" s="1016"/>
      <c r="DV50" s="580">
        <v>0</v>
      </c>
      <c r="DW50" s="1016"/>
      <c r="DX50" s="580">
        <v>0</v>
      </c>
      <c r="DY50" s="1016"/>
      <c r="DZ50" s="580">
        <v>0</v>
      </c>
      <c r="EA50" s="1016"/>
      <c r="EB50" s="580">
        <v>0</v>
      </c>
      <c r="EC50" s="1016"/>
      <c r="ED50" s="580">
        <v>0</v>
      </c>
      <c r="EE50" s="1016"/>
      <c r="EF50" s="580">
        <v>0</v>
      </c>
      <c r="EG50" s="1016"/>
      <c r="EH50" s="580">
        <v>0</v>
      </c>
      <c r="EI50" s="1016"/>
      <c r="EJ50" s="580">
        <v>0</v>
      </c>
      <c r="EK50" s="1016"/>
      <c r="EL50" s="580">
        <v>0</v>
      </c>
      <c r="EM50" s="1016"/>
      <c r="EN50" s="580">
        <v>0</v>
      </c>
      <c r="EO50" s="1016"/>
      <c r="EP50" s="580">
        <v>0</v>
      </c>
      <c r="EQ50" s="1016"/>
      <c r="ER50" s="580">
        <v>0</v>
      </c>
      <c r="ES50" s="1016"/>
      <c r="ET50" s="580">
        <v>0</v>
      </c>
      <c r="EU50" s="1016"/>
      <c r="EV50" s="580">
        <v>0</v>
      </c>
      <c r="EW50" s="1016"/>
      <c r="EX50" s="580">
        <v>0</v>
      </c>
      <c r="EY50" s="1016"/>
      <c r="EZ50" s="580">
        <v>0</v>
      </c>
      <c r="FA50" s="1016"/>
      <c r="FB50" s="580">
        <v>0</v>
      </c>
      <c r="FC50" s="1016"/>
      <c r="FD50" s="580">
        <v>0</v>
      </c>
      <c r="FE50" s="1017"/>
      <c r="FF50" s="1018">
        <v>0</v>
      </c>
      <c r="FG50" s="1019"/>
      <c r="FH50" s="1020">
        <v>0</v>
      </c>
      <c r="FI50" s="931"/>
      <c r="FJ50" s="994"/>
      <c r="FK50" s="757" t="s">
        <v>403</v>
      </c>
      <c r="FL50" s="1011"/>
      <c r="FM50" s="1012">
        <v>0</v>
      </c>
      <c r="FN50" s="1013">
        <v>0</v>
      </c>
      <c r="FO50" s="1014"/>
      <c r="FP50" s="689"/>
      <c r="FQ50" s="1021"/>
      <c r="FR50" s="580">
        <v>0</v>
      </c>
      <c r="FS50" s="766"/>
      <c r="FT50" s="1021"/>
      <c r="FU50" s="585">
        <v>0</v>
      </c>
      <c r="FV50" s="1022"/>
      <c r="FW50" s="1023"/>
      <c r="FX50" s="1024"/>
      <c r="FY50" s="1025"/>
      <c r="FZ50" s="1026"/>
      <c r="GA50" s="1027"/>
      <c r="GB50" s="1028"/>
      <c r="GC50" s="1029"/>
      <c r="GD50" s="1028"/>
      <c r="GE50" s="1030"/>
      <c r="GF50" s="681"/>
      <c r="GG50" s="595"/>
      <c r="GH50" s="595"/>
      <c r="GI50" s="595"/>
      <c r="GJ50" s="573"/>
      <c r="GK50" s="410" t="s">
        <v>660</v>
      </c>
      <c r="GL50" s="573"/>
      <c r="GM50" s="410"/>
      <c r="GN50" s="573"/>
      <c r="GO50" s="410"/>
      <c r="GP50" s="410"/>
      <c r="GQ50" s="410"/>
      <c r="GR50" s="573"/>
      <c r="GS50" s="946"/>
      <c r="GT50" s="930"/>
      <c r="GU50" s="573" t="s">
        <v>661</v>
      </c>
      <c r="GV50" s="573"/>
      <c r="GW50" s="573"/>
      <c r="GX50" s="573"/>
      <c r="GY50" s="608"/>
      <c r="GZ50" s="572"/>
      <c r="HA50" s="608">
        <v>10.199999999999999</v>
      </c>
      <c r="HB50" s="572" t="s">
        <v>479</v>
      </c>
      <c r="HC50" s="1031"/>
      <c r="HD50" s="412"/>
    </row>
    <row r="51" spans="1:212" ht="20.100000000000001" customHeight="1" thickBot="1">
      <c r="A51" s="1032"/>
      <c r="B51" s="459" t="s">
        <v>444</v>
      </c>
      <c r="C51" s="1033"/>
      <c r="D51" s="778"/>
      <c r="E51" s="789"/>
      <c r="F51" s="1034"/>
      <c r="G51" s="791"/>
      <c r="H51" s="792">
        <v>0</v>
      </c>
      <c r="I51" s="793"/>
      <c r="J51" s="792">
        <v>0</v>
      </c>
      <c r="K51" s="793"/>
      <c r="L51" s="792">
        <v>0</v>
      </c>
      <c r="M51" s="793"/>
      <c r="N51" s="792">
        <v>0</v>
      </c>
      <c r="O51" s="793"/>
      <c r="P51" s="792">
        <v>0</v>
      </c>
      <c r="Q51" s="793"/>
      <c r="R51" s="792">
        <v>0</v>
      </c>
      <c r="S51" s="793"/>
      <c r="T51" s="792">
        <v>0</v>
      </c>
      <c r="U51" s="793"/>
      <c r="V51" s="792">
        <v>0</v>
      </c>
      <c r="W51" s="793"/>
      <c r="X51" s="792">
        <v>0</v>
      </c>
      <c r="Y51" s="793"/>
      <c r="Z51" s="792">
        <v>0</v>
      </c>
      <c r="AA51" s="793"/>
      <c r="AB51" s="792">
        <v>0</v>
      </c>
      <c r="AC51" s="793"/>
      <c r="AD51" s="792">
        <v>0</v>
      </c>
      <c r="AE51" s="793"/>
      <c r="AF51" s="792">
        <v>0</v>
      </c>
      <c r="AG51" s="793"/>
      <c r="AH51" s="792">
        <v>0</v>
      </c>
      <c r="AI51" s="793"/>
      <c r="AJ51" s="792">
        <v>0</v>
      </c>
      <c r="AK51" s="793"/>
      <c r="AL51" s="792">
        <v>0</v>
      </c>
      <c r="AM51" s="793"/>
      <c r="AN51" s="792">
        <v>0</v>
      </c>
      <c r="AO51" s="793"/>
      <c r="AP51" s="792">
        <v>0</v>
      </c>
      <c r="AQ51" s="793"/>
      <c r="AR51" s="792">
        <v>0</v>
      </c>
      <c r="AS51" s="793"/>
      <c r="AT51" s="792">
        <v>0</v>
      </c>
      <c r="AU51" s="793"/>
      <c r="AV51" s="792">
        <v>0</v>
      </c>
      <c r="AW51" s="793"/>
      <c r="AX51" s="792">
        <v>0</v>
      </c>
      <c r="AY51" s="1035"/>
      <c r="AZ51" s="1036">
        <v>0</v>
      </c>
      <c r="BA51" s="1037"/>
      <c r="BB51" s="1038">
        <v>0</v>
      </c>
      <c r="BC51" s="931"/>
      <c r="BD51" s="1032"/>
      <c r="BE51" s="459" t="s">
        <v>445</v>
      </c>
      <c r="BF51" s="1033"/>
      <c r="BG51" s="778"/>
      <c r="BH51" s="789"/>
      <c r="BI51" s="1034"/>
      <c r="BJ51" s="791"/>
      <c r="BK51" s="792">
        <v>0</v>
      </c>
      <c r="BL51" s="793"/>
      <c r="BM51" s="792">
        <v>0</v>
      </c>
      <c r="BN51" s="793"/>
      <c r="BO51" s="792">
        <v>0</v>
      </c>
      <c r="BP51" s="793"/>
      <c r="BQ51" s="792">
        <v>0</v>
      </c>
      <c r="BR51" s="793"/>
      <c r="BS51" s="792">
        <v>0</v>
      </c>
      <c r="BT51" s="793"/>
      <c r="BU51" s="792">
        <v>0</v>
      </c>
      <c r="BV51" s="793"/>
      <c r="BW51" s="792">
        <v>0</v>
      </c>
      <c r="BX51" s="793"/>
      <c r="BY51" s="792">
        <v>0</v>
      </c>
      <c r="BZ51" s="793"/>
      <c r="CA51" s="792">
        <v>0</v>
      </c>
      <c r="CB51" s="793"/>
      <c r="CC51" s="792">
        <v>0</v>
      </c>
      <c r="CD51" s="793"/>
      <c r="CE51" s="792">
        <v>0</v>
      </c>
      <c r="CF51" s="793"/>
      <c r="CG51" s="792">
        <v>0</v>
      </c>
      <c r="CH51" s="793"/>
      <c r="CI51" s="792">
        <v>0</v>
      </c>
      <c r="CJ51" s="793"/>
      <c r="CK51" s="792">
        <v>0</v>
      </c>
      <c r="CL51" s="793"/>
      <c r="CM51" s="792">
        <v>0</v>
      </c>
      <c r="CN51" s="793"/>
      <c r="CO51" s="792">
        <v>0</v>
      </c>
      <c r="CP51" s="793"/>
      <c r="CQ51" s="792">
        <v>0</v>
      </c>
      <c r="CR51" s="793"/>
      <c r="CS51" s="792">
        <v>0</v>
      </c>
      <c r="CT51" s="793"/>
      <c r="CU51" s="792">
        <v>0</v>
      </c>
      <c r="CV51" s="793"/>
      <c r="CW51" s="792">
        <v>0</v>
      </c>
      <c r="CX51" s="793"/>
      <c r="CY51" s="792">
        <v>0</v>
      </c>
      <c r="CZ51" s="793"/>
      <c r="DA51" s="792">
        <v>0</v>
      </c>
      <c r="DB51" s="1035"/>
      <c r="DC51" s="1036">
        <v>0</v>
      </c>
      <c r="DD51" s="1037"/>
      <c r="DE51" s="1038">
        <v>0</v>
      </c>
      <c r="DF51" s="931"/>
      <c r="DG51" s="1032"/>
      <c r="DH51" s="459" t="s">
        <v>444</v>
      </c>
      <c r="DI51" s="1033"/>
      <c r="DJ51" s="778"/>
      <c r="DK51" s="789"/>
      <c r="DL51" s="1034"/>
      <c r="DM51" s="791"/>
      <c r="DN51" s="792">
        <v>0</v>
      </c>
      <c r="DO51" s="793"/>
      <c r="DP51" s="792">
        <v>0</v>
      </c>
      <c r="DQ51" s="793"/>
      <c r="DR51" s="792">
        <v>0</v>
      </c>
      <c r="DS51" s="793"/>
      <c r="DT51" s="792">
        <v>0</v>
      </c>
      <c r="DU51" s="793"/>
      <c r="DV51" s="792">
        <v>0</v>
      </c>
      <c r="DW51" s="793"/>
      <c r="DX51" s="792">
        <v>0</v>
      </c>
      <c r="DY51" s="793"/>
      <c r="DZ51" s="792">
        <v>0</v>
      </c>
      <c r="EA51" s="793"/>
      <c r="EB51" s="792">
        <v>0</v>
      </c>
      <c r="EC51" s="793"/>
      <c r="ED51" s="792">
        <v>0</v>
      </c>
      <c r="EE51" s="793"/>
      <c r="EF51" s="792">
        <v>0</v>
      </c>
      <c r="EG51" s="793"/>
      <c r="EH51" s="792">
        <v>0</v>
      </c>
      <c r="EI51" s="793"/>
      <c r="EJ51" s="792">
        <v>0</v>
      </c>
      <c r="EK51" s="793"/>
      <c r="EL51" s="792">
        <v>0</v>
      </c>
      <c r="EM51" s="793"/>
      <c r="EN51" s="792">
        <v>0</v>
      </c>
      <c r="EO51" s="793"/>
      <c r="EP51" s="792">
        <v>0</v>
      </c>
      <c r="EQ51" s="793"/>
      <c r="ER51" s="792">
        <v>0</v>
      </c>
      <c r="ES51" s="793"/>
      <c r="ET51" s="792">
        <v>0</v>
      </c>
      <c r="EU51" s="793"/>
      <c r="EV51" s="792">
        <v>0</v>
      </c>
      <c r="EW51" s="793"/>
      <c r="EX51" s="792">
        <v>0</v>
      </c>
      <c r="EY51" s="793"/>
      <c r="EZ51" s="792">
        <v>0</v>
      </c>
      <c r="FA51" s="793"/>
      <c r="FB51" s="792">
        <v>0</v>
      </c>
      <c r="FC51" s="793"/>
      <c r="FD51" s="792">
        <v>0</v>
      </c>
      <c r="FE51" s="1035"/>
      <c r="FF51" s="1036">
        <v>0</v>
      </c>
      <c r="FG51" s="1037"/>
      <c r="FH51" s="1038">
        <v>0</v>
      </c>
      <c r="FI51" s="931"/>
      <c r="FJ51" s="1032"/>
      <c r="FK51" s="459" t="s">
        <v>444</v>
      </c>
      <c r="FL51" s="1033"/>
      <c r="FM51" s="781"/>
      <c r="FN51" s="789">
        <v>0</v>
      </c>
      <c r="FO51" s="1034"/>
      <c r="FP51" s="795"/>
      <c r="FQ51" s="796"/>
      <c r="FR51" s="792">
        <v>0</v>
      </c>
      <c r="FS51" s="797"/>
      <c r="FT51" s="796"/>
      <c r="FU51" s="798">
        <v>0</v>
      </c>
      <c r="FV51" s="1022"/>
      <c r="FW51" s="1023"/>
      <c r="FX51" s="1024"/>
      <c r="FY51" s="1025"/>
      <c r="FZ51" s="1026"/>
      <c r="GA51" s="1027"/>
      <c r="GB51" s="1028"/>
      <c r="GC51" s="1029"/>
      <c r="GD51" s="1028"/>
      <c r="GE51" s="1030"/>
      <c r="GF51" s="681"/>
      <c r="GG51" s="595"/>
      <c r="GH51" s="595"/>
      <c r="GI51" s="595"/>
      <c r="GJ51" s="929"/>
      <c r="GK51" s="726"/>
      <c r="GL51" s="1039" t="s">
        <v>390</v>
      </c>
      <c r="GM51" s="1040" t="s">
        <v>596</v>
      </c>
      <c r="GN51" s="1041" t="s">
        <v>519</v>
      </c>
      <c r="GO51" s="1042" t="s">
        <v>662</v>
      </c>
      <c r="GP51" s="1042" t="s">
        <v>503</v>
      </c>
      <c r="GQ51" s="1043" t="s">
        <v>521</v>
      </c>
      <c r="GR51" s="726"/>
      <c r="GS51" s="946"/>
      <c r="GT51" s="756"/>
      <c r="GU51" s="573" t="s">
        <v>663</v>
      </c>
      <c r="GV51" s="573"/>
      <c r="GW51" s="573"/>
      <c r="GX51" s="573"/>
      <c r="GY51" s="410"/>
      <c r="GZ51" s="1044"/>
      <c r="HA51" s="608">
        <v>10.199999999999999</v>
      </c>
      <c r="HB51" s="572" t="s">
        <v>479</v>
      </c>
      <c r="HC51" s="1045"/>
      <c r="HD51" s="412"/>
    </row>
    <row r="52" spans="1:212" ht="20.100000000000001" customHeight="1" thickBot="1">
      <c r="A52" s="1046" t="s">
        <v>314</v>
      </c>
      <c r="B52" s="1047"/>
      <c r="C52" s="1048"/>
      <c r="D52" s="1048"/>
      <c r="E52" s="1049"/>
      <c r="F52" s="1048"/>
      <c r="G52" s="1050"/>
      <c r="H52" s="1051">
        <v>0</v>
      </c>
      <c r="I52" s="1052"/>
      <c r="J52" s="1051">
        <v>0</v>
      </c>
      <c r="K52" s="1052"/>
      <c r="L52" s="1051">
        <v>0</v>
      </c>
      <c r="M52" s="1052"/>
      <c r="N52" s="1051">
        <v>0</v>
      </c>
      <c r="O52" s="1052"/>
      <c r="P52" s="1051">
        <v>0</v>
      </c>
      <c r="Q52" s="1052"/>
      <c r="R52" s="1051">
        <v>0</v>
      </c>
      <c r="S52" s="1052"/>
      <c r="T52" s="1051">
        <v>0</v>
      </c>
      <c r="U52" s="1052"/>
      <c r="V52" s="1051">
        <v>0</v>
      </c>
      <c r="W52" s="1052"/>
      <c r="X52" s="1051">
        <v>1056</v>
      </c>
      <c r="Y52" s="1052"/>
      <c r="Z52" s="1051">
        <v>1056</v>
      </c>
      <c r="AA52" s="1052"/>
      <c r="AB52" s="1051">
        <v>1056</v>
      </c>
      <c r="AC52" s="1052"/>
      <c r="AD52" s="1051">
        <v>634</v>
      </c>
      <c r="AE52" s="1052"/>
      <c r="AF52" s="1051">
        <v>1056</v>
      </c>
      <c r="AG52" s="1052"/>
      <c r="AH52" s="1051">
        <v>1056</v>
      </c>
      <c r="AI52" s="1052"/>
      <c r="AJ52" s="1051">
        <v>1056</v>
      </c>
      <c r="AK52" s="1052"/>
      <c r="AL52" s="1051">
        <v>1056</v>
      </c>
      <c r="AM52" s="1052"/>
      <c r="AN52" s="1051">
        <v>1056</v>
      </c>
      <c r="AO52" s="1052"/>
      <c r="AP52" s="1051">
        <v>528</v>
      </c>
      <c r="AQ52" s="1052"/>
      <c r="AR52" s="1051">
        <v>0</v>
      </c>
      <c r="AS52" s="1052"/>
      <c r="AT52" s="1051">
        <v>0</v>
      </c>
      <c r="AU52" s="1052"/>
      <c r="AV52" s="1051">
        <v>0</v>
      </c>
      <c r="AW52" s="1052"/>
      <c r="AX52" s="1051">
        <v>0</v>
      </c>
      <c r="AY52" s="1053"/>
      <c r="AZ52" s="1054">
        <v>0</v>
      </c>
      <c r="BA52" s="1055"/>
      <c r="BB52" s="1056">
        <v>0</v>
      </c>
      <c r="BC52" s="974"/>
      <c r="BD52" s="1046" t="s">
        <v>446</v>
      </c>
      <c r="BE52" s="1047"/>
      <c r="BF52" s="1048"/>
      <c r="BG52" s="1048"/>
      <c r="BH52" s="1049"/>
      <c r="BI52" s="1048"/>
      <c r="BJ52" s="1050"/>
      <c r="BK52" s="1051">
        <v>0</v>
      </c>
      <c r="BL52" s="1052"/>
      <c r="BM52" s="1051">
        <v>0</v>
      </c>
      <c r="BN52" s="1052"/>
      <c r="BO52" s="1051">
        <v>0</v>
      </c>
      <c r="BP52" s="1052"/>
      <c r="BQ52" s="1051">
        <v>0</v>
      </c>
      <c r="BR52" s="1052"/>
      <c r="BS52" s="1051">
        <v>0</v>
      </c>
      <c r="BT52" s="1052"/>
      <c r="BU52" s="1051">
        <v>0</v>
      </c>
      <c r="BV52" s="1052"/>
      <c r="BW52" s="1051">
        <v>0</v>
      </c>
      <c r="BX52" s="1052"/>
      <c r="BY52" s="1051">
        <v>0</v>
      </c>
      <c r="BZ52" s="1052"/>
      <c r="CA52" s="1051">
        <v>1056</v>
      </c>
      <c r="CB52" s="1052"/>
      <c r="CC52" s="1051">
        <v>1056</v>
      </c>
      <c r="CD52" s="1052"/>
      <c r="CE52" s="1051">
        <v>1056</v>
      </c>
      <c r="CF52" s="1052"/>
      <c r="CG52" s="1051">
        <v>634</v>
      </c>
      <c r="CH52" s="1052"/>
      <c r="CI52" s="1051">
        <v>1056</v>
      </c>
      <c r="CJ52" s="1052"/>
      <c r="CK52" s="1051">
        <v>1056</v>
      </c>
      <c r="CL52" s="1052"/>
      <c r="CM52" s="1051">
        <v>1056</v>
      </c>
      <c r="CN52" s="1052"/>
      <c r="CO52" s="1051">
        <v>1056</v>
      </c>
      <c r="CP52" s="1052"/>
      <c r="CQ52" s="1051">
        <v>1056</v>
      </c>
      <c r="CR52" s="1052"/>
      <c r="CS52" s="1051">
        <v>528</v>
      </c>
      <c r="CT52" s="1052"/>
      <c r="CU52" s="1051">
        <v>0</v>
      </c>
      <c r="CV52" s="1052"/>
      <c r="CW52" s="1051">
        <v>0</v>
      </c>
      <c r="CX52" s="1052"/>
      <c r="CY52" s="1051">
        <v>0</v>
      </c>
      <c r="CZ52" s="1052"/>
      <c r="DA52" s="1051">
        <v>0</v>
      </c>
      <c r="DB52" s="1053"/>
      <c r="DC52" s="1054">
        <v>0</v>
      </c>
      <c r="DD52" s="1055"/>
      <c r="DE52" s="1056">
        <v>0</v>
      </c>
      <c r="DF52" s="974"/>
      <c r="DG52" s="1046" t="s">
        <v>314</v>
      </c>
      <c r="DH52" s="1047"/>
      <c r="DI52" s="1048"/>
      <c r="DJ52" s="1048"/>
      <c r="DK52" s="1049"/>
      <c r="DL52" s="1048"/>
      <c r="DM52" s="1050"/>
      <c r="DN52" s="1051">
        <v>0</v>
      </c>
      <c r="DO52" s="1052"/>
      <c r="DP52" s="1051">
        <v>0</v>
      </c>
      <c r="DQ52" s="1052"/>
      <c r="DR52" s="1051">
        <v>0</v>
      </c>
      <c r="DS52" s="1052"/>
      <c r="DT52" s="1051">
        <v>0</v>
      </c>
      <c r="DU52" s="1052"/>
      <c r="DV52" s="1051">
        <v>0</v>
      </c>
      <c r="DW52" s="1052"/>
      <c r="DX52" s="1051">
        <v>0</v>
      </c>
      <c r="DY52" s="1052"/>
      <c r="DZ52" s="1051">
        <v>0</v>
      </c>
      <c r="EA52" s="1052"/>
      <c r="EB52" s="1051">
        <v>0</v>
      </c>
      <c r="EC52" s="1052"/>
      <c r="ED52" s="1051">
        <v>1056</v>
      </c>
      <c r="EE52" s="1052"/>
      <c r="EF52" s="1051">
        <v>1056</v>
      </c>
      <c r="EG52" s="1052"/>
      <c r="EH52" s="1051">
        <v>1056</v>
      </c>
      <c r="EI52" s="1052"/>
      <c r="EJ52" s="1051">
        <v>634</v>
      </c>
      <c r="EK52" s="1052"/>
      <c r="EL52" s="1051">
        <v>1056</v>
      </c>
      <c r="EM52" s="1052"/>
      <c r="EN52" s="1051">
        <v>1056</v>
      </c>
      <c r="EO52" s="1052"/>
      <c r="EP52" s="1051">
        <v>1056</v>
      </c>
      <c r="EQ52" s="1052"/>
      <c r="ER52" s="1051">
        <v>1056</v>
      </c>
      <c r="ES52" s="1052"/>
      <c r="ET52" s="1051">
        <v>1056</v>
      </c>
      <c r="EU52" s="1052"/>
      <c r="EV52" s="1051">
        <v>528</v>
      </c>
      <c r="EW52" s="1052"/>
      <c r="EX52" s="1051">
        <v>0</v>
      </c>
      <c r="EY52" s="1052"/>
      <c r="EZ52" s="1051">
        <v>0</v>
      </c>
      <c r="FA52" s="1052"/>
      <c r="FB52" s="1051">
        <v>0</v>
      </c>
      <c r="FC52" s="1052"/>
      <c r="FD52" s="1051">
        <v>0</v>
      </c>
      <c r="FE52" s="1053"/>
      <c r="FF52" s="1054">
        <v>0</v>
      </c>
      <c r="FG52" s="1055"/>
      <c r="FH52" s="1056">
        <v>0</v>
      </c>
      <c r="FI52" s="974"/>
      <c r="FJ52" s="1046" t="s">
        <v>314</v>
      </c>
      <c r="FK52" s="1047"/>
      <c r="FL52" s="1048"/>
      <c r="FM52" s="1048"/>
      <c r="FN52" s="1049"/>
      <c r="FO52" s="1048"/>
      <c r="FP52" s="1057"/>
      <c r="FQ52" s="1058"/>
      <c r="FR52" s="1051">
        <v>0</v>
      </c>
      <c r="FS52" s="1059"/>
      <c r="FT52" s="1058"/>
      <c r="FU52" s="1060">
        <v>0</v>
      </c>
      <c r="FV52" s="1061">
        <v>13</v>
      </c>
      <c r="FW52" s="1062">
        <v>1056</v>
      </c>
      <c r="FX52" s="1063">
        <v>14</v>
      </c>
      <c r="FY52" s="1062">
        <v>1056</v>
      </c>
      <c r="FZ52" s="1063">
        <v>13</v>
      </c>
      <c r="GA52" s="1062">
        <v>1056</v>
      </c>
      <c r="GB52" s="1064" t="s">
        <v>621</v>
      </c>
      <c r="GC52" s="1065">
        <v>1056</v>
      </c>
      <c r="GD52" s="1064" t="s">
        <v>623</v>
      </c>
      <c r="GE52" s="1066">
        <v>0</v>
      </c>
      <c r="GF52" s="681"/>
      <c r="GG52" s="983"/>
      <c r="GH52" s="983"/>
      <c r="GI52" s="983"/>
      <c r="GJ52" s="929"/>
      <c r="GK52" s="726"/>
      <c r="GL52" s="1067"/>
      <c r="GM52" s="1068"/>
      <c r="GN52" s="1068"/>
      <c r="GO52" s="1069"/>
      <c r="GP52" s="1069"/>
      <c r="GQ52" s="1070"/>
      <c r="GR52" s="946"/>
      <c r="GS52" s="886"/>
      <c r="GT52" s="854"/>
      <c r="GU52" s="523" t="s">
        <v>499</v>
      </c>
      <c r="GV52" s="726"/>
      <c r="GW52" s="929"/>
      <c r="GX52" s="726"/>
      <c r="GY52" s="410"/>
      <c r="GZ52" s="1071"/>
      <c r="HA52" s="946"/>
      <c r="HB52" s="1071"/>
      <c r="HC52" s="555"/>
      <c r="HD52" s="412"/>
    </row>
    <row r="53" spans="1:212" ht="20.100000000000001" customHeight="1" thickTop="1">
      <c r="A53" s="1072" t="s">
        <v>447</v>
      </c>
      <c r="B53" s="1073"/>
      <c r="C53" s="1074"/>
      <c r="D53" s="1074"/>
      <c r="E53" s="1075"/>
      <c r="F53" s="1076"/>
      <c r="G53" s="1077"/>
      <c r="H53" s="1078">
        <v>0</v>
      </c>
      <c r="I53" s="1079"/>
      <c r="J53" s="1078">
        <v>0</v>
      </c>
      <c r="K53" s="1079"/>
      <c r="L53" s="1078">
        <v>0</v>
      </c>
      <c r="M53" s="1079"/>
      <c r="N53" s="1078">
        <v>0</v>
      </c>
      <c r="O53" s="1079"/>
      <c r="P53" s="1078">
        <v>0</v>
      </c>
      <c r="Q53" s="1079"/>
      <c r="R53" s="1078">
        <v>0</v>
      </c>
      <c r="S53" s="1079"/>
      <c r="T53" s="1078">
        <v>0</v>
      </c>
      <c r="U53" s="1079"/>
      <c r="V53" s="1078">
        <v>0</v>
      </c>
      <c r="W53" s="1079"/>
      <c r="X53" s="1078">
        <v>9294</v>
      </c>
      <c r="Y53" s="1079"/>
      <c r="Z53" s="1078">
        <v>8415</v>
      </c>
      <c r="AA53" s="1079"/>
      <c r="AB53" s="1078">
        <v>8972</v>
      </c>
      <c r="AC53" s="1079"/>
      <c r="AD53" s="1078">
        <v>7417</v>
      </c>
      <c r="AE53" s="1079"/>
      <c r="AF53" s="1078">
        <v>9795</v>
      </c>
      <c r="AG53" s="1079"/>
      <c r="AH53" s="1078">
        <v>9783</v>
      </c>
      <c r="AI53" s="1079"/>
      <c r="AJ53" s="1078">
        <v>9502</v>
      </c>
      <c r="AK53" s="1079"/>
      <c r="AL53" s="1078">
        <v>8997</v>
      </c>
      <c r="AM53" s="1079"/>
      <c r="AN53" s="1078">
        <v>8412</v>
      </c>
      <c r="AO53" s="1079"/>
      <c r="AP53" s="1078">
        <v>6967</v>
      </c>
      <c r="AQ53" s="1079"/>
      <c r="AR53" s="1078">
        <v>0</v>
      </c>
      <c r="AS53" s="1079"/>
      <c r="AT53" s="1078">
        <v>0</v>
      </c>
      <c r="AU53" s="1079"/>
      <c r="AV53" s="1078">
        <v>0</v>
      </c>
      <c r="AW53" s="1079"/>
      <c r="AX53" s="1078">
        <v>0</v>
      </c>
      <c r="AY53" s="1080"/>
      <c r="AZ53" s="1081">
        <v>0</v>
      </c>
      <c r="BA53" s="1082"/>
      <c r="BB53" s="1083">
        <v>0</v>
      </c>
      <c r="BC53" s="974"/>
      <c r="BD53" s="1072" t="s">
        <v>447</v>
      </c>
      <c r="BE53" s="1073"/>
      <c r="BF53" s="1074"/>
      <c r="BG53" s="1074"/>
      <c r="BH53" s="1075"/>
      <c r="BI53" s="1076"/>
      <c r="BJ53" s="1077"/>
      <c r="BK53" s="1078">
        <v>0</v>
      </c>
      <c r="BL53" s="1079"/>
      <c r="BM53" s="1078">
        <v>0</v>
      </c>
      <c r="BN53" s="1079"/>
      <c r="BO53" s="1078">
        <v>0</v>
      </c>
      <c r="BP53" s="1079"/>
      <c r="BQ53" s="1078">
        <v>0</v>
      </c>
      <c r="BR53" s="1079"/>
      <c r="BS53" s="1078">
        <v>0</v>
      </c>
      <c r="BT53" s="1079"/>
      <c r="BU53" s="1078">
        <v>0</v>
      </c>
      <c r="BV53" s="1079"/>
      <c r="BW53" s="1078">
        <v>0</v>
      </c>
      <c r="BX53" s="1079"/>
      <c r="BY53" s="1078">
        <v>0</v>
      </c>
      <c r="BZ53" s="1079"/>
      <c r="CA53" s="1078">
        <v>9250</v>
      </c>
      <c r="CB53" s="1079"/>
      <c r="CC53" s="1078">
        <v>8441</v>
      </c>
      <c r="CD53" s="1079"/>
      <c r="CE53" s="1078">
        <v>9072</v>
      </c>
      <c r="CF53" s="1079"/>
      <c r="CG53" s="1078">
        <v>7590</v>
      </c>
      <c r="CH53" s="1079"/>
      <c r="CI53" s="1078">
        <v>9971</v>
      </c>
      <c r="CJ53" s="1079"/>
      <c r="CK53" s="1078">
        <v>10016</v>
      </c>
      <c r="CL53" s="1079"/>
      <c r="CM53" s="1078">
        <v>9782</v>
      </c>
      <c r="CN53" s="1079"/>
      <c r="CO53" s="1078">
        <v>9310</v>
      </c>
      <c r="CP53" s="1079"/>
      <c r="CQ53" s="1078">
        <v>8662</v>
      </c>
      <c r="CR53" s="1079"/>
      <c r="CS53" s="1078">
        <v>7121</v>
      </c>
      <c r="CT53" s="1079"/>
      <c r="CU53" s="1078">
        <v>0</v>
      </c>
      <c r="CV53" s="1079"/>
      <c r="CW53" s="1078">
        <v>0</v>
      </c>
      <c r="CX53" s="1079"/>
      <c r="CY53" s="1078">
        <v>0</v>
      </c>
      <c r="CZ53" s="1079"/>
      <c r="DA53" s="1078">
        <v>0</v>
      </c>
      <c r="DB53" s="1080"/>
      <c r="DC53" s="1081">
        <v>0</v>
      </c>
      <c r="DD53" s="1082"/>
      <c r="DE53" s="1083">
        <v>0</v>
      </c>
      <c r="DF53" s="974"/>
      <c r="DG53" s="1072" t="s">
        <v>315</v>
      </c>
      <c r="DH53" s="1073"/>
      <c r="DI53" s="1074"/>
      <c r="DJ53" s="1074"/>
      <c r="DK53" s="1075"/>
      <c r="DL53" s="1076"/>
      <c r="DM53" s="1077"/>
      <c r="DN53" s="1078">
        <v>0</v>
      </c>
      <c r="DO53" s="1079"/>
      <c r="DP53" s="1078">
        <v>0</v>
      </c>
      <c r="DQ53" s="1079"/>
      <c r="DR53" s="1078">
        <v>0</v>
      </c>
      <c r="DS53" s="1079"/>
      <c r="DT53" s="1078">
        <v>0</v>
      </c>
      <c r="DU53" s="1079"/>
      <c r="DV53" s="1078">
        <v>0</v>
      </c>
      <c r="DW53" s="1079"/>
      <c r="DX53" s="1078">
        <v>0</v>
      </c>
      <c r="DY53" s="1079"/>
      <c r="DZ53" s="1078">
        <v>0</v>
      </c>
      <c r="EA53" s="1079"/>
      <c r="EB53" s="1078">
        <v>0</v>
      </c>
      <c r="EC53" s="1079"/>
      <c r="ED53" s="1078">
        <v>9325</v>
      </c>
      <c r="EE53" s="1079"/>
      <c r="EF53" s="1078">
        <v>9222</v>
      </c>
      <c r="EG53" s="1079"/>
      <c r="EH53" s="1078">
        <v>10142</v>
      </c>
      <c r="EI53" s="1079"/>
      <c r="EJ53" s="1078">
        <v>8691</v>
      </c>
      <c r="EK53" s="1079"/>
      <c r="EL53" s="1078">
        <v>10945</v>
      </c>
      <c r="EM53" s="1079"/>
      <c r="EN53" s="1078">
        <v>10763</v>
      </c>
      <c r="EO53" s="1079"/>
      <c r="EP53" s="1078">
        <v>10195</v>
      </c>
      <c r="EQ53" s="1079"/>
      <c r="ER53" s="1078">
        <v>9321</v>
      </c>
      <c r="ES53" s="1079"/>
      <c r="ET53" s="1078">
        <v>8318</v>
      </c>
      <c r="EU53" s="1079"/>
      <c r="EV53" s="1078">
        <v>6625</v>
      </c>
      <c r="EW53" s="1079"/>
      <c r="EX53" s="1078">
        <v>0</v>
      </c>
      <c r="EY53" s="1079"/>
      <c r="EZ53" s="1078">
        <v>0</v>
      </c>
      <c r="FA53" s="1079"/>
      <c r="FB53" s="1078">
        <v>0</v>
      </c>
      <c r="FC53" s="1079"/>
      <c r="FD53" s="1078">
        <v>0</v>
      </c>
      <c r="FE53" s="1080"/>
      <c r="FF53" s="1081">
        <v>0</v>
      </c>
      <c r="FG53" s="1082"/>
      <c r="FH53" s="1083">
        <v>0</v>
      </c>
      <c r="FI53" s="974"/>
      <c r="FJ53" s="1072" t="s">
        <v>315</v>
      </c>
      <c r="FK53" s="1073"/>
      <c r="FL53" s="1074"/>
      <c r="FM53" s="1074"/>
      <c r="FN53" s="1075"/>
      <c r="FO53" s="1076"/>
      <c r="FP53" s="1084"/>
      <c r="FQ53" s="1085"/>
      <c r="FR53" s="1078">
        <v>7828</v>
      </c>
      <c r="FS53" s="1086"/>
      <c r="FT53" s="1085"/>
      <c r="FU53" s="1087">
        <v>7901</v>
      </c>
      <c r="FV53" s="1088">
        <v>13</v>
      </c>
      <c r="FW53" s="1089">
        <v>9795</v>
      </c>
      <c r="FX53" s="1090">
        <v>14</v>
      </c>
      <c r="FY53" s="1089">
        <v>10016</v>
      </c>
      <c r="FZ53" s="1090">
        <v>13</v>
      </c>
      <c r="GA53" s="1089">
        <v>10945</v>
      </c>
      <c r="GB53" s="1091" t="s">
        <v>621</v>
      </c>
      <c r="GC53" s="1089">
        <v>10945</v>
      </c>
      <c r="GD53" s="1091" t="s">
        <v>623</v>
      </c>
      <c r="GE53" s="1092">
        <v>7901</v>
      </c>
      <c r="GF53" s="681"/>
      <c r="GG53" s="983"/>
      <c r="GH53" s="983"/>
      <c r="GI53" s="983"/>
      <c r="GJ53" s="946"/>
      <c r="GK53" s="410"/>
      <c r="GL53" s="1093">
        <v>10</v>
      </c>
      <c r="GM53" s="1094">
        <v>1</v>
      </c>
      <c r="GN53" s="1095">
        <v>0.92</v>
      </c>
      <c r="GO53" s="1096">
        <v>4.2</v>
      </c>
      <c r="GP53" s="1096">
        <v>8</v>
      </c>
      <c r="GQ53" s="1097">
        <v>12.2</v>
      </c>
      <c r="GR53" s="573"/>
      <c r="GS53" s="476"/>
      <c r="GT53" s="854"/>
      <c r="GU53" s="573" t="s">
        <v>664</v>
      </c>
      <c r="GV53" s="573"/>
      <c r="GW53" s="573"/>
      <c r="GX53" s="573"/>
      <c r="GY53" s="410"/>
      <c r="GZ53" s="406"/>
      <c r="HA53" s="608">
        <v>15.1</v>
      </c>
      <c r="HB53" s="572" t="s">
        <v>293</v>
      </c>
      <c r="HC53" s="792"/>
      <c r="HD53" s="412"/>
    </row>
    <row r="54" spans="1:212" ht="20.100000000000001" customHeight="1">
      <c r="A54" s="1098" t="s">
        <v>569</v>
      </c>
      <c r="B54" s="1099"/>
      <c r="C54" s="1100"/>
      <c r="D54" s="1101"/>
      <c r="E54" s="1102"/>
      <c r="F54" s="1103"/>
      <c r="G54" s="1104"/>
      <c r="H54" s="1105">
        <v>0</v>
      </c>
      <c r="I54" s="1106"/>
      <c r="J54" s="1105">
        <v>0</v>
      </c>
      <c r="K54" s="1106"/>
      <c r="L54" s="1105">
        <v>0</v>
      </c>
      <c r="M54" s="1106"/>
      <c r="N54" s="1105">
        <v>0</v>
      </c>
      <c r="O54" s="1106"/>
      <c r="P54" s="1105">
        <v>0</v>
      </c>
      <c r="Q54" s="1106"/>
      <c r="R54" s="1105">
        <v>0</v>
      </c>
      <c r="S54" s="1106"/>
      <c r="T54" s="1105">
        <v>0</v>
      </c>
      <c r="U54" s="1106"/>
      <c r="V54" s="1105">
        <v>0</v>
      </c>
      <c r="W54" s="1106"/>
      <c r="X54" s="1105">
        <v>60.5</v>
      </c>
      <c r="Y54" s="1106"/>
      <c r="Z54" s="1105">
        <v>54.8</v>
      </c>
      <c r="AA54" s="1106"/>
      <c r="AB54" s="1105">
        <v>58.4</v>
      </c>
      <c r="AC54" s="1106"/>
      <c r="AD54" s="1105">
        <v>48.3</v>
      </c>
      <c r="AE54" s="1106"/>
      <c r="AF54" s="1105">
        <v>63.7</v>
      </c>
      <c r="AG54" s="1106"/>
      <c r="AH54" s="1105">
        <v>63.7</v>
      </c>
      <c r="AI54" s="1106"/>
      <c r="AJ54" s="1105">
        <v>61.8</v>
      </c>
      <c r="AK54" s="1106"/>
      <c r="AL54" s="1105">
        <v>58.5</v>
      </c>
      <c r="AM54" s="1106"/>
      <c r="AN54" s="1105">
        <v>54.7</v>
      </c>
      <c r="AO54" s="1106"/>
      <c r="AP54" s="1105">
        <v>45.3</v>
      </c>
      <c r="AQ54" s="1106"/>
      <c r="AR54" s="1105">
        <v>0</v>
      </c>
      <c r="AS54" s="1106"/>
      <c r="AT54" s="1105">
        <v>0</v>
      </c>
      <c r="AU54" s="1106"/>
      <c r="AV54" s="1105">
        <v>0</v>
      </c>
      <c r="AW54" s="1106"/>
      <c r="AX54" s="1105">
        <v>0</v>
      </c>
      <c r="AY54" s="1106"/>
      <c r="AZ54" s="1105">
        <v>0</v>
      </c>
      <c r="BA54" s="1106"/>
      <c r="BB54" s="1107">
        <v>0</v>
      </c>
      <c r="BC54" s="1010"/>
      <c r="BD54" s="1098" t="s">
        <v>569</v>
      </c>
      <c r="BE54" s="1099"/>
      <c r="BF54" s="1100"/>
      <c r="BG54" s="1101"/>
      <c r="BH54" s="1102"/>
      <c r="BI54" s="1103"/>
      <c r="BJ54" s="1104"/>
      <c r="BK54" s="1105">
        <v>0</v>
      </c>
      <c r="BL54" s="1106"/>
      <c r="BM54" s="1105">
        <v>0</v>
      </c>
      <c r="BN54" s="1106"/>
      <c r="BO54" s="1105">
        <v>0</v>
      </c>
      <c r="BP54" s="1106"/>
      <c r="BQ54" s="1105">
        <v>0</v>
      </c>
      <c r="BR54" s="1106"/>
      <c r="BS54" s="1105">
        <v>0</v>
      </c>
      <c r="BT54" s="1106"/>
      <c r="BU54" s="1105">
        <v>0</v>
      </c>
      <c r="BV54" s="1106"/>
      <c r="BW54" s="1105">
        <v>0</v>
      </c>
      <c r="BX54" s="1106"/>
      <c r="BY54" s="1105">
        <v>0</v>
      </c>
      <c r="BZ54" s="1106"/>
      <c r="CA54" s="1105">
        <v>60.2</v>
      </c>
      <c r="CB54" s="1106"/>
      <c r="CC54" s="1105">
        <v>54.9</v>
      </c>
      <c r="CD54" s="1106"/>
      <c r="CE54" s="1105">
        <v>59</v>
      </c>
      <c r="CF54" s="1106"/>
      <c r="CG54" s="1105">
        <v>49.4</v>
      </c>
      <c r="CH54" s="1106"/>
      <c r="CI54" s="1105">
        <v>64.900000000000006</v>
      </c>
      <c r="CJ54" s="1106"/>
      <c r="CK54" s="1105">
        <v>65.2</v>
      </c>
      <c r="CL54" s="1106"/>
      <c r="CM54" s="1105">
        <v>63.7</v>
      </c>
      <c r="CN54" s="1106"/>
      <c r="CO54" s="1105">
        <v>60.6</v>
      </c>
      <c r="CP54" s="1106"/>
      <c r="CQ54" s="1105">
        <v>56.4</v>
      </c>
      <c r="CR54" s="1106"/>
      <c r="CS54" s="1105">
        <v>46.3</v>
      </c>
      <c r="CT54" s="1106"/>
      <c r="CU54" s="1105">
        <v>0</v>
      </c>
      <c r="CV54" s="1106"/>
      <c r="CW54" s="1105">
        <v>0</v>
      </c>
      <c r="CX54" s="1106"/>
      <c r="CY54" s="1105">
        <v>0</v>
      </c>
      <c r="CZ54" s="1106"/>
      <c r="DA54" s="1105">
        <v>0</v>
      </c>
      <c r="DB54" s="1106"/>
      <c r="DC54" s="1105">
        <v>0</v>
      </c>
      <c r="DD54" s="1106"/>
      <c r="DE54" s="1107">
        <v>0</v>
      </c>
      <c r="DF54" s="1010"/>
      <c r="DG54" s="1098" t="s">
        <v>316</v>
      </c>
      <c r="DH54" s="1099"/>
      <c r="DI54" s="1100"/>
      <c r="DJ54" s="1101"/>
      <c r="DK54" s="1102"/>
      <c r="DL54" s="1103"/>
      <c r="DM54" s="1104"/>
      <c r="DN54" s="1105">
        <v>0</v>
      </c>
      <c r="DO54" s="1106"/>
      <c r="DP54" s="1105">
        <v>0</v>
      </c>
      <c r="DQ54" s="1106"/>
      <c r="DR54" s="1105">
        <v>0</v>
      </c>
      <c r="DS54" s="1106"/>
      <c r="DT54" s="1105">
        <v>0</v>
      </c>
      <c r="DU54" s="1106"/>
      <c r="DV54" s="1105">
        <v>0</v>
      </c>
      <c r="DW54" s="1106"/>
      <c r="DX54" s="1105">
        <v>0</v>
      </c>
      <c r="DY54" s="1106"/>
      <c r="DZ54" s="1105">
        <v>0</v>
      </c>
      <c r="EA54" s="1106"/>
      <c r="EB54" s="1105">
        <v>0</v>
      </c>
      <c r="EC54" s="1106"/>
      <c r="ED54" s="1105">
        <v>60.7</v>
      </c>
      <c r="EE54" s="1106"/>
      <c r="EF54" s="1105">
        <v>60</v>
      </c>
      <c r="EG54" s="1106"/>
      <c r="EH54" s="1105">
        <v>66</v>
      </c>
      <c r="EI54" s="1106"/>
      <c r="EJ54" s="1105">
        <v>56.6</v>
      </c>
      <c r="EK54" s="1106"/>
      <c r="EL54" s="1105">
        <v>71.2</v>
      </c>
      <c r="EM54" s="1106"/>
      <c r="EN54" s="1105">
        <v>70</v>
      </c>
      <c r="EO54" s="1106"/>
      <c r="EP54" s="1105">
        <v>66.3</v>
      </c>
      <c r="EQ54" s="1106"/>
      <c r="ER54" s="1105">
        <v>60.7</v>
      </c>
      <c r="ES54" s="1106"/>
      <c r="ET54" s="1105">
        <v>54.1</v>
      </c>
      <c r="EU54" s="1106"/>
      <c r="EV54" s="1105">
        <v>43.1</v>
      </c>
      <c r="EW54" s="1106"/>
      <c r="EX54" s="1105">
        <v>0</v>
      </c>
      <c r="EY54" s="1106"/>
      <c r="EZ54" s="1105">
        <v>0</v>
      </c>
      <c r="FA54" s="1106"/>
      <c r="FB54" s="1105">
        <v>0</v>
      </c>
      <c r="FC54" s="1106"/>
      <c r="FD54" s="1105">
        <v>0</v>
      </c>
      <c r="FE54" s="1106"/>
      <c r="FF54" s="1105">
        <v>0</v>
      </c>
      <c r="FG54" s="1106"/>
      <c r="FH54" s="1107">
        <v>0</v>
      </c>
      <c r="FI54" s="1010"/>
      <c r="FJ54" s="1098" t="s">
        <v>569</v>
      </c>
      <c r="FK54" s="1099"/>
      <c r="FL54" s="1100"/>
      <c r="FM54" s="1101"/>
      <c r="FN54" s="1102"/>
      <c r="FO54" s="1103"/>
      <c r="FP54" s="1108"/>
      <c r="FQ54" s="1106"/>
      <c r="FR54" s="1105">
        <v>50.9</v>
      </c>
      <c r="FS54" s="1109"/>
      <c r="FT54" s="1106"/>
      <c r="FU54" s="1110">
        <v>51.4</v>
      </c>
      <c r="FV54" s="1109"/>
      <c r="FW54" s="1105">
        <f>IF(面積=0,0,ROUND(FW53/面積,1))</f>
        <v>63.7</v>
      </c>
      <c r="FX54" s="1109"/>
      <c r="FY54" s="1105">
        <f>IF(面積=0,0,ROUND(FY53/面積,1))</f>
        <v>65.2</v>
      </c>
      <c r="FZ54" s="1109"/>
      <c r="GA54" s="1105">
        <f>IF(面積=0,0,ROUND(GA53/面積,1))</f>
        <v>71.2</v>
      </c>
      <c r="GB54" s="1109"/>
      <c r="GC54" s="1105">
        <f>IF(面積=0,0,ROUND(GC53/面積,1))</f>
        <v>71.2</v>
      </c>
      <c r="GD54" s="1109"/>
      <c r="GE54" s="1107">
        <f>IF(面積=0,0,ROUND(GE53/面積,1))</f>
        <v>51.4</v>
      </c>
      <c r="GF54" s="681"/>
      <c r="GG54" s="930"/>
      <c r="GH54" s="930"/>
      <c r="GI54" s="930"/>
      <c r="GJ54" s="573"/>
      <c r="GK54" s="572"/>
      <c r="GL54" s="1093">
        <v>11</v>
      </c>
      <c r="GM54" s="1094">
        <v>2</v>
      </c>
      <c r="GN54" s="1095">
        <v>0.85</v>
      </c>
      <c r="GO54" s="1096">
        <v>3.9</v>
      </c>
      <c r="GP54" s="1096">
        <v>8</v>
      </c>
      <c r="GQ54" s="1097">
        <v>11.9</v>
      </c>
      <c r="GR54" s="523"/>
      <c r="GS54" s="573"/>
      <c r="GT54" s="854"/>
      <c r="GU54" s="1111" t="s">
        <v>524</v>
      </c>
      <c r="GV54" s="1111"/>
      <c r="GW54" s="1111"/>
      <c r="GX54" s="1111"/>
      <c r="GY54" s="768"/>
      <c r="GZ54" s="1112"/>
      <c r="HA54" s="1113">
        <v>25.299999999999997</v>
      </c>
      <c r="HB54" s="1114" t="s">
        <v>479</v>
      </c>
      <c r="HC54" s="522"/>
      <c r="HD54" s="412"/>
    </row>
    <row r="55" spans="1:212" ht="20.100000000000001" customHeight="1" thickBot="1">
      <c r="A55" s="383"/>
      <c r="B55" s="383"/>
      <c r="C55" s="383"/>
      <c r="D55" s="383"/>
      <c r="E55" s="384"/>
      <c r="F55" s="384"/>
      <c r="G55" s="384"/>
      <c r="H55" s="1115"/>
      <c r="I55" s="412"/>
      <c r="J55" s="412"/>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c r="AN55" s="384"/>
      <c r="AO55" s="384"/>
      <c r="AP55" s="384"/>
      <c r="AQ55" s="384"/>
      <c r="AR55" s="384"/>
      <c r="AS55" s="384"/>
      <c r="AT55" s="384"/>
      <c r="AU55" s="384"/>
      <c r="AV55" s="384"/>
      <c r="AW55" s="384"/>
      <c r="AX55" s="384"/>
      <c r="AY55" s="384"/>
      <c r="AZ55" s="384"/>
      <c r="BA55" s="384"/>
      <c r="BB55" s="384"/>
      <c r="BC55" s="386"/>
      <c r="BD55" s="383"/>
      <c r="BE55" s="383"/>
      <c r="BF55" s="383"/>
      <c r="BG55" s="383"/>
      <c r="BH55" s="384"/>
      <c r="BI55" s="384"/>
      <c r="BJ55" s="384"/>
      <c r="BK55" s="1115"/>
      <c r="BL55" s="412"/>
      <c r="BM55" s="412"/>
      <c r="BN55" s="384"/>
      <c r="BO55" s="384"/>
      <c r="BP55" s="384"/>
      <c r="BQ55" s="384"/>
      <c r="BR55" s="384"/>
      <c r="BS55" s="384"/>
      <c r="BT55" s="384"/>
      <c r="BU55" s="384"/>
      <c r="BV55" s="384"/>
      <c r="BW55" s="384"/>
      <c r="BX55" s="384"/>
      <c r="BY55" s="384"/>
      <c r="BZ55" s="384"/>
      <c r="CA55" s="384"/>
      <c r="CB55" s="384"/>
      <c r="CC55" s="384"/>
      <c r="CD55" s="384"/>
      <c r="CE55" s="384"/>
      <c r="CF55" s="384"/>
      <c r="CG55" s="384"/>
      <c r="CH55" s="384"/>
      <c r="CI55" s="384"/>
      <c r="CJ55" s="384"/>
      <c r="CK55" s="384"/>
      <c r="CL55" s="384"/>
      <c r="CM55" s="384"/>
      <c r="CN55" s="384"/>
      <c r="CO55" s="384"/>
      <c r="CP55" s="384"/>
      <c r="CQ55" s="384"/>
      <c r="CR55" s="384"/>
      <c r="CS55" s="384"/>
      <c r="CT55" s="384"/>
      <c r="CU55" s="384"/>
      <c r="CV55" s="384"/>
      <c r="CW55" s="384"/>
      <c r="CX55" s="384"/>
      <c r="CY55" s="384"/>
      <c r="CZ55" s="384"/>
      <c r="DA55" s="384"/>
      <c r="DB55" s="384"/>
      <c r="DC55" s="384"/>
      <c r="DD55" s="384"/>
      <c r="DE55" s="384"/>
      <c r="DF55" s="386"/>
      <c r="DG55" s="383"/>
      <c r="DH55" s="383"/>
      <c r="DI55" s="383"/>
      <c r="DJ55" s="383"/>
      <c r="DK55" s="384"/>
      <c r="DL55" s="384"/>
      <c r="DM55" s="384"/>
      <c r="DN55" s="1115"/>
      <c r="DO55" s="412"/>
      <c r="DP55" s="412"/>
      <c r="DQ55" s="384"/>
      <c r="DR55" s="384"/>
      <c r="DS55" s="384"/>
      <c r="DT55" s="384"/>
      <c r="DU55" s="384"/>
      <c r="DV55" s="384"/>
      <c r="DW55" s="384"/>
      <c r="DX55" s="384"/>
      <c r="DY55" s="384"/>
      <c r="DZ55" s="384"/>
      <c r="EA55" s="384"/>
      <c r="EB55" s="384"/>
      <c r="EC55" s="384"/>
      <c r="ED55" s="384"/>
      <c r="EE55" s="384"/>
      <c r="EF55" s="384"/>
      <c r="EG55" s="384"/>
      <c r="EH55" s="384"/>
      <c r="EI55" s="384"/>
      <c r="EJ55" s="384"/>
      <c r="EK55" s="384"/>
      <c r="EL55" s="384"/>
      <c r="EM55" s="384"/>
      <c r="EN55" s="384"/>
      <c r="EO55" s="384"/>
      <c r="EP55" s="384"/>
      <c r="EQ55" s="384"/>
      <c r="ER55" s="384"/>
      <c r="ES55" s="384"/>
      <c r="ET55" s="384"/>
      <c r="EU55" s="384"/>
      <c r="EV55" s="384"/>
      <c r="EW55" s="384"/>
      <c r="EX55" s="384"/>
      <c r="EY55" s="384"/>
      <c r="EZ55" s="384"/>
      <c r="FA55" s="384"/>
      <c r="FB55" s="384"/>
      <c r="FC55" s="384"/>
      <c r="FD55" s="384"/>
      <c r="FE55" s="384"/>
      <c r="FF55" s="384"/>
      <c r="FG55" s="384"/>
      <c r="FH55" s="384"/>
      <c r="FI55" s="386"/>
      <c r="FJ55" s="383"/>
      <c r="FK55" s="383"/>
      <c r="FL55" s="383"/>
      <c r="FM55" s="383"/>
      <c r="FN55" s="384"/>
      <c r="FO55" s="384"/>
      <c r="FP55" s="384"/>
      <c r="FQ55" s="412"/>
      <c r="FR55" s="1115"/>
      <c r="FS55" s="412"/>
      <c r="FT55" s="412"/>
      <c r="FU55" s="412"/>
      <c r="FV55" s="383"/>
      <c r="FW55" s="383"/>
      <c r="FX55" s="383"/>
      <c r="FY55" s="383"/>
      <c r="FZ55" s="383"/>
      <c r="GA55" s="383"/>
      <c r="GB55" s="383"/>
      <c r="GC55" s="383"/>
      <c r="GD55" s="383"/>
      <c r="GE55" s="1116"/>
      <c r="GF55" s="681"/>
      <c r="GG55" s="388"/>
      <c r="GH55" s="388"/>
      <c r="GI55" s="388"/>
      <c r="GJ55" s="523"/>
      <c r="GK55" s="410"/>
      <c r="GL55" s="1117">
        <v>12</v>
      </c>
      <c r="GM55" s="1118">
        <v>3</v>
      </c>
      <c r="GN55" s="1095">
        <v>0.78</v>
      </c>
      <c r="GO55" s="1096">
        <v>3.6</v>
      </c>
      <c r="GP55" s="1096">
        <v>8</v>
      </c>
      <c r="GQ55" s="1097">
        <v>11.6</v>
      </c>
      <c r="GR55" s="523"/>
      <c r="GS55" s="523"/>
      <c r="GT55" s="1119"/>
      <c r="GU55" s="1120"/>
      <c r="GV55" s="572"/>
      <c r="GW55" s="523"/>
      <c r="GX55" s="572"/>
      <c r="GY55" s="388"/>
      <c r="GZ55" s="522"/>
      <c r="HA55" s="573"/>
      <c r="HB55" s="522"/>
      <c r="HC55" s="388"/>
      <c r="HD55" s="384"/>
    </row>
    <row r="56" spans="1:212" ht="20.100000000000001" customHeight="1">
      <c r="A56" s="1121" t="s">
        <v>317</v>
      </c>
      <c r="B56" s="1122"/>
      <c r="C56" s="1122"/>
      <c r="D56" s="1122"/>
      <c r="E56" s="1123"/>
      <c r="F56" s="1124"/>
      <c r="G56" s="1125">
        <v>1</v>
      </c>
      <c r="H56" s="1126"/>
      <c r="I56" s="1127">
        <v>2</v>
      </c>
      <c r="J56" s="1126"/>
      <c r="K56" s="1127">
        <v>3</v>
      </c>
      <c r="L56" s="1126"/>
      <c r="M56" s="1127">
        <v>4</v>
      </c>
      <c r="N56" s="1126"/>
      <c r="O56" s="1127">
        <v>5</v>
      </c>
      <c r="P56" s="1126"/>
      <c r="Q56" s="1127">
        <v>6</v>
      </c>
      <c r="R56" s="1126"/>
      <c r="S56" s="1127">
        <v>7</v>
      </c>
      <c r="T56" s="1126"/>
      <c r="U56" s="1127">
        <v>8</v>
      </c>
      <c r="V56" s="1126"/>
      <c r="W56" s="1127">
        <v>9</v>
      </c>
      <c r="X56" s="1126"/>
      <c r="Y56" s="1127">
        <v>10</v>
      </c>
      <c r="Z56" s="1126"/>
      <c r="AA56" s="1127">
        <v>11</v>
      </c>
      <c r="AB56" s="1126"/>
      <c r="AC56" s="1127">
        <v>12</v>
      </c>
      <c r="AD56" s="1126"/>
      <c r="AE56" s="1127">
        <v>13</v>
      </c>
      <c r="AF56" s="1126"/>
      <c r="AG56" s="1127">
        <v>14</v>
      </c>
      <c r="AH56" s="1126"/>
      <c r="AI56" s="1127">
        <v>15</v>
      </c>
      <c r="AJ56" s="1126"/>
      <c r="AK56" s="1127">
        <v>16</v>
      </c>
      <c r="AL56" s="1126"/>
      <c r="AM56" s="1127">
        <v>17</v>
      </c>
      <c r="AN56" s="1126"/>
      <c r="AO56" s="1127">
        <v>18</v>
      </c>
      <c r="AP56" s="1126"/>
      <c r="AQ56" s="1127">
        <v>19</v>
      </c>
      <c r="AR56" s="1126"/>
      <c r="AS56" s="1127">
        <v>20</v>
      </c>
      <c r="AT56" s="1126"/>
      <c r="AU56" s="1127">
        <v>21</v>
      </c>
      <c r="AV56" s="1126"/>
      <c r="AW56" s="1127">
        <v>22</v>
      </c>
      <c r="AX56" s="1126"/>
      <c r="AY56" s="1127">
        <v>23</v>
      </c>
      <c r="AZ56" s="1126"/>
      <c r="BA56" s="1127">
        <v>24</v>
      </c>
      <c r="BB56" s="1128"/>
      <c r="BC56" s="1031"/>
      <c r="BD56" s="1121" t="s">
        <v>317</v>
      </c>
      <c r="BE56" s="1122"/>
      <c r="BF56" s="1122"/>
      <c r="BG56" s="1122"/>
      <c r="BH56" s="1123"/>
      <c r="BI56" s="1124"/>
      <c r="BJ56" s="1125">
        <v>1</v>
      </c>
      <c r="BK56" s="1126"/>
      <c r="BL56" s="1127">
        <v>2</v>
      </c>
      <c r="BM56" s="1126"/>
      <c r="BN56" s="1127">
        <v>3</v>
      </c>
      <c r="BO56" s="1126"/>
      <c r="BP56" s="1127">
        <v>4</v>
      </c>
      <c r="BQ56" s="1126"/>
      <c r="BR56" s="1127">
        <v>5</v>
      </c>
      <c r="BS56" s="1126"/>
      <c r="BT56" s="1127">
        <v>6</v>
      </c>
      <c r="BU56" s="1126"/>
      <c r="BV56" s="1127">
        <v>7</v>
      </c>
      <c r="BW56" s="1126"/>
      <c r="BX56" s="1127">
        <v>8</v>
      </c>
      <c r="BY56" s="1126"/>
      <c r="BZ56" s="1127">
        <v>9</v>
      </c>
      <c r="CA56" s="1126"/>
      <c r="CB56" s="1127">
        <v>10</v>
      </c>
      <c r="CC56" s="1126"/>
      <c r="CD56" s="1127">
        <v>11</v>
      </c>
      <c r="CE56" s="1126"/>
      <c r="CF56" s="1127">
        <v>12</v>
      </c>
      <c r="CG56" s="1126"/>
      <c r="CH56" s="1127">
        <v>13</v>
      </c>
      <c r="CI56" s="1126"/>
      <c r="CJ56" s="1127">
        <v>14</v>
      </c>
      <c r="CK56" s="1126"/>
      <c r="CL56" s="1127">
        <v>15</v>
      </c>
      <c r="CM56" s="1126"/>
      <c r="CN56" s="1127">
        <v>16</v>
      </c>
      <c r="CO56" s="1126"/>
      <c r="CP56" s="1127">
        <v>17</v>
      </c>
      <c r="CQ56" s="1126"/>
      <c r="CR56" s="1127">
        <v>18</v>
      </c>
      <c r="CS56" s="1126"/>
      <c r="CT56" s="1127">
        <v>19</v>
      </c>
      <c r="CU56" s="1126"/>
      <c r="CV56" s="1127">
        <v>20</v>
      </c>
      <c r="CW56" s="1126"/>
      <c r="CX56" s="1127">
        <v>21</v>
      </c>
      <c r="CY56" s="1126"/>
      <c r="CZ56" s="1127">
        <v>22</v>
      </c>
      <c r="DA56" s="1126"/>
      <c r="DB56" s="1127">
        <v>23</v>
      </c>
      <c r="DC56" s="1126"/>
      <c r="DD56" s="1127">
        <v>24</v>
      </c>
      <c r="DE56" s="1128"/>
      <c r="DF56" s="1031"/>
      <c r="DG56" s="1121" t="s">
        <v>317</v>
      </c>
      <c r="DH56" s="1122"/>
      <c r="DI56" s="1122"/>
      <c r="DJ56" s="1122"/>
      <c r="DK56" s="1123"/>
      <c r="DL56" s="1124"/>
      <c r="DM56" s="1125">
        <v>1</v>
      </c>
      <c r="DN56" s="1126"/>
      <c r="DO56" s="1127">
        <v>2</v>
      </c>
      <c r="DP56" s="1126"/>
      <c r="DQ56" s="1127">
        <v>3</v>
      </c>
      <c r="DR56" s="1126"/>
      <c r="DS56" s="1127">
        <v>4</v>
      </c>
      <c r="DT56" s="1126"/>
      <c r="DU56" s="1127">
        <v>5</v>
      </c>
      <c r="DV56" s="1126"/>
      <c r="DW56" s="1127">
        <v>6</v>
      </c>
      <c r="DX56" s="1126"/>
      <c r="DY56" s="1127">
        <v>7</v>
      </c>
      <c r="DZ56" s="1126"/>
      <c r="EA56" s="1127">
        <v>8</v>
      </c>
      <c r="EB56" s="1126"/>
      <c r="EC56" s="1127">
        <v>9</v>
      </c>
      <c r="ED56" s="1126"/>
      <c r="EE56" s="1127">
        <v>10</v>
      </c>
      <c r="EF56" s="1126"/>
      <c r="EG56" s="1127">
        <v>11</v>
      </c>
      <c r="EH56" s="1126"/>
      <c r="EI56" s="1127">
        <v>12</v>
      </c>
      <c r="EJ56" s="1126"/>
      <c r="EK56" s="1127">
        <v>13</v>
      </c>
      <c r="EL56" s="1126"/>
      <c r="EM56" s="1127">
        <v>14</v>
      </c>
      <c r="EN56" s="1126"/>
      <c r="EO56" s="1127">
        <v>15</v>
      </c>
      <c r="EP56" s="1126"/>
      <c r="EQ56" s="1127">
        <v>16</v>
      </c>
      <c r="ER56" s="1126"/>
      <c r="ES56" s="1127">
        <v>17</v>
      </c>
      <c r="ET56" s="1126"/>
      <c r="EU56" s="1127">
        <v>18</v>
      </c>
      <c r="EV56" s="1126"/>
      <c r="EW56" s="1127">
        <v>19</v>
      </c>
      <c r="EX56" s="1126"/>
      <c r="EY56" s="1127">
        <v>20</v>
      </c>
      <c r="EZ56" s="1126"/>
      <c r="FA56" s="1127">
        <v>21</v>
      </c>
      <c r="FB56" s="1126"/>
      <c r="FC56" s="1127">
        <v>22</v>
      </c>
      <c r="FD56" s="1126"/>
      <c r="FE56" s="1127">
        <v>23</v>
      </c>
      <c r="FF56" s="1126"/>
      <c r="FG56" s="1127">
        <v>24</v>
      </c>
      <c r="FH56" s="1128"/>
      <c r="FI56" s="1031"/>
      <c r="FJ56" s="1121" t="s">
        <v>318</v>
      </c>
      <c r="FK56" s="1122"/>
      <c r="FL56" s="1122"/>
      <c r="FM56" s="1122"/>
      <c r="FN56" s="1123"/>
      <c r="FO56" s="1123"/>
      <c r="FP56" s="1129" t="s">
        <v>319</v>
      </c>
      <c r="FQ56" s="1130"/>
      <c r="FR56" s="1131"/>
      <c r="FS56" s="1132" t="s">
        <v>261</v>
      </c>
      <c r="FT56" s="1133"/>
      <c r="FU56" s="1134"/>
      <c r="FV56" s="1135" t="s">
        <v>320</v>
      </c>
      <c r="FW56" s="1136"/>
      <c r="FX56" s="1137" t="s">
        <v>321</v>
      </c>
      <c r="FY56" s="1138"/>
      <c r="FZ56" s="1139" t="s">
        <v>322</v>
      </c>
      <c r="GA56" s="1140"/>
      <c r="GB56" s="1141" t="s">
        <v>323</v>
      </c>
      <c r="GC56" s="1126"/>
      <c r="GD56" s="1141" t="s">
        <v>324</v>
      </c>
      <c r="GE56" s="1128"/>
      <c r="GF56" s="681"/>
      <c r="GG56" s="476"/>
      <c r="GH56" s="476"/>
      <c r="GI56" s="476"/>
      <c r="GJ56" s="523"/>
      <c r="GK56" s="572"/>
      <c r="GL56" s="1093">
        <v>13</v>
      </c>
      <c r="GM56" s="1094">
        <v>4</v>
      </c>
      <c r="GN56" s="1095">
        <v>0.72</v>
      </c>
      <c r="GO56" s="1096">
        <v>3.3</v>
      </c>
      <c r="GP56" s="1096">
        <v>8</v>
      </c>
      <c r="GQ56" s="1097">
        <v>11.3</v>
      </c>
      <c r="GR56" s="523"/>
      <c r="GS56" s="522"/>
      <c r="GT56" s="1257"/>
      <c r="GU56" s="571"/>
      <c r="GV56" s="572"/>
      <c r="GW56" s="571"/>
      <c r="GX56" s="572"/>
      <c r="GY56" s="572"/>
      <c r="GZ56" s="493"/>
      <c r="HA56" s="571"/>
      <c r="HB56" s="493"/>
      <c r="HC56" s="479"/>
    </row>
    <row r="57" spans="1:212" ht="20.100000000000001" customHeight="1">
      <c r="A57" s="1142"/>
      <c r="B57" s="1143"/>
      <c r="C57" s="1143"/>
      <c r="D57" s="1143"/>
      <c r="E57" s="1144"/>
      <c r="F57" s="1145"/>
      <c r="G57" s="1146" t="s">
        <v>325</v>
      </c>
      <c r="H57" s="1147" t="s">
        <v>289</v>
      </c>
      <c r="I57" s="1148" t="s">
        <v>325</v>
      </c>
      <c r="J57" s="1147" t="s">
        <v>289</v>
      </c>
      <c r="K57" s="1148" t="s">
        <v>325</v>
      </c>
      <c r="L57" s="1147" t="s">
        <v>289</v>
      </c>
      <c r="M57" s="1148" t="s">
        <v>325</v>
      </c>
      <c r="N57" s="1147" t="s">
        <v>289</v>
      </c>
      <c r="O57" s="1148" t="s">
        <v>325</v>
      </c>
      <c r="P57" s="1147" t="s">
        <v>289</v>
      </c>
      <c r="Q57" s="1148" t="s">
        <v>325</v>
      </c>
      <c r="R57" s="1147" t="s">
        <v>289</v>
      </c>
      <c r="S57" s="1148" t="s">
        <v>325</v>
      </c>
      <c r="T57" s="1147" t="s">
        <v>289</v>
      </c>
      <c r="U57" s="1148" t="s">
        <v>325</v>
      </c>
      <c r="V57" s="1147" t="s">
        <v>289</v>
      </c>
      <c r="W57" s="1148" t="s">
        <v>325</v>
      </c>
      <c r="X57" s="1147" t="s">
        <v>289</v>
      </c>
      <c r="Y57" s="1148" t="s">
        <v>325</v>
      </c>
      <c r="Z57" s="1147" t="s">
        <v>289</v>
      </c>
      <c r="AA57" s="1148" t="s">
        <v>325</v>
      </c>
      <c r="AB57" s="1147" t="s">
        <v>289</v>
      </c>
      <c r="AC57" s="1148" t="s">
        <v>325</v>
      </c>
      <c r="AD57" s="1147" t="s">
        <v>325</v>
      </c>
      <c r="AE57" s="1148" t="s">
        <v>325</v>
      </c>
      <c r="AF57" s="1147" t="s">
        <v>289</v>
      </c>
      <c r="AG57" s="1148" t="s">
        <v>325</v>
      </c>
      <c r="AH57" s="1147" t="s">
        <v>289</v>
      </c>
      <c r="AI57" s="1148" t="s">
        <v>325</v>
      </c>
      <c r="AJ57" s="1147" t="s">
        <v>289</v>
      </c>
      <c r="AK57" s="1148" t="s">
        <v>325</v>
      </c>
      <c r="AL57" s="1147" t="s">
        <v>289</v>
      </c>
      <c r="AM57" s="1148" t="s">
        <v>325</v>
      </c>
      <c r="AN57" s="1147" t="s">
        <v>289</v>
      </c>
      <c r="AO57" s="1148" t="s">
        <v>325</v>
      </c>
      <c r="AP57" s="1147" t="s">
        <v>289</v>
      </c>
      <c r="AQ57" s="1148" t="s">
        <v>325</v>
      </c>
      <c r="AR57" s="1147" t="s">
        <v>289</v>
      </c>
      <c r="AS57" s="1148" t="s">
        <v>325</v>
      </c>
      <c r="AT57" s="1147" t="s">
        <v>289</v>
      </c>
      <c r="AU57" s="1148" t="s">
        <v>325</v>
      </c>
      <c r="AV57" s="1147" t="s">
        <v>289</v>
      </c>
      <c r="AW57" s="1148" t="s">
        <v>325</v>
      </c>
      <c r="AX57" s="1147" t="s">
        <v>289</v>
      </c>
      <c r="AY57" s="1148" t="s">
        <v>325</v>
      </c>
      <c r="AZ57" s="1147" t="s">
        <v>289</v>
      </c>
      <c r="BA57" s="1149" t="s">
        <v>325</v>
      </c>
      <c r="BB57" s="1150" t="s">
        <v>289</v>
      </c>
      <c r="BC57" s="1045"/>
      <c r="BD57" s="1142"/>
      <c r="BE57" s="1143"/>
      <c r="BF57" s="1143"/>
      <c r="BG57" s="1143"/>
      <c r="BH57" s="1144"/>
      <c r="BI57" s="1145"/>
      <c r="BJ57" s="1146" t="s">
        <v>325</v>
      </c>
      <c r="BK57" s="1147" t="s">
        <v>289</v>
      </c>
      <c r="BL57" s="1148" t="s">
        <v>325</v>
      </c>
      <c r="BM57" s="1147" t="s">
        <v>289</v>
      </c>
      <c r="BN57" s="1148" t="s">
        <v>325</v>
      </c>
      <c r="BO57" s="1147" t="s">
        <v>289</v>
      </c>
      <c r="BP57" s="1148" t="s">
        <v>325</v>
      </c>
      <c r="BQ57" s="1147" t="s">
        <v>289</v>
      </c>
      <c r="BR57" s="1148" t="s">
        <v>325</v>
      </c>
      <c r="BS57" s="1147" t="s">
        <v>289</v>
      </c>
      <c r="BT57" s="1148" t="s">
        <v>325</v>
      </c>
      <c r="BU57" s="1147" t="s">
        <v>289</v>
      </c>
      <c r="BV57" s="1148" t="s">
        <v>325</v>
      </c>
      <c r="BW57" s="1147" t="s">
        <v>289</v>
      </c>
      <c r="BX57" s="1148" t="s">
        <v>325</v>
      </c>
      <c r="BY57" s="1147" t="s">
        <v>289</v>
      </c>
      <c r="BZ57" s="1148" t="s">
        <v>325</v>
      </c>
      <c r="CA57" s="1147" t="s">
        <v>289</v>
      </c>
      <c r="CB57" s="1148" t="s">
        <v>325</v>
      </c>
      <c r="CC57" s="1147" t="s">
        <v>289</v>
      </c>
      <c r="CD57" s="1148" t="s">
        <v>325</v>
      </c>
      <c r="CE57" s="1147" t="s">
        <v>289</v>
      </c>
      <c r="CF57" s="1148" t="s">
        <v>325</v>
      </c>
      <c r="CG57" s="1147" t="s">
        <v>325</v>
      </c>
      <c r="CH57" s="1148" t="s">
        <v>325</v>
      </c>
      <c r="CI57" s="1147" t="s">
        <v>289</v>
      </c>
      <c r="CJ57" s="1148" t="s">
        <v>325</v>
      </c>
      <c r="CK57" s="1147" t="s">
        <v>289</v>
      </c>
      <c r="CL57" s="1148" t="s">
        <v>325</v>
      </c>
      <c r="CM57" s="1147" t="s">
        <v>289</v>
      </c>
      <c r="CN57" s="1148" t="s">
        <v>325</v>
      </c>
      <c r="CO57" s="1147" t="s">
        <v>289</v>
      </c>
      <c r="CP57" s="1148" t="s">
        <v>325</v>
      </c>
      <c r="CQ57" s="1147" t="s">
        <v>289</v>
      </c>
      <c r="CR57" s="1148" t="s">
        <v>325</v>
      </c>
      <c r="CS57" s="1147" t="s">
        <v>289</v>
      </c>
      <c r="CT57" s="1148" t="s">
        <v>325</v>
      </c>
      <c r="CU57" s="1147" t="s">
        <v>289</v>
      </c>
      <c r="CV57" s="1148" t="s">
        <v>325</v>
      </c>
      <c r="CW57" s="1147" t="s">
        <v>289</v>
      </c>
      <c r="CX57" s="1148" t="s">
        <v>325</v>
      </c>
      <c r="CY57" s="1147" t="s">
        <v>289</v>
      </c>
      <c r="CZ57" s="1148" t="s">
        <v>325</v>
      </c>
      <c r="DA57" s="1147" t="s">
        <v>289</v>
      </c>
      <c r="DB57" s="1148" t="s">
        <v>325</v>
      </c>
      <c r="DC57" s="1147" t="s">
        <v>289</v>
      </c>
      <c r="DD57" s="1149" t="s">
        <v>325</v>
      </c>
      <c r="DE57" s="1150" t="s">
        <v>289</v>
      </c>
      <c r="DF57" s="1045"/>
      <c r="DG57" s="1142"/>
      <c r="DH57" s="1143"/>
      <c r="DI57" s="1143"/>
      <c r="DJ57" s="1143"/>
      <c r="DK57" s="1144"/>
      <c r="DL57" s="1145"/>
      <c r="DM57" s="1146" t="s">
        <v>325</v>
      </c>
      <c r="DN57" s="1147" t="s">
        <v>289</v>
      </c>
      <c r="DO57" s="1148" t="s">
        <v>325</v>
      </c>
      <c r="DP57" s="1147" t="s">
        <v>289</v>
      </c>
      <c r="DQ57" s="1148" t="s">
        <v>325</v>
      </c>
      <c r="DR57" s="1147" t="s">
        <v>289</v>
      </c>
      <c r="DS57" s="1148" t="s">
        <v>325</v>
      </c>
      <c r="DT57" s="1147" t="s">
        <v>289</v>
      </c>
      <c r="DU57" s="1148" t="s">
        <v>325</v>
      </c>
      <c r="DV57" s="1147" t="s">
        <v>289</v>
      </c>
      <c r="DW57" s="1148" t="s">
        <v>325</v>
      </c>
      <c r="DX57" s="1147" t="s">
        <v>289</v>
      </c>
      <c r="DY57" s="1148" t="s">
        <v>325</v>
      </c>
      <c r="DZ57" s="1147" t="s">
        <v>289</v>
      </c>
      <c r="EA57" s="1148" t="s">
        <v>325</v>
      </c>
      <c r="EB57" s="1147" t="s">
        <v>289</v>
      </c>
      <c r="EC57" s="1148" t="s">
        <v>325</v>
      </c>
      <c r="ED57" s="1147" t="s">
        <v>289</v>
      </c>
      <c r="EE57" s="1148" t="s">
        <v>325</v>
      </c>
      <c r="EF57" s="1147" t="s">
        <v>289</v>
      </c>
      <c r="EG57" s="1148" t="s">
        <v>325</v>
      </c>
      <c r="EH57" s="1147" t="s">
        <v>289</v>
      </c>
      <c r="EI57" s="1148" t="s">
        <v>325</v>
      </c>
      <c r="EJ57" s="1147" t="s">
        <v>325</v>
      </c>
      <c r="EK57" s="1148" t="s">
        <v>325</v>
      </c>
      <c r="EL57" s="1147" t="s">
        <v>289</v>
      </c>
      <c r="EM57" s="1148" t="s">
        <v>325</v>
      </c>
      <c r="EN57" s="1147" t="s">
        <v>289</v>
      </c>
      <c r="EO57" s="1148" t="s">
        <v>325</v>
      </c>
      <c r="EP57" s="1147" t="s">
        <v>289</v>
      </c>
      <c r="EQ57" s="1148" t="s">
        <v>325</v>
      </c>
      <c r="ER57" s="1147" t="s">
        <v>289</v>
      </c>
      <c r="ES57" s="1148" t="s">
        <v>325</v>
      </c>
      <c r="ET57" s="1147" t="s">
        <v>289</v>
      </c>
      <c r="EU57" s="1148" t="s">
        <v>325</v>
      </c>
      <c r="EV57" s="1147" t="s">
        <v>289</v>
      </c>
      <c r="EW57" s="1148" t="s">
        <v>325</v>
      </c>
      <c r="EX57" s="1147" t="s">
        <v>289</v>
      </c>
      <c r="EY57" s="1148" t="s">
        <v>325</v>
      </c>
      <c r="EZ57" s="1147" t="s">
        <v>289</v>
      </c>
      <c r="FA57" s="1148" t="s">
        <v>325</v>
      </c>
      <c r="FB57" s="1147" t="s">
        <v>289</v>
      </c>
      <c r="FC57" s="1148" t="s">
        <v>325</v>
      </c>
      <c r="FD57" s="1147" t="s">
        <v>289</v>
      </c>
      <c r="FE57" s="1148" t="s">
        <v>325</v>
      </c>
      <c r="FF57" s="1147" t="s">
        <v>289</v>
      </c>
      <c r="FG57" s="1149" t="s">
        <v>325</v>
      </c>
      <c r="FH57" s="1150" t="s">
        <v>289</v>
      </c>
      <c r="FI57" s="1045"/>
      <c r="FJ57" s="1142"/>
      <c r="FK57" s="1143"/>
      <c r="FL57" s="1143"/>
      <c r="FM57" s="1143"/>
      <c r="FN57" s="1144"/>
      <c r="FO57" s="1145"/>
      <c r="FP57" s="1151" t="s">
        <v>272</v>
      </c>
      <c r="FQ57" s="1149" t="s">
        <v>325</v>
      </c>
      <c r="FR57" s="1147" t="s">
        <v>290</v>
      </c>
      <c r="FS57" s="1152" t="s">
        <v>272</v>
      </c>
      <c r="FT57" s="1149" t="s">
        <v>325</v>
      </c>
      <c r="FU57" s="1153" t="s">
        <v>290</v>
      </c>
      <c r="FV57" s="1154" t="s">
        <v>272</v>
      </c>
      <c r="FW57" s="1147" t="s">
        <v>289</v>
      </c>
      <c r="FX57" s="1152" t="s">
        <v>272</v>
      </c>
      <c r="FY57" s="1147" t="s">
        <v>289</v>
      </c>
      <c r="FZ57" s="1152" t="s">
        <v>272</v>
      </c>
      <c r="GA57" s="1147" t="s">
        <v>289</v>
      </c>
      <c r="GB57" s="1152" t="s">
        <v>272</v>
      </c>
      <c r="GC57" s="1147" t="s">
        <v>289</v>
      </c>
      <c r="GD57" s="1152" t="s">
        <v>272</v>
      </c>
      <c r="GE57" s="1150" t="s">
        <v>290</v>
      </c>
      <c r="GF57" s="681"/>
      <c r="GG57" s="648"/>
      <c r="GH57" s="648"/>
      <c r="GI57" s="648"/>
      <c r="GJ57" s="946"/>
      <c r="GK57" s="406"/>
      <c r="GL57" s="1117">
        <v>14</v>
      </c>
      <c r="GM57" s="1118">
        <v>5</v>
      </c>
      <c r="GN57" s="1095">
        <v>0.66</v>
      </c>
      <c r="GO57" s="1096">
        <v>3</v>
      </c>
      <c r="GP57" s="1096">
        <v>8</v>
      </c>
      <c r="GQ57" s="1097">
        <v>11</v>
      </c>
      <c r="GR57" s="946"/>
      <c r="GS57" s="522"/>
      <c r="GT57" s="1257"/>
      <c r="GU57" s="571"/>
      <c r="GV57" s="571"/>
      <c r="GW57" s="493"/>
      <c r="GX57" s="1260"/>
      <c r="GY57" s="572"/>
      <c r="GZ57" s="493"/>
      <c r="HA57" s="571"/>
      <c r="HB57" s="493"/>
      <c r="HC57" s="1045"/>
    </row>
    <row r="58" spans="1:212" ht="20.100000000000001" customHeight="1">
      <c r="A58" s="1155" t="s">
        <v>756</v>
      </c>
      <c r="B58" s="1156"/>
      <c r="C58" s="1156"/>
      <c r="D58" s="1156"/>
      <c r="E58" s="1157"/>
      <c r="F58" s="1158"/>
      <c r="G58" s="1159"/>
      <c r="H58" s="1160"/>
      <c r="I58" s="1161"/>
      <c r="J58" s="1160"/>
      <c r="K58" s="1161"/>
      <c r="L58" s="1160"/>
      <c r="M58" s="1161"/>
      <c r="N58" s="1160"/>
      <c r="O58" s="1161"/>
      <c r="P58" s="1160"/>
      <c r="Q58" s="1161"/>
      <c r="R58" s="1160"/>
      <c r="S58" s="1161"/>
      <c r="T58" s="1160"/>
      <c r="U58" s="1161"/>
      <c r="V58" s="1160"/>
      <c r="W58" s="1161"/>
      <c r="X58" s="1160">
        <v>480</v>
      </c>
      <c r="Y58" s="1161"/>
      <c r="Z58" s="1160">
        <v>480</v>
      </c>
      <c r="AA58" s="1161"/>
      <c r="AB58" s="1160">
        <v>480</v>
      </c>
      <c r="AC58" s="1161"/>
      <c r="AD58" s="1160">
        <v>480</v>
      </c>
      <c r="AE58" s="1161"/>
      <c r="AF58" s="1160">
        <v>480</v>
      </c>
      <c r="AG58" s="1161"/>
      <c r="AH58" s="1160">
        <v>480</v>
      </c>
      <c r="AI58" s="1161"/>
      <c r="AJ58" s="1160">
        <v>480</v>
      </c>
      <c r="AK58" s="1161"/>
      <c r="AL58" s="1160">
        <v>480</v>
      </c>
      <c r="AM58" s="1161"/>
      <c r="AN58" s="1160">
        <v>480</v>
      </c>
      <c r="AO58" s="1161"/>
      <c r="AP58" s="1160">
        <v>480</v>
      </c>
      <c r="AQ58" s="1161"/>
      <c r="AR58" s="1160"/>
      <c r="AS58" s="1161"/>
      <c r="AT58" s="1160"/>
      <c r="AU58" s="1161"/>
      <c r="AV58" s="1160"/>
      <c r="AW58" s="1161"/>
      <c r="AX58" s="1160"/>
      <c r="AY58" s="1161"/>
      <c r="AZ58" s="1160"/>
      <c r="BA58" s="1161"/>
      <c r="BB58" s="554"/>
      <c r="BC58" s="556"/>
      <c r="BD58" s="1155" t="s">
        <v>757</v>
      </c>
      <c r="BE58" s="1156"/>
      <c r="BF58" s="1156"/>
      <c r="BG58" s="1156"/>
      <c r="BH58" s="1157"/>
      <c r="BI58" s="1158"/>
      <c r="BJ58" s="1159"/>
      <c r="BK58" s="1160"/>
      <c r="BL58" s="1161"/>
      <c r="BM58" s="1160"/>
      <c r="BN58" s="1161"/>
      <c r="BO58" s="1160"/>
      <c r="BP58" s="1161"/>
      <c r="BQ58" s="1160"/>
      <c r="BR58" s="1161"/>
      <c r="BS58" s="1160"/>
      <c r="BT58" s="1161"/>
      <c r="BU58" s="1160"/>
      <c r="BV58" s="1161"/>
      <c r="BW58" s="1160"/>
      <c r="BX58" s="1161"/>
      <c r="BY58" s="1160"/>
      <c r="BZ58" s="1161"/>
      <c r="CA58" s="1160">
        <v>480</v>
      </c>
      <c r="CB58" s="1161"/>
      <c r="CC58" s="1160">
        <v>480</v>
      </c>
      <c r="CD58" s="1161"/>
      <c r="CE58" s="1160">
        <v>480</v>
      </c>
      <c r="CF58" s="1161"/>
      <c r="CG58" s="1160">
        <v>480</v>
      </c>
      <c r="CH58" s="1161"/>
      <c r="CI58" s="1160">
        <v>480</v>
      </c>
      <c r="CJ58" s="1161"/>
      <c r="CK58" s="1160">
        <v>480</v>
      </c>
      <c r="CL58" s="1161"/>
      <c r="CM58" s="1160">
        <v>480</v>
      </c>
      <c r="CN58" s="1161"/>
      <c r="CO58" s="1160">
        <v>480</v>
      </c>
      <c r="CP58" s="1161"/>
      <c r="CQ58" s="1160">
        <v>480</v>
      </c>
      <c r="CR58" s="1161"/>
      <c r="CS58" s="1160">
        <v>480</v>
      </c>
      <c r="CT58" s="1161"/>
      <c r="CU58" s="1160"/>
      <c r="CV58" s="1161"/>
      <c r="CW58" s="1160"/>
      <c r="CX58" s="1161"/>
      <c r="CY58" s="1160"/>
      <c r="CZ58" s="1161"/>
      <c r="DA58" s="1160"/>
      <c r="DB58" s="1161"/>
      <c r="DC58" s="1160"/>
      <c r="DD58" s="1161"/>
      <c r="DE58" s="554"/>
      <c r="DF58" s="555"/>
      <c r="DG58" s="1155" t="s">
        <v>757</v>
      </c>
      <c r="DH58" s="1156"/>
      <c r="DI58" s="1156"/>
      <c r="DJ58" s="1156"/>
      <c r="DK58" s="1157"/>
      <c r="DL58" s="1158"/>
      <c r="DM58" s="1159"/>
      <c r="DN58" s="1160"/>
      <c r="DO58" s="1161"/>
      <c r="DP58" s="1160"/>
      <c r="DQ58" s="1161"/>
      <c r="DR58" s="1160"/>
      <c r="DS58" s="1161"/>
      <c r="DT58" s="1160"/>
      <c r="DU58" s="1161"/>
      <c r="DV58" s="1160"/>
      <c r="DW58" s="1161"/>
      <c r="DX58" s="1160"/>
      <c r="DY58" s="1161"/>
      <c r="DZ58" s="1160"/>
      <c r="EA58" s="1161"/>
      <c r="EB58" s="1160"/>
      <c r="EC58" s="1161"/>
      <c r="ED58" s="1160">
        <v>480</v>
      </c>
      <c r="EE58" s="1161"/>
      <c r="EF58" s="1160">
        <v>480</v>
      </c>
      <c r="EG58" s="1161"/>
      <c r="EH58" s="1160">
        <v>480</v>
      </c>
      <c r="EI58" s="1161"/>
      <c r="EJ58" s="1160">
        <v>480</v>
      </c>
      <c r="EK58" s="1161"/>
      <c r="EL58" s="1160">
        <v>480</v>
      </c>
      <c r="EM58" s="1161"/>
      <c r="EN58" s="1160">
        <v>480</v>
      </c>
      <c r="EO58" s="1161"/>
      <c r="EP58" s="1160">
        <v>480</v>
      </c>
      <c r="EQ58" s="1161"/>
      <c r="ER58" s="1160">
        <v>480</v>
      </c>
      <c r="ES58" s="1161"/>
      <c r="ET58" s="1160">
        <v>480</v>
      </c>
      <c r="EU58" s="1161"/>
      <c r="EV58" s="1160">
        <v>480</v>
      </c>
      <c r="EW58" s="1161"/>
      <c r="EX58" s="1160"/>
      <c r="EY58" s="1161"/>
      <c r="EZ58" s="1160"/>
      <c r="FA58" s="1161"/>
      <c r="FB58" s="1160"/>
      <c r="FC58" s="1161"/>
      <c r="FD58" s="1160"/>
      <c r="FE58" s="1161"/>
      <c r="FF58" s="1160"/>
      <c r="FG58" s="1161"/>
      <c r="FH58" s="554"/>
      <c r="FI58" s="556"/>
      <c r="FJ58" s="1155" t="s">
        <v>757</v>
      </c>
      <c r="FK58" s="1156"/>
      <c r="FL58" s="1156"/>
      <c r="FM58" s="1156"/>
      <c r="FN58" s="1157"/>
      <c r="FO58" s="1158"/>
      <c r="FP58" s="1162"/>
      <c r="FQ58" s="1163"/>
      <c r="FR58" s="1160">
        <v>480</v>
      </c>
      <c r="FS58" s="1164"/>
      <c r="FT58" s="1163"/>
      <c r="FU58" s="1165">
        <v>480</v>
      </c>
      <c r="FV58" s="1166"/>
      <c r="FW58" s="1167"/>
      <c r="FX58" s="1168"/>
      <c r="FY58" s="1167"/>
      <c r="FZ58" s="1168"/>
      <c r="GA58" s="1167"/>
      <c r="GB58" s="1168"/>
      <c r="GC58" s="1167"/>
      <c r="GD58" s="1168"/>
      <c r="GE58" s="1169"/>
      <c r="GF58" s="681"/>
      <c r="GG58" s="595"/>
      <c r="GH58" s="595"/>
      <c r="GI58" s="595"/>
      <c r="GJ58" s="946"/>
      <c r="GK58" s="1170"/>
      <c r="GL58" s="1093">
        <v>15</v>
      </c>
      <c r="GM58" s="1094">
        <v>6</v>
      </c>
      <c r="GN58" s="1095">
        <v>0.61</v>
      </c>
      <c r="GO58" s="1096">
        <v>2.8</v>
      </c>
      <c r="GP58" s="1096">
        <v>8</v>
      </c>
      <c r="GQ58" s="1097">
        <v>10.8</v>
      </c>
      <c r="GR58" s="946"/>
      <c r="GS58" s="523"/>
      <c r="GT58" s="682"/>
      <c r="GU58" s="493"/>
      <c r="GV58" s="571"/>
      <c r="GW58" s="493"/>
      <c r="GX58" s="1260"/>
      <c r="GY58" s="1258"/>
      <c r="GZ58" s="572"/>
      <c r="HA58" s="571"/>
      <c r="HB58" s="493"/>
      <c r="HC58" s="555"/>
      <c r="HD58" s="1171"/>
    </row>
    <row r="59" spans="1:212" ht="20.100000000000001" customHeight="1">
      <c r="A59" s="1172" t="s">
        <v>760</v>
      </c>
      <c r="B59" s="1173"/>
      <c r="C59" s="1173"/>
      <c r="D59" s="1174" t="s">
        <v>759</v>
      </c>
      <c r="E59" s="1175"/>
      <c r="F59" s="1014"/>
      <c r="G59" s="1176">
        <v>0</v>
      </c>
      <c r="H59" s="578">
        <v>0</v>
      </c>
      <c r="I59" s="1177">
        <v>0</v>
      </c>
      <c r="J59" s="580">
        <v>0</v>
      </c>
      <c r="K59" s="1177">
        <v>0</v>
      </c>
      <c r="L59" s="580">
        <v>0</v>
      </c>
      <c r="M59" s="1177">
        <v>0</v>
      </c>
      <c r="N59" s="580">
        <v>0</v>
      </c>
      <c r="O59" s="1177">
        <v>0</v>
      </c>
      <c r="P59" s="580">
        <v>0</v>
      </c>
      <c r="Q59" s="1177">
        <v>0</v>
      </c>
      <c r="R59" s="580">
        <v>0</v>
      </c>
      <c r="S59" s="1177">
        <v>0</v>
      </c>
      <c r="T59" s="580">
        <v>0</v>
      </c>
      <c r="U59" s="1177">
        <v>0</v>
      </c>
      <c r="V59" s="580">
        <v>0</v>
      </c>
      <c r="W59" s="1177">
        <v>17.100000000000001</v>
      </c>
      <c r="X59" s="580">
        <v>2736</v>
      </c>
      <c r="Y59" s="1177">
        <v>18.600000000000001</v>
      </c>
      <c r="Z59" s="580">
        <v>2976</v>
      </c>
      <c r="AA59" s="1177">
        <v>20</v>
      </c>
      <c r="AB59" s="580">
        <v>3200</v>
      </c>
      <c r="AC59" s="1177">
        <v>20.2</v>
      </c>
      <c r="AD59" s="580">
        <v>3232</v>
      </c>
      <c r="AE59" s="1177">
        <v>21</v>
      </c>
      <c r="AF59" s="580">
        <v>3360</v>
      </c>
      <c r="AG59" s="1177">
        <v>20.8</v>
      </c>
      <c r="AH59" s="580">
        <v>3328</v>
      </c>
      <c r="AI59" s="1177">
        <v>21.5</v>
      </c>
      <c r="AJ59" s="580">
        <v>3440</v>
      </c>
      <c r="AK59" s="1177">
        <v>20.9</v>
      </c>
      <c r="AL59" s="580">
        <v>3344</v>
      </c>
      <c r="AM59" s="1177">
        <v>19.600000000000001</v>
      </c>
      <c r="AN59" s="580">
        <v>3136</v>
      </c>
      <c r="AO59" s="1177">
        <v>18.899999999999999</v>
      </c>
      <c r="AP59" s="580">
        <v>3024</v>
      </c>
      <c r="AQ59" s="1177">
        <v>0</v>
      </c>
      <c r="AR59" s="580">
        <v>0</v>
      </c>
      <c r="AS59" s="1177">
        <v>0</v>
      </c>
      <c r="AT59" s="580">
        <v>0</v>
      </c>
      <c r="AU59" s="1177">
        <v>0</v>
      </c>
      <c r="AV59" s="580">
        <v>0</v>
      </c>
      <c r="AW59" s="1177">
        <v>0</v>
      </c>
      <c r="AX59" s="580">
        <v>0</v>
      </c>
      <c r="AY59" s="1177">
        <v>0</v>
      </c>
      <c r="AZ59" s="580">
        <v>0</v>
      </c>
      <c r="BA59" s="1177">
        <v>0</v>
      </c>
      <c r="BB59" s="582">
        <v>0</v>
      </c>
      <c r="BC59" s="556"/>
      <c r="BD59" s="1172" t="s">
        <v>760</v>
      </c>
      <c r="BE59" s="1173"/>
      <c r="BF59" s="1173"/>
      <c r="BG59" s="1174" t="s">
        <v>759</v>
      </c>
      <c r="BH59" s="1175"/>
      <c r="BI59" s="1014"/>
      <c r="BJ59" s="1176">
        <v>0</v>
      </c>
      <c r="BK59" s="578">
        <v>0</v>
      </c>
      <c r="BL59" s="1177">
        <v>0</v>
      </c>
      <c r="BM59" s="580">
        <v>0</v>
      </c>
      <c r="BN59" s="1177">
        <v>0</v>
      </c>
      <c r="BO59" s="580">
        <v>0</v>
      </c>
      <c r="BP59" s="1177">
        <v>0</v>
      </c>
      <c r="BQ59" s="580">
        <v>0</v>
      </c>
      <c r="BR59" s="1177">
        <v>0</v>
      </c>
      <c r="BS59" s="580">
        <v>0</v>
      </c>
      <c r="BT59" s="1177">
        <v>0</v>
      </c>
      <c r="BU59" s="580">
        <v>0</v>
      </c>
      <c r="BV59" s="1177">
        <v>0</v>
      </c>
      <c r="BW59" s="580">
        <v>0</v>
      </c>
      <c r="BX59" s="1177">
        <v>0</v>
      </c>
      <c r="BY59" s="580">
        <v>0</v>
      </c>
      <c r="BZ59" s="1177">
        <v>14.3</v>
      </c>
      <c r="CA59" s="580">
        <v>2288</v>
      </c>
      <c r="CB59" s="1177">
        <v>15.9</v>
      </c>
      <c r="CC59" s="580">
        <v>2544</v>
      </c>
      <c r="CD59" s="1177">
        <v>16.2</v>
      </c>
      <c r="CE59" s="580">
        <v>2592</v>
      </c>
      <c r="CF59" s="1177">
        <v>15.9</v>
      </c>
      <c r="CG59" s="580">
        <v>2544</v>
      </c>
      <c r="CH59" s="1177">
        <v>16</v>
      </c>
      <c r="CI59" s="580">
        <v>2560</v>
      </c>
      <c r="CJ59" s="1177">
        <v>15.8</v>
      </c>
      <c r="CK59" s="580">
        <v>2528</v>
      </c>
      <c r="CL59" s="1177">
        <v>16</v>
      </c>
      <c r="CM59" s="580">
        <v>2560</v>
      </c>
      <c r="CN59" s="1177">
        <v>15.2</v>
      </c>
      <c r="CO59" s="580">
        <v>2432</v>
      </c>
      <c r="CP59" s="1177">
        <v>15.2</v>
      </c>
      <c r="CQ59" s="580">
        <v>2432</v>
      </c>
      <c r="CR59" s="1177">
        <v>14.9</v>
      </c>
      <c r="CS59" s="580">
        <v>2384</v>
      </c>
      <c r="CT59" s="1177">
        <v>0</v>
      </c>
      <c r="CU59" s="580">
        <v>0</v>
      </c>
      <c r="CV59" s="1177">
        <v>0</v>
      </c>
      <c r="CW59" s="580">
        <v>0</v>
      </c>
      <c r="CX59" s="1177">
        <v>0</v>
      </c>
      <c r="CY59" s="580">
        <v>0</v>
      </c>
      <c r="CZ59" s="1177">
        <v>0</v>
      </c>
      <c r="DA59" s="580">
        <v>0</v>
      </c>
      <c r="DB59" s="1177">
        <v>0</v>
      </c>
      <c r="DC59" s="580">
        <v>0</v>
      </c>
      <c r="DD59" s="1177">
        <v>0</v>
      </c>
      <c r="DE59" s="582">
        <v>0</v>
      </c>
      <c r="DF59" s="555"/>
      <c r="DG59" s="1172" t="s">
        <v>758</v>
      </c>
      <c r="DH59" s="1173"/>
      <c r="DI59" s="1173"/>
      <c r="DJ59" s="1174" t="s">
        <v>759</v>
      </c>
      <c r="DK59" s="1175"/>
      <c r="DL59" s="1014"/>
      <c r="DM59" s="1176">
        <v>0</v>
      </c>
      <c r="DN59" s="578">
        <v>0</v>
      </c>
      <c r="DO59" s="1177">
        <v>0</v>
      </c>
      <c r="DP59" s="580">
        <v>0</v>
      </c>
      <c r="DQ59" s="1177">
        <v>0</v>
      </c>
      <c r="DR59" s="580">
        <v>0</v>
      </c>
      <c r="DS59" s="1177">
        <v>0</v>
      </c>
      <c r="DT59" s="580">
        <v>0</v>
      </c>
      <c r="DU59" s="1177">
        <v>0</v>
      </c>
      <c r="DV59" s="580">
        <v>0</v>
      </c>
      <c r="DW59" s="1177">
        <v>0</v>
      </c>
      <c r="DX59" s="580">
        <v>0</v>
      </c>
      <c r="DY59" s="1177">
        <v>0</v>
      </c>
      <c r="DZ59" s="580">
        <v>0</v>
      </c>
      <c r="EA59" s="1177">
        <v>0</v>
      </c>
      <c r="EB59" s="580">
        <v>0</v>
      </c>
      <c r="EC59" s="1177">
        <v>0</v>
      </c>
      <c r="ED59" s="580">
        <v>0</v>
      </c>
      <c r="EE59" s="1177">
        <v>0</v>
      </c>
      <c r="EF59" s="580">
        <v>0</v>
      </c>
      <c r="EG59" s="1177">
        <v>0</v>
      </c>
      <c r="EH59" s="580">
        <v>0</v>
      </c>
      <c r="EI59" s="1177">
        <v>0</v>
      </c>
      <c r="EJ59" s="580">
        <v>0</v>
      </c>
      <c r="EK59" s="1177">
        <v>0</v>
      </c>
      <c r="EL59" s="580">
        <v>0</v>
      </c>
      <c r="EM59" s="1177">
        <v>0.3</v>
      </c>
      <c r="EN59" s="580">
        <v>48</v>
      </c>
      <c r="EO59" s="1177">
        <v>0.6</v>
      </c>
      <c r="EP59" s="580">
        <v>96</v>
      </c>
      <c r="EQ59" s="1177">
        <v>0</v>
      </c>
      <c r="ER59" s="580">
        <v>0</v>
      </c>
      <c r="ES59" s="1177">
        <v>0</v>
      </c>
      <c r="ET59" s="580">
        <v>0</v>
      </c>
      <c r="EU59" s="1177">
        <v>0</v>
      </c>
      <c r="EV59" s="580">
        <v>0</v>
      </c>
      <c r="EW59" s="1177">
        <v>0</v>
      </c>
      <c r="EX59" s="580">
        <v>0</v>
      </c>
      <c r="EY59" s="1177">
        <v>0</v>
      </c>
      <c r="EZ59" s="580">
        <v>0</v>
      </c>
      <c r="FA59" s="1177">
        <v>0</v>
      </c>
      <c r="FB59" s="580">
        <v>0</v>
      </c>
      <c r="FC59" s="1177">
        <v>0</v>
      </c>
      <c r="FD59" s="580">
        <v>0</v>
      </c>
      <c r="FE59" s="1177">
        <v>0</v>
      </c>
      <c r="FF59" s="580">
        <v>0</v>
      </c>
      <c r="FG59" s="1177">
        <v>0</v>
      </c>
      <c r="FH59" s="582">
        <v>0</v>
      </c>
      <c r="FI59" s="556"/>
      <c r="FJ59" s="1172" t="s">
        <v>760</v>
      </c>
      <c r="FK59" s="1173"/>
      <c r="FL59" s="1173"/>
      <c r="FM59" s="1174" t="s">
        <v>759</v>
      </c>
      <c r="FN59" s="1175"/>
      <c r="FO59" s="1014"/>
      <c r="FP59" s="618">
        <v>9</v>
      </c>
      <c r="FQ59" s="1178">
        <v>34.5</v>
      </c>
      <c r="FR59" s="1179">
        <v>5520</v>
      </c>
      <c r="FS59" s="1180">
        <v>9</v>
      </c>
      <c r="FT59" s="1178">
        <v>33.1</v>
      </c>
      <c r="FU59" s="1181">
        <v>5296</v>
      </c>
      <c r="FV59" s="1261" t="s">
        <v>762</v>
      </c>
      <c r="FW59" s="1262"/>
      <c r="FX59" s="1263" t="s">
        <v>762</v>
      </c>
      <c r="FY59" s="1262"/>
      <c r="FZ59" s="1263" t="s">
        <v>761</v>
      </c>
      <c r="GA59" s="1262"/>
      <c r="GB59" s="1263" t="s">
        <v>762</v>
      </c>
      <c r="GC59" s="1262"/>
      <c r="GD59" s="1263" t="s">
        <v>761</v>
      </c>
      <c r="GE59" s="1267"/>
      <c r="GF59" s="681"/>
      <c r="GG59" s="1186"/>
      <c r="GH59" s="1186"/>
      <c r="GI59" s="1186"/>
      <c r="GJ59" s="886"/>
      <c r="GK59" s="406"/>
      <c r="GL59" s="1117">
        <v>16</v>
      </c>
      <c r="GM59" s="1118">
        <v>7</v>
      </c>
      <c r="GN59" s="1095">
        <v>0.56000000000000005</v>
      </c>
      <c r="GO59" s="1096">
        <v>2.6</v>
      </c>
      <c r="GP59" s="1096">
        <v>8</v>
      </c>
      <c r="GQ59" s="1097">
        <v>10.6</v>
      </c>
      <c r="GR59" s="886"/>
      <c r="GS59" s="388"/>
      <c r="GT59" s="1259"/>
      <c r="GU59" s="572"/>
      <c r="GV59" s="493"/>
      <c r="GW59" s="493"/>
      <c r="GX59" s="1260"/>
      <c r="GY59" s="1258"/>
      <c r="GZ59" s="572"/>
      <c r="HA59" s="571"/>
      <c r="HB59" s="493"/>
      <c r="HC59" s="1171"/>
      <c r="HD59" s="1187"/>
    </row>
    <row r="60" spans="1:212" ht="20.100000000000001" customHeight="1">
      <c r="A60" s="1172"/>
      <c r="B60" s="1173"/>
      <c r="C60" s="1173"/>
      <c r="D60" s="1188"/>
      <c r="E60" s="1188"/>
      <c r="F60" s="1189">
        <v>0</v>
      </c>
      <c r="G60" s="577"/>
      <c r="H60" s="578"/>
      <c r="I60" s="581"/>
      <c r="J60" s="580"/>
      <c r="K60" s="581"/>
      <c r="L60" s="580"/>
      <c r="M60" s="581"/>
      <c r="N60" s="580"/>
      <c r="O60" s="581"/>
      <c r="P60" s="580"/>
      <c r="Q60" s="581"/>
      <c r="R60" s="580"/>
      <c r="S60" s="581"/>
      <c r="T60" s="580"/>
      <c r="U60" s="581"/>
      <c r="V60" s="580"/>
      <c r="W60" s="581"/>
      <c r="X60" s="580">
        <v>0</v>
      </c>
      <c r="Y60" s="581"/>
      <c r="Z60" s="580">
        <v>0</v>
      </c>
      <c r="AA60" s="581"/>
      <c r="AB60" s="580">
        <v>0</v>
      </c>
      <c r="AC60" s="581"/>
      <c r="AD60" s="580">
        <v>0</v>
      </c>
      <c r="AE60" s="581"/>
      <c r="AF60" s="580">
        <v>0</v>
      </c>
      <c r="AG60" s="581"/>
      <c r="AH60" s="580">
        <v>0</v>
      </c>
      <c r="AI60" s="581"/>
      <c r="AJ60" s="580">
        <v>0</v>
      </c>
      <c r="AK60" s="581"/>
      <c r="AL60" s="580">
        <v>0</v>
      </c>
      <c r="AM60" s="581"/>
      <c r="AN60" s="580">
        <v>0</v>
      </c>
      <c r="AO60" s="581"/>
      <c r="AP60" s="580">
        <v>0</v>
      </c>
      <c r="AQ60" s="581"/>
      <c r="AR60" s="580"/>
      <c r="AS60" s="581"/>
      <c r="AT60" s="580"/>
      <c r="AU60" s="581"/>
      <c r="AV60" s="580"/>
      <c r="AW60" s="581"/>
      <c r="AX60" s="580"/>
      <c r="AY60" s="581"/>
      <c r="AZ60" s="580"/>
      <c r="BA60" s="581"/>
      <c r="BB60" s="582"/>
      <c r="BC60" s="556"/>
      <c r="BD60" s="1172"/>
      <c r="BE60" s="1173"/>
      <c r="BF60" s="1173"/>
      <c r="BG60" s="1188"/>
      <c r="BH60" s="1188"/>
      <c r="BI60" s="1189"/>
      <c r="BJ60" s="577"/>
      <c r="BK60" s="578"/>
      <c r="BL60" s="581"/>
      <c r="BM60" s="580"/>
      <c r="BN60" s="581"/>
      <c r="BO60" s="580"/>
      <c r="BP60" s="581"/>
      <c r="BQ60" s="580"/>
      <c r="BR60" s="581"/>
      <c r="BS60" s="580"/>
      <c r="BT60" s="581"/>
      <c r="BU60" s="580"/>
      <c r="BV60" s="581"/>
      <c r="BW60" s="580"/>
      <c r="BX60" s="581"/>
      <c r="BY60" s="580"/>
      <c r="BZ60" s="581"/>
      <c r="CA60" s="580">
        <v>0</v>
      </c>
      <c r="CB60" s="581"/>
      <c r="CC60" s="580">
        <v>0</v>
      </c>
      <c r="CD60" s="581"/>
      <c r="CE60" s="580">
        <v>0</v>
      </c>
      <c r="CF60" s="581"/>
      <c r="CG60" s="580">
        <v>0</v>
      </c>
      <c r="CH60" s="581"/>
      <c r="CI60" s="580">
        <v>0</v>
      </c>
      <c r="CJ60" s="581"/>
      <c r="CK60" s="580">
        <v>0</v>
      </c>
      <c r="CL60" s="581"/>
      <c r="CM60" s="580">
        <v>0</v>
      </c>
      <c r="CN60" s="581"/>
      <c r="CO60" s="580">
        <v>0</v>
      </c>
      <c r="CP60" s="581"/>
      <c r="CQ60" s="580">
        <v>0</v>
      </c>
      <c r="CR60" s="581"/>
      <c r="CS60" s="580">
        <v>0</v>
      </c>
      <c r="CT60" s="581"/>
      <c r="CU60" s="580"/>
      <c r="CV60" s="581"/>
      <c r="CW60" s="580"/>
      <c r="CX60" s="581"/>
      <c r="CY60" s="580"/>
      <c r="CZ60" s="581"/>
      <c r="DA60" s="580"/>
      <c r="DB60" s="581"/>
      <c r="DC60" s="580"/>
      <c r="DD60" s="581"/>
      <c r="DE60" s="582"/>
      <c r="DF60" s="555"/>
      <c r="DG60" s="1172"/>
      <c r="DH60" s="1173"/>
      <c r="DI60" s="1173"/>
      <c r="DJ60" s="1188"/>
      <c r="DK60" s="1188"/>
      <c r="DL60" s="1189"/>
      <c r="DM60" s="577"/>
      <c r="DN60" s="578"/>
      <c r="DO60" s="581"/>
      <c r="DP60" s="580"/>
      <c r="DQ60" s="581"/>
      <c r="DR60" s="580"/>
      <c r="DS60" s="581"/>
      <c r="DT60" s="580"/>
      <c r="DU60" s="581"/>
      <c r="DV60" s="580"/>
      <c r="DW60" s="581"/>
      <c r="DX60" s="580"/>
      <c r="DY60" s="581"/>
      <c r="DZ60" s="580"/>
      <c r="EA60" s="581"/>
      <c r="EB60" s="580"/>
      <c r="EC60" s="581"/>
      <c r="ED60" s="580">
        <v>0</v>
      </c>
      <c r="EE60" s="581"/>
      <c r="EF60" s="580">
        <v>0</v>
      </c>
      <c r="EG60" s="581"/>
      <c r="EH60" s="580">
        <v>0</v>
      </c>
      <c r="EI60" s="581"/>
      <c r="EJ60" s="580">
        <v>0</v>
      </c>
      <c r="EK60" s="581"/>
      <c r="EL60" s="580">
        <v>0</v>
      </c>
      <c r="EM60" s="581"/>
      <c r="EN60" s="580">
        <v>0</v>
      </c>
      <c r="EO60" s="581"/>
      <c r="EP60" s="580">
        <v>0</v>
      </c>
      <c r="EQ60" s="581"/>
      <c r="ER60" s="580">
        <v>0</v>
      </c>
      <c r="ES60" s="581"/>
      <c r="ET60" s="580">
        <v>0</v>
      </c>
      <c r="EU60" s="581"/>
      <c r="EV60" s="580">
        <v>0</v>
      </c>
      <c r="EW60" s="581"/>
      <c r="EX60" s="580"/>
      <c r="EY60" s="581"/>
      <c r="EZ60" s="580"/>
      <c r="FA60" s="581"/>
      <c r="FB60" s="580"/>
      <c r="FC60" s="581"/>
      <c r="FD60" s="580"/>
      <c r="FE60" s="581"/>
      <c r="FF60" s="580"/>
      <c r="FG60" s="581"/>
      <c r="FH60" s="582"/>
      <c r="FI60" s="556"/>
      <c r="FJ60" s="1172"/>
      <c r="FK60" s="1173"/>
      <c r="FL60" s="1173"/>
      <c r="FM60" s="1190"/>
      <c r="FN60" s="1191"/>
      <c r="FO60" s="1014"/>
      <c r="FP60" s="618"/>
      <c r="FQ60" s="614"/>
      <c r="FR60" s="1179"/>
      <c r="FS60" s="1180"/>
      <c r="FT60" s="614"/>
      <c r="FU60" s="1181"/>
      <c r="FV60" s="1182"/>
      <c r="FW60" s="1183"/>
      <c r="FX60" s="1184"/>
      <c r="FY60" s="1183"/>
      <c r="FZ60" s="1184"/>
      <c r="GA60" s="1183"/>
      <c r="GB60" s="1184"/>
      <c r="GC60" s="1183"/>
      <c r="GD60" s="1184"/>
      <c r="GE60" s="1185"/>
      <c r="GF60" s="681"/>
      <c r="GG60" s="388"/>
      <c r="GH60" s="388"/>
      <c r="GI60" s="388"/>
      <c r="GJ60" s="388"/>
      <c r="GK60" s="388"/>
      <c r="GL60" s="1093">
        <v>17</v>
      </c>
      <c r="GM60" s="1094">
        <v>8</v>
      </c>
      <c r="GN60" s="1095">
        <v>0.51</v>
      </c>
      <c r="GO60" s="1096">
        <v>2.2999999999999998</v>
      </c>
      <c r="GP60" s="1096">
        <v>8</v>
      </c>
      <c r="GQ60" s="1097">
        <v>10.3</v>
      </c>
      <c r="GR60" s="388"/>
      <c r="GS60" s="476"/>
      <c r="GT60" s="1259"/>
      <c r="GU60" s="493"/>
      <c r="GV60" s="572"/>
      <c r="GW60" s="493"/>
      <c r="GX60" s="572"/>
      <c r="GY60" s="493"/>
      <c r="GZ60" s="493"/>
      <c r="HA60" s="571"/>
      <c r="HB60" s="493"/>
      <c r="HC60" s="1192"/>
      <c r="HD60" s="1031"/>
    </row>
    <row r="61" spans="1:212" ht="20.100000000000001" customHeight="1">
      <c r="A61" s="1193" t="s">
        <v>764</v>
      </c>
      <c r="B61" s="1194"/>
      <c r="C61" s="1194"/>
      <c r="D61" s="1194"/>
      <c r="E61" s="1194"/>
      <c r="F61" s="1195"/>
      <c r="G61" s="1196"/>
      <c r="H61" s="1197">
        <v>0</v>
      </c>
      <c r="I61" s="1198"/>
      <c r="J61" s="1199">
        <v>0</v>
      </c>
      <c r="K61" s="1198"/>
      <c r="L61" s="1199">
        <v>0</v>
      </c>
      <c r="M61" s="1198"/>
      <c r="N61" s="1199">
        <v>0</v>
      </c>
      <c r="O61" s="1198"/>
      <c r="P61" s="1199">
        <v>0</v>
      </c>
      <c r="Q61" s="1198"/>
      <c r="R61" s="1199">
        <v>0</v>
      </c>
      <c r="S61" s="1198"/>
      <c r="T61" s="1199">
        <v>0</v>
      </c>
      <c r="U61" s="1198"/>
      <c r="V61" s="1199">
        <v>0</v>
      </c>
      <c r="W61" s="1198"/>
      <c r="X61" s="1199">
        <v>12030</v>
      </c>
      <c r="Y61" s="1198"/>
      <c r="Z61" s="1199">
        <v>11391</v>
      </c>
      <c r="AA61" s="1198"/>
      <c r="AB61" s="1199">
        <v>12172</v>
      </c>
      <c r="AC61" s="1198"/>
      <c r="AD61" s="1199">
        <v>10649</v>
      </c>
      <c r="AE61" s="1198"/>
      <c r="AF61" s="1199">
        <v>13155</v>
      </c>
      <c r="AG61" s="1198"/>
      <c r="AH61" s="1199">
        <v>13111</v>
      </c>
      <c r="AI61" s="1198"/>
      <c r="AJ61" s="1199">
        <v>12942</v>
      </c>
      <c r="AK61" s="1198"/>
      <c r="AL61" s="1199">
        <v>12341</v>
      </c>
      <c r="AM61" s="1198"/>
      <c r="AN61" s="1199">
        <v>11548</v>
      </c>
      <c r="AO61" s="1198"/>
      <c r="AP61" s="1199">
        <v>9991</v>
      </c>
      <c r="AQ61" s="1198"/>
      <c r="AR61" s="1199">
        <v>0</v>
      </c>
      <c r="AS61" s="1198"/>
      <c r="AT61" s="1199">
        <v>0</v>
      </c>
      <c r="AU61" s="1198"/>
      <c r="AV61" s="1199">
        <v>0</v>
      </c>
      <c r="AW61" s="1198"/>
      <c r="AX61" s="1199">
        <v>0</v>
      </c>
      <c r="AY61" s="1198"/>
      <c r="AZ61" s="1199">
        <v>0</v>
      </c>
      <c r="BA61" s="1198"/>
      <c r="BB61" s="1200">
        <v>0</v>
      </c>
      <c r="BC61" s="556"/>
      <c r="BD61" s="1193" t="s">
        <v>763</v>
      </c>
      <c r="BE61" s="1194"/>
      <c r="BF61" s="1194"/>
      <c r="BG61" s="1194"/>
      <c r="BH61" s="1194"/>
      <c r="BI61" s="1195"/>
      <c r="BJ61" s="1196"/>
      <c r="BK61" s="1197">
        <v>0</v>
      </c>
      <c r="BL61" s="1198"/>
      <c r="BM61" s="1199">
        <v>0</v>
      </c>
      <c r="BN61" s="1198"/>
      <c r="BO61" s="1199">
        <v>0</v>
      </c>
      <c r="BP61" s="1198"/>
      <c r="BQ61" s="1199">
        <v>0</v>
      </c>
      <c r="BR61" s="1198"/>
      <c r="BS61" s="1199">
        <v>0</v>
      </c>
      <c r="BT61" s="1198"/>
      <c r="BU61" s="1199">
        <v>0</v>
      </c>
      <c r="BV61" s="1198"/>
      <c r="BW61" s="1199">
        <v>0</v>
      </c>
      <c r="BX61" s="1198"/>
      <c r="BY61" s="1199">
        <v>0</v>
      </c>
      <c r="BZ61" s="1198"/>
      <c r="CA61" s="1199">
        <v>11538</v>
      </c>
      <c r="CB61" s="1198"/>
      <c r="CC61" s="1199">
        <v>10985</v>
      </c>
      <c r="CD61" s="1198"/>
      <c r="CE61" s="1199">
        <v>11664</v>
      </c>
      <c r="CF61" s="1198"/>
      <c r="CG61" s="1199">
        <v>10134</v>
      </c>
      <c r="CH61" s="1198"/>
      <c r="CI61" s="1199">
        <v>12531</v>
      </c>
      <c r="CJ61" s="1198"/>
      <c r="CK61" s="1199">
        <v>12544</v>
      </c>
      <c r="CL61" s="1198"/>
      <c r="CM61" s="1199">
        <v>12342</v>
      </c>
      <c r="CN61" s="1198"/>
      <c r="CO61" s="1199">
        <v>11742</v>
      </c>
      <c r="CP61" s="1198"/>
      <c r="CQ61" s="1199">
        <v>11094</v>
      </c>
      <c r="CR61" s="1198"/>
      <c r="CS61" s="1199">
        <v>9505</v>
      </c>
      <c r="CT61" s="1198"/>
      <c r="CU61" s="1199">
        <v>0</v>
      </c>
      <c r="CV61" s="1198"/>
      <c r="CW61" s="1199">
        <v>0</v>
      </c>
      <c r="CX61" s="1198"/>
      <c r="CY61" s="1199">
        <v>0</v>
      </c>
      <c r="CZ61" s="1198"/>
      <c r="DA61" s="1199">
        <v>0</v>
      </c>
      <c r="DB61" s="1198"/>
      <c r="DC61" s="1199">
        <v>0</v>
      </c>
      <c r="DD61" s="1198"/>
      <c r="DE61" s="1200">
        <v>0</v>
      </c>
      <c r="DF61" s="555"/>
      <c r="DG61" s="1193" t="s">
        <v>763</v>
      </c>
      <c r="DH61" s="1194"/>
      <c r="DI61" s="1194"/>
      <c r="DJ61" s="1194"/>
      <c r="DK61" s="1194"/>
      <c r="DL61" s="1195"/>
      <c r="DM61" s="1196"/>
      <c r="DN61" s="1197">
        <v>0</v>
      </c>
      <c r="DO61" s="1198"/>
      <c r="DP61" s="1199">
        <v>0</v>
      </c>
      <c r="DQ61" s="1198"/>
      <c r="DR61" s="1199">
        <v>0</v>
      </c>
      <c r="DS61" s="1198"/>
      <c r="DT61" s="1199">
        <v>0</v>
      </c>
      <c r="DU61" s="1198"/>
      <c r="DV61" s="1199">
        <v>0</v>
      </c>
      <c r="DW61" s="1198"/>
      <c r="DX61" s="1199">
        <v>0</v>
      </c>
      <c r="DY61" s="1198"/>
      <c r="DZ61" s="1199">
        <v>0</v>
      </c>
      <c r="EA61" s="1198"/>
      <c r="EB61" s="1199">
        <v>0</v>
      </c>
      <c r="EC61" s="1198"/>
      <c r="ED61" s="1199">
        <v>9325</v>
      </c>
      <c r="EE61" s="1198"/>
      <c r="EF61" s="1199">
        <v>9222</v>
      </c>
      <c r="EG61" s="1198"/>
      <c r="EH61" s="1199">
        <v>10142</v>
      </c>
      <c r="EI61" s="1198"/>
      <c r="EJ61" s="1199">
        <v>8691</v>
      </c>
      <c r="EK61" s="1198"/>
      <c r="EL61" s="1199">
        <v>10945</v>
      </c>
      <c r="EM61" s="1198"/>
      <c r="EN61" s="1199">
        <v>10811</v>
      </c>
      <c r="EO61" s="1198"/>
      <c r="EP61" s="1199">
        <v>10291</v>
      </c>
      <c r="EQ61" s="1198"/>
      <c r="ER61" s="1199">
        <v>9321</v>
      </c>
      <c r="ES61" s="1198"/>
      <c r="ET61" s="1199">
        <v>8318</v>
      </c>
      <c r="EU61" s="1198"/>
      <c r="EV61" s="1199">
        <v>6625</v>
      </c>
      <c r="EW61" s="1198"/>
      <c r="EX61" s="1199">
        <v>0</v>
      </c>
      <c r="EY61" s="1198"/>
      <c r="EZ61" s="1199">
        <v>0</v>
      </c>
      <c r="FA61" s="1198"/>
      <c r="FB61" s="1199">
        <v>0</v>
      </c>
      <c r="FC61" s="1198"/>
      <c r="FD61" s="1199">
        <v>0</v>
      </c>
      <c r="FE61" s="1198"/>
      <c r="FF61" s="1199">
        <v>0</v>
      </c>
      <c r="FG61" s="1198"/>
      <c r="FH61" s="1200">
        <v>0</v>
      </c>
      <c r="FI61" s="556"/>
      <c r="FJ61" s="1193" t="s">
        <v>763</v>
      </c>
      <c r="FK61" s="1194"/>
      <c r="FL61" s="1194"/>
      <c r="FM61" s="1194"/>
      <c r="FN61" s="1194"/>
      <c r="FO61" s="1194"/>
      <c r="FP61" s="1201"/>
      <c r="FQ61" s="1202"/>
      <c r="FR61" s="1203">
        <v>13348</v>
      </c>
      <c r="FS61" s="1204"/>
      <c r="FT61" s="1202"/>
      <c r="FU61" s="1205">
        <v>13197</v>
      </c>
      <c r="FV61" s="1264" t="s">
        <v>761</v>
      </c>
      <c r="FW61" s="1265"/>
      <c r="FX61" s="1266" t="s">
        <v>762</v>
      </c>
      <c r="FY61" s="1265"/>
      <c r="FZ61" s="1266" t="s">
        <v>761</v>
      </c>
      <c r="GA61" s="1265"/>
      <c r="GB61" s="1266" t="s">
        <v>761</v>
      </c>
      <c r="GC61" s="1265"/>
      <c r="GD61" s="1266" t="s">
        <v>761</v>
      </c>
      <c r="GE61" s="1268"/>
      <c r="GF61" s="681"/>
      <c r="GG61" s="476"/>
      <c r="GH61" s="476"/>
      <c r="GI61" s="476"/>
      <c r="GJ61" s="476"/>
      <c r="GK61" s="479"/>
      <c r="GL61" s="1117">
        <v>18</v>
      </c>
      <c r="GM61" s="1206">
        <v>9</v>
      </c>
      <c r="GN61" s="1095">
        <v>0.47</v>
      </c>
      <c r="GO61" s="1096">
        <v>2.2000000000000002</v>
      </c>
      <c r="GP61" s="1096">
        <v>8</v>
      </c>
      <c r="GQ61" s="1097">
        <v>10.199999999999999</v>
      </c>
      <c r="GR61" s="476"/>
      <c r="GS61" s="573"/>
      <c r="GT61" s="1259"/>
      <c r="GU61" s="682"/>
      <c r="GV61" s="682"/>
      <c r="GW61" s="682"/>
      <c r="GX61" s="682"/>
      <c r="GY61" s="572"/>
      <c r="GZ61" s="493"/>
      <c r="HA61" s="572"/>
      <c r="HB61" s="493"/>
    </row>
    <row r="62" spans="1:212" ht="20.100000000000001" customHeight="1" thickBot="1">
      <c r="A62" s="1208"/>
      <c r="B62" s="1208"/>
      <c r="C62" s="1208"/>
      <c r="D62" s="1208"/>
      <c r="E62" s="1208"/>
      <c r="F62" s="1208"/>
      <c r="G62" s="1208"/>
      <c r="H62" s="1208"/>
      <c r="I62" s="1208"/>
      <c r="J62" s="1208"/>
      <c r="K62" s="1208"/>
      <c r="L62" s="1208"/>
      <c r="M62" s="1208"/>
      <c r="N62" s="1208"/>
      <c r="O62" s="1208"/>
      <c r="P62" s="1208"/>
      <c r="Q62" s="1208"/>
      <c r="R62" s="1208"/>
      <c r="S62" s="1208"/>
      <c r="T62" s="1208"/>
      <c r="U62" s="1208"/>
      <c r="V62" s="1208"/>
      <c r="W62" s="1208"/>
      <c r="X62" s="1208"/>
      <c r="Y62" s="1208"/>
      <c r="Z62" s="1208"/>
      <c r="AA62" s="1208"/>
      <c r="AB62" s="1208"/>
      <c r="AC62" s="1208"/>
      <c r="AD62" s="1208"/>
      <c r="AE62" s="1208"/>
      <c r="AF62" s="1208"/>
      <c r="AG62" s="1208"/>
      <c r="AH62" s="1208"/>
      <c r="AI62" s="1208"/>
      <c r="AJ62" s="1208"/>
      <c r="AK62" s="1208"/>
      <c r="AL62" s="1208"/>
      <c r="AM62" s="1208"/>
      <c r="AN62" s="1208"/>
      <c r="AO62" s="1208"/>
      <c r="AP62" s="1208"/>
      <c r="AQ62" s="1208"/>
      <c r="AR62" s="1208"/>
      <c r="AS62" s="1208"/>
      <c r="AT62" s="1208"/>
      <c r="AU62" s="1208"/>
      <c r="AV62" s="1208"/>
      <c r="AW62" s="1208"/>
      <c r="AX62" s="1208"/>
      <c r="AY62" s="1208"/>
      <c r="AZ62" s="1208"/>
      <c r="BA62" s="1208"/>
      <c r="BB62" s="1208"/>
      <c r="BC62" s="386"/>
      <c r="BD62" s="1208"/>
      <c r="BE62" s="1208"/>
      <c r="BF62" s="1208"/>
      <c r="BG62" s="1208"/>
      <c r="BH62" s="1208"/>
      <c r="BI62" s="1208"/>
      <c r="BJ62" s="1208"/>
      <c r="BK62" s="1208"/>
      <c r="BL62" s="1208"/>
      <c r="BM62" s="1208"/>
      <c r="BN62" s="1208"/>
      <c r="BO62" s="1208"/>
      <c r="BP62" s="1208"/>
      <c r="BQ62" s="1208"/>
      <c r="BR62" s="1208"/>
      <c r="BS62" s="1208"/>
      <c r="BT62" s="1208"/>
      <c r="BU62" s="1208"/>
      <c r="BV62" s="1208"/>
      <c r="BW62" s="1208"/>
      <c r="BX62" s="1208"/>
      <c r="BY62" s="1208"/>
      <c r="BZ62" s="1208"/>
      <c r="CA62" s="1208"/>
      <c r="CB62" s="1208"/>
      <c r="CC62" s="1208"/>
      <c r="CD62" s="1208"/>
      <c r="CE62" s="1208"/>
      <c r="CF62" s="1208"/>
      <c r="CG62" s="1208"/>
      <c r="CH62" s="1208"/>
      <c r="CI62" s="1208"/>
      <c r="CJ62" s="1208"/>
      <c r="CK62" s="1208"/>
      <c r="CL62" s="1208"/>
      <c r="CM62" s="1208"/>
      <c r="CN62" s="1208"/>
      <c r="CO62" s="1208"/>
      <c r="CP62" s="1208"/>
      <c r="CQ62" s="1208"/>
      <c r="CR62" s="1208"/>
      <c r="CS62" s="1208"/>
      <c r="CT62" s="1208"/>
      <c r="CU62" s="1208"/>
      <c r="CV62" s="1208"/>
      <c r="CW62" s="1208"/>
      <c r="CX62" s="1208"/>
      <c r="CY62" s="1208"/>
      <c r="CZ62" s="1208"/>
      <c r="DA62" s="1208"/>
      <c r="DB62" s="1208"/>
      <c r="DC62" s="1208"/>
      <c r="DD62" s="1208"/>
      <c r="DE62" s="1208"/>
      <c r="DF62" s="386"/>
      <c r="DG62" s="1208"/>
      <c r="DH62" s="1208"/>
      <c r="DI62" s="1208"/>
      <c r="DJ62" s="1208"/>
      <c r="DK62" s="1208"/>
      <c r="DL62" s="1208"/>
      <c r="DM62" s="1208"/>
      <c r="DN62" s="1208"/>
      <c r="DO62" s="1208"/>
      <c r="DP62" s="1208"/>
      <c r="DQ62" s="1208"/>
      <c r="DR62" s="1208"/>
      <c r="DS62" s="1208"/>
      <c r="DT62" s="1208"/>
      <c r="DU62" s="1208"/>
      <c r="DV62" s="1208"/>
      <c r="DW62" s="1208"/>
      <c r="DX62" s="1208"/>
      <c r="DY62" s="1208"/>
      <c r="DZ62" s="1208"/>
      <c r="EA62" s="1208"/>
      <c r="EB62" s="1208"/>
      <c r="EC62" s="1208"/>
      <c r="ED62" s="1208"/>
      <c r="EE62" s="1208"/>
      <c r="EF62" s="1208"/>
      <c r="EG62" s="1208"/>
      <c r="EH62" s="1208"/>
      <c r="EI62" s="1208"/>
      <c r="EJ62" s="1208"/>
      <c r="EK62" s="1208"/>
      <c r="EL62" s="1208"/>
      <c r="EM62" s="1208"/>
      <c r="EN62" s="1208"/>
      <c r="EO62" s="1208"/>
      <c r="EP62" s="1208"/>
      <c r="EQ62" s="1208"/>
      <c r="ER62" s="1208"/>
      <c r="ES62" s="1208"/>
      <c r="ET62" s="1208"/>
      <c r="EU62" s="1208"/>
      <c r="EV62" s="1208"/>
      <c r="EW62" s="1208"/>
      <c r="EX62" s="1208"/>
      <c r="EY62" s="1208"/>
      <c r="EZ62" s="1208"/>
      <c r="FA62" s="1208"/>
      <c r="FB62" s="1208"/>
      <c r="FC62" s="1208"/>
      <c r="FD62" s="1208"/>
      <c r="FE62" s="1208"/>
      <c r="FF62" s="1208"/>
      <c r="FG62" s="1208"/>
      <c r="FH62" s="1208"/>
      <c r="FI62" s="386"/>
      <c r="FJ62" s="1208"/>
      <c r="FK62" s="1208"/>
      <c r="FL62" s="1208"/>
      <c r="FM62" s="1208"/>
      <c r="FN62" s="1208"/>
      <c r="FO62" s="1208"/>
      <c r="FP62" s="1208"/>
      <c r="FQ62" s="1208"/>
      <c r="FR62" s="1208"/>
      <c r="FS62" s="1208"/>
      <c r="FT62" s="1208"/>
      <c r="FU62" s="1208"/>
      <c r="FV62" s="1208"/>
      <c r="FW62" s="1208"/>
      <c r="FX62" s="1208"/>
      <c r="FY62" s="1208"/>
      <c r="FZ62" s="1208"/>
      <c r="GA62" s="1208"/>
      <c r="GB62" s="1208"/>
      <c r="GC62" s="1208"/>
      <c r="GD62" s="1208"/>
      <c r="GE62" s="1209"/>
      <c r="GF62" s="681"/>
      <c r="GG62" s="648"/>
      <c r="GH62" s="648"/>
      <c r="GI62" s="648"/>
      <c r="GJ62" s="573"/>
      <c r="GK62" s="479"/>
      <c r="GL62" s="476"/>
      <c r="GM62" s="479"/>
      <c r="GN62" s="476"/>
      <c r="GO62" s="479"/>
      <c r="GP62" s="479"/>
      <c r="GQ62" s="479"/>
      <c r="GR62" s="476"/>
      <c r="GS62" s="523"/>
      <c r="GT62" s="572"/>
      <c r="GU62" s="682"/>
      <c r="GV62" s="682"/>
      <c r="GW62" s="682"/>
      <c r="GX62" s="682"/>
      <c r="GY62" s="572"/>
      <c r="GZ62" s="493"/>
      <c r="HA62" s="572"/>
      <c r="HB62" s="493"/>
      <c r="HC62" s="1031"/>
    </row>
    <row r="63" spans="1:212" ht="20.100000000000001" customHeight="1">
      <c r="A63" s="1210" t="s">
        <v>326</v>
      </c>
      <c r="B63" s="1123"/>
      <c r="C63" s="1123"/>
      <c r="D63" s="1123"/>
      <c r="E63" s="1123"/>
      <c r="F63" s="1124"/>
      <c r="G63" s="1125">
        <v>1</v>
      </c>
      <c r="H63" s="1126"/>
      <c r="I63" s="1127">
        <v>2</v>
      </c>
      <c r="J63" s="1126"/>
      <c r="K63" s="1127">
        <v>3</v>
      </c>
      <c r="L63" s="1126"/>
      <c r="M63" s="1127">
        <v>4</v>
      </c>
      <c r="N63" s="1126"/>
      <c r="O63" s="1127">
        <v>5</v>
      </c>
      <c r="P63" s="1126"/>
      <c r="Q63" s="1127">
        <v>6</v>
      </c>
      <c r="R63" s="1126"/>
      <c r="S63" s="1127">
        <v>7</v>
      </c>
      <c r="T63" s="1126"/>
      <c r="U63" s="1127">
        <v>8</v>
      </c>
      <c r="V63" s="1126"/>
      <c r="W63" s="1127">
        <v>9</v>
      </c>
      <c r="X63" s="1126"/>
      <c r="Y63" s="1127">
        <v>10</v>
      </c>
      <c r="Z63" s="1126"/>
      <c r="AA63" s="1127">
        <v>11</v>
      </c>
      <c r="AB63" s="1126"/>
      <c r="AC63" s="1127">
        <v>12</v>
      </c>
      <c r="AD63" s="1126"/>
      <c r="AE63" s="1127">
        <v>13</v>
      </c>
      <c r="AF63" s="1126"/>
      <c r="AG63" s="1127">
        <v>14</v>
      </c>
      <c r="AH63" s="1126"/>
      <c r="AI63" s="1127">
        <v>15</v>
      </c>
      <c r="AJ63" s="1126"/>
      <c r="AK63" s="1127">
        <v>16</v>
      </c>
      <c r="AL63" s="1126"/>
      <c r="AM63" s="1127">
        <v>17</v>
      </c>
      <c r="AN63" s="1126"/>
      <c r="AO63" s="1127">
        <v>18</v>
      </c>
      <c r="AP63" s="1126"/>
      <c r="AQ63" s="1127">
        <v>19</v>
      </c>
      <c r="AR63" s="1126"/>
      <c r="AS63" s="1127">
        <v>20</v>
      </c>
      <c r="AT63" s="1126"/>
      <c r="AU63" s="1127">
        <v>21</v>
      </c>
      <c r="AV63" s="1126"/>
      <c r="AW63" s="1127">
        <v>22</v>
      </c>
      <c r="AX63" s="1126"/>
      <c r="AY63" s="1127">
        <v>23</v>
      </c>
      <c r="AZ63" s="1126"/>
      <c r="BA63" s="1127">
        <v>24</v>
      </c>
      <c r="BB63" s="1128"/>
      <c r="BC63" s="1031"/>
      <c r="BD63" s="1211" t="s">
        <v>327</v>
      </c>
      <c r="BE63" s="1212"/>
      <c r="BF63" s="1212"/>
      <c r="BG63" s="1212"/>
      <c r="BH63" s="1123"/>
      <c r="BI63" s="1124"/>
      <c r="BJ63" s="1125">
        <v>1</v>
      </c>
      <c r="BK63" s="1126"/>
      <c r="BL63" s="1127">
        <v>2</v>
      </c>
      <c r="BM63" s="1126"/>
      <c r="BN63" s="1127">
        <v>3</v>
      </c>
      <c r="BO63" s="1126"/>
      <c r="BP63" s="1127">
        <v>4</v>
      </c>
      <c r="BQ63" s="1126"/>
      <c r="BR63" s="1127">
        <v>5</v>
      </c>
      <c r="BS63" s="1126"/>
      <c r="BT63" s="1127">
        <v>6</v>
      </c>
      <c r="BU63" s="1126"/>
      <c r="BV63" s="1127">
        <v>7</v>
      </c>
      <c r="BW63" s="1126"/>
      <c r="BX63" s="1127">
        <v>8</v>
      </c>
      <c r="BY63" s="1126"/>
      <c r="BZ63" s="1127">
        <v>9</v>
      </c>
      <c r="CA63" s="1126"/>
      <c r="CB63" s="1127">
        <v>10</v>
      </c>
      <c r="CC63" s="1126"/>
      <c r="CD63" s="1127">
        <v>11</v>
      </c>
      <c r="CE63" s="1126"/>
      <c r="CF63" s="1127">
        <v>12</v>
      </c>
      <c r="CG63" s="1126"/>
      <c r="CH63" s="1127">
        <v>13</v>
      </c>
      <c r="CI63" s="1126"/>
      <c r="CJ63" s="1127">
        <v>14</v>
      </c>
      <c r="CK63" s="1126"/>
      <c r="CL63" s="1127">
        <v>15</v>
      </c>
      <c r="CM63" s="1126"/>
      <c r="CN63" s="1127">
        <v>16</v>
      </c>
      <c r="CO63" s="1126"/>
      <c r="CP63" s="1127">
        <v>17</v>
      </c>
      <c r="CQ63" s="1126"/>
      <c r="CR63" s="1127">
        <v>18</v>
      </c>
      <c r="CS63" s="1126"/>
      <c r="CT63" s="1127">
        <v>19</v>
      </c>
      <c r="CU63" s="1126"/>
      <c r="CV63" s="1127">
        <v>20</v>
      </c>
      <c r="CW63" s="1126"/>
      <c r="CX63" s="1127">
        <v>21</v>
      </c>
      <c r="CY63" s="1126"/>
      <c r="CZ63" s="1127">
        <v>22</v>
      </c>
      <c r="DA63" s="1126"/>
      <c r="DB63" s="1127">
        <v>23</v>
      </c>
      <c r="DC63" s="1126"/>
      <c r="DD63" s="1127">
        <v>24</v>
      </c>
      <c r="DE63" s="1128"/>
      <c r="DF63" s="1031"/>
      <c r="DG63" s="1210" t="s">
        <v>326</v>
      </c>
      <c r="DH63" s="1123"/>
      <c r="DI63" s="1123"/>
      <c r="DJ63" s="1123"/>
      <c r="DK63" s="1123"/>
      <c r="DL63" s="1124"/>
      <c r="DM63" s="1125">
        <v>1</v>
      </c>
      <c r="DN63" s="1126"/>
      <c r="DO63" s="1127">
        <v>2</v>
      </c>
      <c r="DP63" s="1126"/>
      <c r="DQ63" s="1127">
        <v>3</v>
      </c>
      <c r="DR63" s="1126"/>
      <c r="DS63" s="1127">
        <v>4</v>
      </c>
      <c r="DT63" s="1126"/>
      <c r="DU63" s="1127">
        <v>5</v>
      </c>
      <c r="DV63" s="1126"/>
      <c r="DW63" s="1127">
        <v>6</v>
      </c>
      <c r="DX63" s="1126"/>
      <c r="DY63" s="1127">
        <v>7</v>
      </c>
      <c r="DZ63" s="1126"/>
      <c r="EA63" s="1127">
        <v>8</v>
      </c>
      <c r="EB63" s="1126"/>
      <c r="EC63" s="1127">
        <v>9</v>
      </c>
      <c r="ED63" s="1126"/>
      <c r="EE63" s="1127">
        <v>10</v>
      </c>
      <c r="EF63" s="1126"/>
      <c r="EG63" s="1127">
        <v>11</v>
      </c>
      <c r="EH63" s="1126"/>
      <c r="EI63" s="1127">
        <v>12</v>
      </c>
      <c r="EJ63" s="1126"/>
      <c r="EK63" s="1127">
        <v>13</v>
      </c>
      <c r="EL63" s="1126"/>
      <c r="EM63" s="1127">
        <v>14</v>
      </c>
      <c r="EN63" s="1126"/>
      <c r="EO63" s="1127">
        <v>15</v>
      </c>
      <c r="EP63" s="1126"/>
      <c r="EQ63" s="1127">
        <v>16</v>
      </c>
      <c r="ER63" s="1126"/>
      <c r="ES63" s="1127">
        <v>17</v>
      </c>
      <c r="ET63" s="1126"/>
      <c r="EU63" s="1127">
        <v>18</v>
      </c>
      <c r="EV63" s="1126"/>
      <c r="EW63" s="1127">
        <v>19</v>
      </c>
      <c r="EX63" s="1126"/>
      <c r="EY63" s="1127">
        <v>20</v>
      </c>
      <c r="EZ63" s="1126"/>
      <c r="FA63" s="1127">
        <v>21</v>
      </c>
      <c r="FB63" s="1126"/>
      <c r="FC63" s="1127">
        <v>22</v>
      </c>
      <c r="FD63" s="1126"/>
      <c r="FE63" s="1127">
        <v>23</v>
      </c>
      <c r="FF63" s="1126"/>
      <c r="FG63" s="1127">
        <v>24</v>
      </c>
      <c r="FH63" s="1128"/>
      <c r="FI63" s="1031"/>
      <c r="FJ63" s="1210" t="s">
        <v>326</v>
      </c>
      <c r="FK63" s="1123"/>
      <c r="FL63" s="1123"/>
      <c r="FM63" s="1123"/>
      <c r="FN63" s="1123"/>
      <c r="FO63" s="1124"/>
      <c r="FP63" s="1129" t="s">
        <v>328</v>
      </c>
      <c r="FQ63" s="1130"/>
      <c r="FR63" s="1131"/>
      <c r="FS63" s="1132" t="s">
        <v>261</v>
      </c>
      <c r="FT63" s="1133"/>
      <c r="FU63" s="1134"/>
      <c r="FV63" s="1135" t="s">
        <v>320</v>
      </c>
      <c r="FW63" s="1136"/>
      <c r="FX63" s="1137" t="s">
        <v>321</v>
      </c>
      <c r="FY63" s="1138"/>
      <c r="FZ63" s="1139" t="s">
        <v>322</v>
      </c>
      <c r="GA63" s="1140"/>
      <c r="GB63" s="1141" t="s">
        <v>323</v>
      </c>
      <c r="GC63" s="1126"/>
      <c r="GD63" s="1141" t="s">
        <v>324</v>
      </c>
      <c r="GE63" s="1128"/>
      <c r="GF63" s="681"/>
      <c r="GG63" s="595"/>
      <c r="GH63" s="595"/>
      <c r="GI63" s="595"/>
      <c r="GJ63" s="1257"/>
      <c r="GK63" s="1257"/>
      <c r="GL63" s="571"/>
      <c r="GM63" s="493"/>
      <c r="GN63" s="571"/>
      <c r="GO63" s="493"/>
      <c r="GP63" s="493"/>
      <c r="GQ63" s="493"/>
      <c r="GR63" s="571"/>
      <c r="GS63" s="523"/>
      <c r="GT63" s="572"/>
      <c r="GU63" s="571"/>
      <c r="GV63" s="493"/>
      <c r="GW63" s="571"/>
      <c r="GX63" s="493"/>
      <c r="GY63" s="493"/>
      <c r="GZ63" s="493"/>
      <c r="HA63" s="572"/>
      <c r="HB63" s="493"/>
      <c r="HC63" s="1045"/>
    </row>
    <row r="64" spans="1:212" ht="20.100000000000001" customHeight="1">
      <c r="A64" s="1213"/>
      <c r="B64" s="1144"/>
      <c r="C64" s="1144"/>
      <c r="D64" s="1144"/>
      <c r="E64" s="1144"/>
      <c r="F64" s="1145"/>
      <c r="G64" s="1146"/>
      <c r="H64" s="1147" t="s">
        <v>329</v>
      </c>
      <c r="I64" s="1148"/>
      <c r="J64" s="1147" t="s">
        <v>329</v>
      </c>
      <c r="K64" s="1148"/>
      <c r="L64" s="1147" t="s">
        <v>329</v>
      </c>
      <c r="M64" s="1148"/>
      <c r="N64" s="1147" t="s">
        <v>329</v>
      </c>
      <c r="O64" s="1148"/>
      <c r="P64" s="1147" t="s">
        <v>329</v>
      </c>
      <c r="Q64" s="1148"/>
      <c r="R64" s="1147" t="s">
        <v>329</v>
      </c>
      <c r="S64" s="1148"/>
      <c r="T64" s="1147" t="s">
        <v>329</v>
      </c>
      <c r="U64" s="1148"/>
      <c r="V64" s="1147" t="s">
        <v>329</v>
      </c>
      <c r="W64" s="1148"/>
      <c r="X64" s="1147" t="s">
        <v>329</v>
      </c>
      <c r="Y64" s="1148"/>
      <c r="Z64" s="1147" t="s">
        <v>329</v>
      </c>
      <c r="AA64" s="1148"/>
      <c r="AB64" s="1147" t="s">
        <v>329</v>
      </c>
      <c r="AC64" s="1148"/>
      <c r="AD64" s="1147" t="s">
        <v>329</v>
      </c>
      <c r="AE64" s="1148"/>
      <c r="AF64" s="1147" t="s">
        <v>329</v>
      </c>
      <c r="AG64" s="1148"/>
      <c r="AH64" s="1147" t="s">
        <v>329</v>
      </c>
      <c r="AI64" s="1148"/>
      <c r="AJ64" s="1147" t="s">
        <v>329</v>
      </c>
      <c r="AK64" s="1148"/>
      <c r="AL64" s="1147" t="s">
        <v>329</v>
      </c>
      <c r="AM64" s="1148"/>
      <c r="AN64" s="1147" t="s">
        <v>329</v>
      </c>
      <c r="AO64" s="1148"/>
      <c r="AP64" s="1147" t="s">
        <v>329</v>
      </c>
      <c r="AQ64" s="1148"/>
      <c r="AR64" s="1147" t="s">
        <v>329</v>
      </c>
      <c r="AS64" s="1148"/>
      <c r="AT64" s="1147" t="s">
        <v>329</v>
      </c>
      <c r="AU64" s="1148"/>
      <c r="AV64" s="1147" t="s">
        <v>329</v>
      </c>
      <c r="AW64" s="1148"/>
      <c r="AX64" s="1147" t="s">
        <v>329</v>
      </c>
      <c r="AY64" s="1148"/>
      <c r="AZ64" s="1147" t="s">
        <v>329</v>
      </c>
      <c r="BA64" s="1148"/>
      <c r="BB64" s="1150" t="s">
        <v>329</v>
      </c>
      <c r="BC64" s="1045"/>
      <c r="BD64" s="1214"/>
      <c r="BE64" s="1215"/>
      <c r="BF64" s="1215"/>
      <c r="BG64" s="1215"/>
      <c r="BH64" s="1144"/>
      <c r="BI64" s="1145"/>
      <c r="BJ64" s="1146"/>
      <c r="BK64" s="1147" t="s">
        <v>329</v>
      </c>
      <c r="BL64" s="1148"/>
      <c r="BM64" s="1147" t="s">
        <v>329</v>
      </c>
      <c r="BN64" s="1148"/>
      <c r="BO64" s="1147" t="s">
        <v>329</v>
      </c>
      <c r="BP64" s="1148"/>
      <c r="BQ64" s="1147" t="s">
        <v>329</v>
      </c>
      <c r="BR64" s="1148"/>
      <c r="BS64" s="1147" t="s">
        <v>329</v>
      </c>
      <c r="BT64" s="1148"/>
      <c r="BU64" s="1147" t="s">
        <v>329</v>
      </c>
      <c r="BV64" s="1148"/>
      <c r="BW64" s="1147" t="s">
        <v>329</v>
      </c>
      <c r="BX64" s="1148"/>
      <c r="BY64" s="1147" t="s">
        <v>329</v>
      </c>
      <c r="BZ64" s="1148"/>
      <c r="CA64" s="1147" t="s">
        <v>329</v>
      </c>
      <c r="CB64" s="1148"/>
      <c r="CC64" s="1147" t="s">
        <v>329</v>
      </c>
      <c r="CD64" s="1148"/>
      <c r="CE64" s="1147" t="s">
        <v>329</v>
      </c>
      <c r="CF64" s="1148"/>
      <c r="CG64" s="1147" t="s">
        <v>329</v>
      </c>
      <c r="CH64" s="1148"/>
      <c r="CI64" s="1147" t="s">
        <v>329</v>
      </c>
      <c r="CJ64" s="1148"/>
      <c r="CK64" s="1147" t="s">
        <v>329</v>
      </c>
      <c r="CL64" s="1148"/>
      <c r="CM64" s="1147" t="s">
        <v>329</v>
      </c>
      <c r="CN64" s="1148"/>
      <c r="CO64" s="1147" t="s">
        <v>329</v>
      </c>
      <c r="CP64" s="1148"/>
      <c r="CQ64" s="1147" t="s">
        <v>329</v>
      </c>
      <c r="CR64" s="1148"/>
      <c r="CS64" s="1147" t="s">
        <v>329</v>
      </c>
      <c r="CT64" s="1148"/>
      <c r="CU64" s="1147" t="s">
        <v>329</v>
      </c>
      <c r="CV64" s="1148"/>
      <c r="CW64" s="1147" t="s">
        <v>329</v>
      </c>
      <c r="CX64" s="1148"/>
      <c r="CY64" s="1147" t="s">
        <v>329</v>
      </c>
      <c r="CZ64" s="1148"/>
      <c r="DA64" s="1147" t="s">
        <v>329</v>
      </c>
      <c r="DB64" s="1148"/>
      <c r="DC64" s="1147" t="s">
        <v>329</v>
      </c>
      <c r="DD64" s="1148"/>
      <c r="DE64" s="1150" t="s">
        <v>329</v>
      </c>
      <c r="DF64" s="1045"/>
      <c r="DG64" s="1213"/>
      <c r="DH64" s="1144"/>
      <c r="DI64" s="1144"/>
      <c r="DJ64" s="1144"/>
      <c r="DK64" s="1144"/>
      <c r="DL64" s="1145"/>
      <c r="DM64" s="1146"/>
      <c r="DN64" s="1147" t="s">
        <v>329</v>
      </c>
      <c r="DO64" s="1148"/>
      <c r="DP64" s="1147" t="s">
        <v>329</v>
      </c>
      <c r="DQ64" s="1148"/>
      <c r="DR64" s="1147" t="s">
        <v>329</v>
      </c>
      <c r="DS64" s="1148"/>
      <c r="DT64" s="1147" t="s">
        <v>329</v>
      </c>
      <c r="DU64" s="1148"/>
      <c r="DV64" s="1147" t="s">
        <v>329</v>
      </c>
      <c r="DW64" s="1148"/>
      <c r="DX64" s="1147" t="s">
        <v>329</v>
      </c>
      <c r="DY64" s="1148"/>
      <c r="DZ64" s="1147" t="s">
        <v>329</v>
      </c>
      <c r="EA64" s="1148"/>
      <c r="EB64" s="1147" t="s">
        <v>329</v>
      </c>
      <c r="EC64" s="1148"/>
      <c r="ED64" s="1147" t="s">
        <v>329</v>
      </c>
      <c r="EE64" s="1148"/>
      <c r="EF64" s="1147" t="s">
        <v>329</v>
      </c>
      <c r="EG64" s="1148"/>
      <c r="EH64" s="1147" t="s">
        <v>329</v>
      </c>
      <c r="EI64" s="1148"/>
      <c r="EJ64" s="1147" t="s">
        <v>329</v>
      </c>
      <c r="EK64" s="1148"/>
      <c r="EL64" s="1147" t="s">
        <v>329</v>
      </c>
      <c r="EM64" s="1148"/>
      <c r="EN64" s="1147" t="s">
        <v>329</v>
      </c>
      <c r="EO64" s="1148"/>
      <c r="EP64" s="1147" t="s">
        <v>329</v>
      </c>
      <c r="EQ64" s="1148"/>
      <c r="ER64" s="1147" t="s">
        <v>329</v>
      </c>
      <c r="ES64" s="1148"/>
      <c r="ET64" s="1147" t="s">
        <v>329</v>
      </c>
      <c r="EU64" s="1148"/>
      <c r="EV64" s="1147" t="s">
        <v>329</v>
      </c>
      <c r="EW64" s="1148"/>
      <c r="EX64" s="1147" t="s">
        <v>329</v>
      </c>
      <c r="EY64" s="1148"/>
      <c r="EZ64" s="1147" t="s">
        <v>329</v>
      </c>
      <c r="FA64" s="1148"/>
      <c r="FB64" s="1147" t="s">
        <v>329</v>
      </c>
      <c r="FC64" s="1148"/>
      <c r="FD64" s="1147" t="s">
        <v>329</v>
      </c>
      <c r="FE64" s="1148"/>
      <c r="FF64" s="1147" t="s">
        <v>329</v>
      </c>
      <c r="FG64" s="1148"/>
      <c r="FH64" s="1150" t="s">
        <v>329</v>
      </c>
      <c r="FI64" s="1045"/>
      <c r="FJ64" s="1213"/>
      <c r="FK64" s="1144"/>
      <c r="FL64" s="1144"/>
      <c r="FM64" s="1144"/>
      <c r="FN64" s="1144"/>
      <c r="FO64" s="1145"/>
      <c r="FP64" s="1151" t="s">
        <v>272</v>
      </c>
      <c r="FQ64" s="1149" t="s">
        <v>330</v>
      </c>
      <c r="FR64" s="1147" t="s">
        <v>329</v>
      </c>
      <c r="FS64" s="1152" t="s">
        <v>272</v>
      </c>
      <c r="FT64" s="1149" t="s">
        <v>330</v>
      </c>
      <c r="FU64" s="1153" t="s">
        <v>329</v>
      </c>
      <c r="FV64" s="1154" t="s">
        <v>272</v>
      </c>
      <c r="FW64" s="1147" t="s">
        <v>329</v>
      </c>
      <c r="FX64" s="1152" t="s">
        <v>272</v>
      </c>
      <c r="FY64" s="1147" t="s">
        <v>329</v>
      </c>
      <c r="FZ64" s="1152" t="s">
        <v>272</v>
      </c>
      <c r="GA64" s="1147" t="s">
        <v>329</v>
      </c>
      <c r="GB64" s="1152" t="s">
        <v>272</v>
      </c>
      <c r="GC64" s="1147" t="s">
        <v>329</v>
      </c>
      <c r="GD64" s="1152" t="s">
        <v>272</v>
      </c>
      <c r="GE64" s="1150" t="s">
        <v>329</v>
      </c>
      <c r="GF64" s="681"/>
      <c r="GG64" s="1186"/>
      <c r="GH64" s="1186"/>
      <c r="GI64" s="1186"/>
      <c r="GJ64" s="493"/>
      <c r="GK64" s="493"/>
      <c r="GL64" s="571"/>
      <c r="GM64" s="493"/>
      <c r="GN64" s="571"/>
      <c r="GO64" s="493"/>
      <c r="GP64" s="493"/>
      <c r="GQ64" s="493"/>
      <c r="GR64" s="571"/>
      <c r="GS64" s="406"/>
      <c r="GT64" s="1259"/>
      <c r="GU64" s="571"/>
      <c r="GV64" s="493"/>
      <c r="GW64" s="571"/>
      <c r="GX64" s="493"/>
      <c r="GY64" s="493"/>
      <c r="GZ64" s="572"/>
      <c r="HA64" s="572"/>
      <c r="HB64" s="572"/>
      <c r="HC64" s="555"/>
    </row>
    <row r="65" spans="1:211" ht="20.100000000000001" customHeight="1">
      <c r="A65" s="1155"/>
      <c r="B65" s="1156"/>
      <c r="C65" s="1156"/>
      <c r="D65" s="1216"/>
      <c r="E65" s="1217"/>
      <c r="F65" s="1218"/>
      <c r="G65" s="1219"/>
      <c r="H65" s="1160"/>
      <c r="I65" s="1220"/>
      <c r="J65" s="1221"/>
      <c r="K65" s="1222"/>
      <c r="L65" s="1221"/>
      <c r="M65" s="1222"/>
      <c r="N65" s="1221"/>
      <c r="O65" s="1222"/>
      <c r="P65" s="1221"/>
      <c r="Q65" s="1222"/>
      <c r="R65" s="1221"/>
      <c r="S65" s="1222"/>
      <c r="T65" s="1221"/>
      <c r="U65" s="1222"/>
      <c r="V65" s="1221"/>
      <c r="W65" s="1222"/>
      <c r="X65" s="1221">
        <v>0</v>
      </c>
      <c r="Y65" s="1222"/>
      <c r="Z65" s="1221">
        <v>0</v>
      </c>
      <c r="AA65" s="1222"/>
      <c r="AB65" s="1221">
        <v>0</v>
      </c>
      <c r="AC65" s="1222"/>
      <c r="AD65" s="1221">
        <v>0</v>
      </c>
      <c r="AE65" s="1222"/>
      <c r="AF65" s="1221">
        <v>0</v>
      </c>
      <c r="AG65" s="1222"/>
      <c r="AH65" s="1221">
        <v>0</v>
      </c>
      <c r="AI65" s="1222"/>
      <c r="AJ65" s="1221">
        <v>0</v>
      </c>
      <c r="AK65" s="1222"/>
      <c r="AL65" s="1221">
        <v>0</v>
      </c>
      <c r="AM65" s="1222"/>
      <c r="AN65" s="1221">
        <v>0</v>
      </c>
      <c r="AO65" s="1222"/>
      <c r="AP65" s="1221">
        <v>0</v>
      </c>
      <c r="AQ65" s="1222"/>
      <c r="AR65" s="1221"/>
      <c r="AS65" s="1222"/>
      <c r="AT65" s="1221"/>
      <c r="AU65" s="1222"/>
      <c r="AV65" s="1221"/>
      <c r="AW65" s="1222"/>
      <c r="AX65" s="1221"/>
      <c r="AY65" s="1222"/>
      <c r="AZ65" s="1221"/>
      <c r="BA65" s="1222"/>
      <c r="BB65" s="554"/>
      <c r="BC65" s="556"/>
      <c r="BD65" s="1155"/>
      <c r="BE65" s="1156"/>
      <c r="BF65" s="1156"/>
      <c r="BG65" s="1216"/>
      <c r="BH65" s="1217"/>
      <c r="BI65" s="1218"/>
      <c r="BJ65" s="1219"/>
      <c r="BK65" s="1160"/>
      <c r="BL65" s="1220"/>
      <c r="BM65" s="1221"/>
      <c r="BN65" s="1222"/>
      <c r="BO65" s="1221"/>
      <c r="BP65" s="1222"/>
      <c r="BQ65" s="1221"/>
      <c r="BR65" s="1222"/>
      <c r="BS65" s="1221"/>
      <c r="BT65" s="1222"/>
      <c r="BU65" s="1221"/>
      <c r="BV65" s="1222"/>
      <c r="BW65" s="1221"/>
      <c r="BX65" s="1222"/>
      <c r="BY65" s="1221"/>
      <c r="BZ65" s="1222"/>
      <c r="CA65" s="1221">
        <v>0</v>
      </c>
      <c r="CB65" s="1222"/>
      <c r="CC65" s="1221">
        <v>0</v>
      </c>
      <c r="CD65" s="1222"/>
      <c r="CE65" s="1221">
        <v>0</v>
      </c>
      <c r="CF65" s="1222"/>
      <c r="CG65" s="1221">
        <v>0</v>
      </c>
      <c r="CH65" s="1222"/>
      <c r="CI65" s="1221">
        <v>0</v>
      </c>
      <c r="CJ65" s="1222"/>
      <c r="CK65" s="1221">
        <v>0</v>
      </c>
      <c r="CL65" s="1222"/>
      <c r="CM65" s="1221">
        <v>0</v>
      </c>
      <c r="CN65" s="1222"/>
      <c r="CO65" s="1221">
        <v>0</v>
      </c>
      <c r="CP65" s="1222"/>
      <c r="CQ65" s="1221">
        <v>0</v>
      </c>
      <c r="CR65" s="1222"/>
      <c r="CS65" s="1221">
        <v>0</v>
      </c>
      <c r="CT65" s="1222"/>
      <c r="CU65" s="1221"/>
      <c r="CV65" s="1222"/>
      <c r="CW65" s="1221"/>
      <c r="CX65" s="1222"/>
      <c r="CY65" s="1221"/>
      <c r="CZ65" s="1222"/>
      <c r="DA65" s="1221"/>
      <c r="DB65" s="1222"/>
      <c r="DC65" s="1221"/>
      <c r="DD65" s="1222"/>
      <c r="DE65" s="554"/>
      <c r="DF65" s="555"/>
      <c r="DG65" s="1155"/>
      <c r="DH65" s="1156"/>
      <c r="DI65" s="1156"/>
      <c r="DJ65" s="1216"/>
      <c r="DK65" s="1217"/>
      <c r="DL65" s="1218"/>
      <c r="DM65" s="1219"/>
      <c r="DN65" s="1160"/>
      <c r="DO65" s="1220"/>
      <c r="DP65" s="1221"/>
      <c r="DQ65" s="1222"/>
      <c r="DR65" s="1221"/>
      <c r="DS65" s="1222"/>
      <c r="DT65" s="1221"/>
      <c r="DU65" s="1222"/>
      <c r="DV65" s="1221"/>
      <c r="DW65" s="1222"/>
      <c r="DX65" s="1221"/>
      <c r="DY65" s="1222"/>
      <c r="DZ65" s="1221"/>
      <c r="EA65" s="1222"/>
      <c r="EB65" s="1221"/>
      <c r="EC65" s="1222"/>
      <c r="ED65" s="1221">
        <v>0</v>
      </c>
      <c r="EE65" s="1222"/>
      <c r="EF65" s="1221">
        <v>0</v>
      </c>
      <c r="EG65" s="1222"/>
      <c r="EH65" s="1221">
        <v>0</v>
      </c>
      <c r="EI65" s="1222"/>
      <c r="EJ65" s="1221">
        <v>0</v>
      </c>
      <c r="EK65" s="1222"/>
      <c r="EL65" s="1221">
        <v>0</v>
      </c>
      <c r="EM65" s="1222"/>
      <c r="EN65" s="1221">
        <v>0</v>
      </c>
      <c r="EO65" s="1222"/>
      <c r="EP65" s="1221">
        <v>0</v>
      </c>
      <c r="EQ65" s="1222"/>
      <c r="ER65" s="1221">
        <v>0</v>
      </c>
      <c r="ES65" s="1222"/>
      <c r="ET65" s="1221">
        <v>0</v>
      </c>
      <c r="EU65" s="1222"/>
      <c r="EV65" s="1221">
        <v>0</v>
      </c>
      <c r="EW65" s="1222"/>
      <c r="EX65" s="1221"/>
      <c r="EY65" s="1222"/>
      <c r="EZ65" s="1221"/>
      <c r="FA65" s="1222"/>
      <c r="FB65" s="1221"/>
      <c r="FC65" s="1222"/>
      <c r="FD65" s="1221"/>
      <c r="FE65" s="1222"/>
      <c r="FF65" s="1221"/>
      <c r="FG65" s="1222"/>
      <c r="FH65" s="554"/>
      <c r="FI65" s="556"/>
      <c r="FJ65" s="1155"/>
      <c r="FK65" s="1156"/>
      <c r="FL65" s="1223"/>
      <c r="FM65" s="1223"/>
      <c r="FN65" s="1223"/>
      <c r="FO65" s="1218"/>
      <c r="FP65" s="1162"/>
      <c r="FQ65" s="1220"/>
      <c r="FR65" s="1160">
        <v>0</v>
      </c>
      <c r="FS65" s="1224"/>
      <c r="FT65" s="1220"/>
      <c r="FU65" s="1165">
        <v>0</v>
      </c>
      <c r="FV65" s="1224"/>
      <c r="FW65" s="1225">
        <v>0</v>
      </c>
      <c r="FX65" s="1164"/>
      <c r="FY65" s="1225">
        <v>0</v>
      </c>
      <c r="FZ65" s="1164"/>
      <c r="GA65" s="1225">
        <v>0</v>
      </c>
      <c r="GB65" s="1164"/>
      <c r="GC65" s="1225">
        <v>0</v>
      </c>
      <c r="GD65" s="1226"/>
      <c r="GE65" s="1227"/>
      <c r="GF65" s="681"/>
      <c r="GG65" s="595"/>
      <c r="GH65" s="595"/>
      <c r="GI65" s="595"/>
      <c r="GJ65" s="388"/>
      <c r="GK65" s="522"/>
      <c r="GL65" s="522"/>
      <c r="GM65" s="522"/>
      <c r="GN65" s="522"/>
      <c r="GO65" s="522"/>
      <c r="GP65" s="522"/>
      <c r="GQ65" s="522"/>
      <c r="GR65" s="522"/>
      <c r="GS65" s="406"/>
      <c r="GT65" s="1259"/>
      <c r="GU65" s="493"/>
      <c r="GV65" s="493"/>
      <c r="GW65" s="493"/>
      <c r="GX65" s="493"/>
      <c r="GY65" s="493"/>
      <c r="GZ65" s="572"/>
      <c r="HA65" s="572"/>
      <c r="HB65" s="572"/>
      <c r="HC65" s="555"/>
    </row>
    <row r="66" spans="1:211" ht="20.100000000000001" customHeight="1">
      <c r="A66" s="1193"/>
      <c r="B66" s="1194"/>
      <c r="C66" s="1194"/>
      <c r="D66" s="1194"/>
      <c r="E66" s="1194"/>
      <c r="F66" s="1195"/>
      <c r="G66" s="1228"/>
      <c r="H66" s="1229"/>
      <c r="I66" s="1202"/>
      <c r="J66" s="1230"/>
      <c r="K66" s="1231"/>
      <c r="L66" s="1230"/>
      <c r="M66" s="1231"/>
      <c r="N66" s="1230"/>
      <c r="O66" s="1231"/>
      <c r="P66" s="1230"/>
      <c r="Q66" s="1231"/>
      <c r="R66" s="1230"/>
      <c r="S66" s="1231"/>
      <c r="T66" s="1230"/>
      <c r="U66" s="1231"/>
      <c r="V66" s="1230"/>
      <c r="W66" s="1231"/>
      <c r="X66" s="1230"/>
      <c r="Y66" s="1231"/>
      <c r="Z66" s="1230"/>
      <c r="AA66" s="1231"/>
      <c r="AB66" s="1230"/>
      <c r="AC66" s="1231"/>
      <c r="AD66" s="1230"/>
      <c r="AE66" s="1231"/>
      <c r="AF66" s="1230"/>
      <c r="AG66" s="1231"/>
      <c r="AH66" s="1230"/>
      <c r="AI66" s="1231"/>
      <c r="AJ66" s="1230"/>
      <c r="AK66" s="1231"/>
      <c r="AL66" s="1230"/>
      <c r="AM66" s="1231"/>
      <c r="AN66" s="1230"/>
      <c r="AO66" s="1231"/>
      <c r="AP66" s="1230"/>
      <c r="AQ66" s="1231"/>
      <c r="AR66" s="1230"/>
      <c r="AS66" s="1231"/>
      <c r="AT66" s="1230"/>
      <c r="AU66" s="1231"/>
      <c r="AV66" s="1230"/>
      <c r="AW66" s="1231"/>
      <c r="AX66" s="1230"/>
      <c r="AY66" s="1231"/>
      <c r="AZ66" s="1230"/>
      <c r="BA66" s="1231"/>
      <c r="BB66" s="1232"/>
      <c r="BC66" s="556"/>
      <c r="BD66" s="1193"/>
      <c r="BE66" s="1194"/>
      <c r="BF66" s="1194"/>
      <c r="BG66" s="1194"/>
      <c r="BH66" s="1194"/>
      <c r="BI66" s="1195"/>
      <c r="BJ66" s="1228"/>
      <c r="BK66" s="1229"/>
      <c r="BL66" s="1202"/>
      <c r="BM66" s="1230"/>
      <c r="BN66" s="1231"/>
      <c r="BO66" s="1230"/>
      <c r="BP66" s="1231"/>
      <c r="BQ66" s="1230"/>
      <c r="BR66" s="1231"/>
      <c r="BS66" s="1230"/>
      <c r="BT66" s="1231"/>
      <c r="BU66" s="1230"/>
      <c r="BV66" s="1231"/>
      <c r="BW66" s="1230"/>
      <c r="BX66" s="1231"/>
      <c r="BY66" s="1230"/>
      <c r="BZ66" s="1231"/>
      <c r="CA66" s="1230"/>
      <c r="CB66" s="1231"/>
      <c r="CC66" s="1230"/>
      <c r="CD66" s="1231"/>
      <c r="CE66" s="1230"/>
      <c r="CF66" s="1231"/>
      <c r="CG66" s="1230"/>
      <c r="CH66" s="1231"/>
      <c r="CI66" s="1230"/>
      <c r="CJ66" s="1231"/>
      <c r="CK66" s="1230"/>
      <c r="CL66" s="1231"/>
      <c r="CM66" s="1230"/>
      <c r="CN66" s="1231"/>
      <c r="CO66" s="1230"/>
      <c r="CP66" s="1231"/>
      <c r="CQ66" s="1230"/>
      <c r="CR66" s="1231"/>
      <c r="CS66" s="1230"/>
      <c r="CT66" s="1231"/>
      <c r="CU66" s="1230"/>
      <c r="CV66" s="1231"/>
      <c r="CW66" s="1230"/>
      <c r="CX66" s="1231"/>
      <c r="CY66" s="1230"/>
      <c r="CZ66" s="1231"/>
      <c r="DA66" s="1230"/>
      <c r="DB66" s="1231"/>
      <c r="DC66" s="1230"/>
      <c r="DD66" s="1231"/>
      <c r="DE66" s="1232"/>
      <c r="DF66" s="555"/>
      <c r="DG66" s="1193"/>
      <c r="DH66" s="1194"/>
      <c r="DI66" s="1194"/>
      <c r="DJ66" s="1194"/>
      <c r="DK66" s="1194"/>
      <c r="DL66" s="1195"/>
      <c r="DM66" s="1228"/>
      <c r="DN66" s="1229"/>
      <c r="DO66" s="1202"/>
      <c r="DP66" s="1230"/>
      <c r="DQ66" s="1231"/>
      <c r="DR66" s="1230"/>
      <c r="DS66" s="1231"/>
      <c r="DT66" s="1230"/>
      <c r="DU66" s="1231"/>
      <c r="DV66" s="1230"/>
      <c r="DW66" s="1231"/>
      <c r="DX66" s="1230"/>
      <c r="DY66" s="1231"/>
      <c r="DZ66" s="1230"/>
      <c r="EA66" s="1231"/>
      <c r="EB66" s="1230"/>
      <c r="EC66" s="1231"/>
      <c r="ED66" s="1230"/>
      <c r="EE66" s="1231"/>
      <c r="EF66" s="1230"/>
      <c r="EG66" s="1231"/>
      <c r="EH66" s="1230"/>
      <c r="EI66" s="1231"/>
      <c r="EJ66" s="1230"/>
      <c r="EK66" s="1231"/>
      <c r="EL66" s="1230"/>
      <c r="EM66" s="1231"/>
      <c r="EN66" s="1230"/>
      <c r="EO66" s="1231"/>
      <c r="EP66" s="1230"/>
      <c r="EQ66" s="1231"/>
      <c r="ER66" s="1230"/>
      <c r="ES66" s="1231"/>
      <c r="ET66" s="1230"/>
      <c r="EU66" s="1231"/>
      <c r="EV66" s="1230"/>
      <c r="EW66" s="1231"/>
      <c r="EX66" s="1230"/>
      <c r="EY66" s="1231"/>
      <c r="EZ66" s="1230"/>
      <c r="FA66" s="1231"/>
      <c r="FB66" s="1230"/>
      <c r="FC66" s="1231"/>
      <c r="FD66" s="1230"/>
      <c r="FE66" s="1231"/>
      <c r="FF66" s="1230"/>
      <c r="FG66" s="1231"/>
      <c r="FH66" s="1232"/>
      <c r="FI66" s="556"/>
      <c r="FJ66" s="1193" t="s">
        <v>876</v>
      </c>
      <c r="FK66" s="1194"/>
      <c r="FL66" s="1233"/>
      <c r="FM66" s="1234" t="s">
        <v>766</v>
      </c>
      <c r="FN66" s="1235"/>
      <c r="FO66" s="1195"/>
      <c r="FP66" s="1201">
        <v>9</v>
      </c>
      <c r="FQ66" s="1236">
        <v>4.3</v>
      </c>
      <c r="FR66" s="1237">
        <v>2.5</v>
      </c>
      <c r="FS66" s="1204">
        <v>9</v>
      </c>
      <c r="FT66" s="1236">
        <v>3.6</v>
      </c>
      <c r="FU66" s="1238">
        <v>2.1</v>
      </c>
      <c r="FV66" s="1239"/>
      <c r="FW66" s="1240"/>
      <c r="FX66" s="1240"/>
      <c r="FY66" s="1240"/>
      <c r="FZ66" s="1240"/>
      <c r="GA66" s="1240"/>
      <c r="GB66" s="1240"/>
      <c r="GC66" s="1241"/>
      <c r="GD66" s="1204"/>
      <c r="GE66" s="1242">
        <v>2.5</v>
      </c>
      <c r="GF66" s="681"/>
      <c r="GG66" s="388"/>
      <c r="GH66" s="388"/>
      <c r="GI66" s="388"/>
      <c r="GJ66" s="476"/>
      <c r="GK66" s="522"/>
      <c r="GL66" s="523"/>
      <c r="GM66" s="522"/>
      <c r="GN66" s="523"/>
      <c r="GO66" s="522"/>
      <c r="GP66" s="522"/>
      <c r="GQ66" s="522"/>
      <c r="GR66" s="523"/>
      <c r="GT66" s="1259"/>
      <c r="GU66" s="572"/>
      <c r="GV66" s="572"/>
      <c r="GW66" s="572"/>
      <c r="GX66" s="572"/>
      <c r="GY66" s="572"/>
      <c r="GZ66" s="493"/>
      <c r="HA66" s="493"/>
      <c r="HB66" s="493"/>
      <c r="HC66" s="403"/>
    </row>
    <row r="67" spans="1:211" ht="20.100000000000001" customHeight="1" thickBot="1">
      <c r="BC67" s="386"/>
      <c r="DF67" s="386"/>
      <c r="FI67" s="386"/>
      <c r="GD67" s="681"/>
      <c r="GE67" s="792"/>
      <c r="GF67" s="681"/>
      <c r="GG67" s="476"/>
      <c r="GH67" s="476"/>
      <c r="GI67" s="476"/>
      <c r="GJ67" s="388"/>
      <c r="GT67" s="682"/>
      <c r="GU67" s="493"/>
      <c r="GV67" s="493"/>
      <c r="GW67" s="493"/>
      <c r="GX67" s="493"/>
      <c r="GY67" s="493"/>
      <c r="GZ67" s="572"/>
      <c r="HA67" s="571"/>
      <c r="HB67" s="572"/>
      <c r="HC67" s="403"/>
    </row>
    <row r="68" spans="1:211" ht="20.100000000000001" customHeight="1">
      <c r="A68" s="1244" t="s">
        <v>331</v>
      </c>
      <c r="B68" s="1245"/>
      <c r="C68" s="1245"/>
      <c r="D68" s="1245"/>
      <c r="E68" s="818"/>
      <c r="F68" s="818"/>
      <c r="G68" s="1246" t="s">
        <v>618</v>
      </c>
      <c r="H68" s="1247"/>
      <c r="I68" s="1247"/>
      <c r="J68" s="1247"/>
      <c r="K68" s="1247"/>
      <c r="L68" s="1247"/>
      <c r="M68" s="1247"/>
      <c r="N68" s="1247"/>
      <c r="O68" s="1247"/>
      <c r="P68" s="1247"/>
      <c r="Q68" s="1247"/>
      <c r="R68" s="1247"/>
      <c r="S68" s="1247"/>
      <c r="T68" s="1247"/>
      <c r="U68" s="1247"/>
      <c r="V68" s="1247"/>
      <c r="W68" s="1247"/>
      <c r="X68" s="1247"/>
      <c r="Y68" s="1247"/>
      <c r="Z68" s="1247"/>
      <c r="AA68" s="1247"/>
      <c r="AB68" s="1247"/>
      <c r="AC68" s="1247"/>
      <c r="AD68" s="1247"/>
      <c r="AE68" s="1247"/>
      <c r="AF68" s="1247"/>
      <c r="AG68" s="1247"/>
      <c r="AH68" s="1247"/>
      <c r="AI68" s="1247"/>
      <c r="AJ68" s="1247"/>
      <c r="AK68" s="1247"/>
      <c r="AL68" s="1247"/>
      <c r="AM68" s="1247"/>
      <c r="AN68" s="1247"/>
      <c r="AO68" s="1247"/>
      <c r="AP68" s="1247"/>
      <c r="AQ68" s="1247"/>
      <c r="AR68" s="1247"/>
      <c r="AS68" s="1247"/>
      <c r="AT68" s="1247"/>
      <c r="AU68" s="1247"/>
      <c r="AV68" s="1247"/>
      <c r="AW68" s="1247"/>
      <c r="AX68" s="1247"/>
      <c r="AY68" s="1247"/>
      <c r="AZ68" s="1247"/>
      <c r="BA68" s="1247"/>
      <c r="BB68" s="1248"/>
      <c r="BC68" s="1249"/>
      <c r="BD68" s="1244" t="s">
        <v>331</v>
      </c>
      <c r="BE68" s="1245"/>
      <c r="BF68" s="1245"/>
      <c r="BG68" s="1245"/>
      <c r="BH68" s="818"/>
      <c r="BI68" s="818"/>
      <c r="BJ68" s="1250" t="str">
        <f>$G68</f>
        <v>(C)室内全熱負荷以降の外気負荷等は、熱源容量計算用の基準別、時刻別の値です。外気負荷を含めた空調機の容量の計算等は別紙「AC-2系統 空調機容量の計算」をご参照ください。</v>
      </c>
      <c r="BK68" s="1251"/>
      <c r="BL68" s="1251"/>
      <c r="BM68" s="1251"/>
      <c r="BN68" s="1251"/>
      <c r="BO68" s="1251"/>
      <c r="BP68" s="1251"/>
      <c r="BQ68" s="1251"/>
      <c r="BR68" s="1251"/>
      <c r="BS68" s="1251"/>
      <c r="BT68" s="1251"/>
      <c r="BU68" s="1251"/>
      <c r="BV68" s="1251"/>
      <c r="BW68" s="1251"/>
      <c r="BX68" s="1251"/>
      <c r="BY68" s="1251"/>
      <c r="BZ68" s="1251"/>
      <c r="CA68" s="1251"/>
      <c r="CB68" s="1251"/>
      <c r="CC68" s="1251"/>
      <c r="CD68" s="1251"/>
      <c r="CE68" s="1251"/>
      <c r="CF68" s="1251"/>
      <c r="CG68" s="1251"/>
      <c r="CH68" s="1251"/>
      <c r="CI68" s="1251"/>
      <c r="CJ68" s="1251"/>
      <c r="CK68" s="1251"/>
      <c r="CL68" s="1251"/>
      <c r="CM68" s="1251"/>
      <c r="CN68" s="1251"/>
      <c r="CO68" s="1251"/>
      <c r="CP68" s="1251"/>
      <c r="CQ68" s="1251"/>
      <c r="CR68" s="1251"/>
      <c r="CS68" s="1251"/>
      <c r="CT68" s="1251"/>
      <c r="CU68" s="1251"/>
      <c r="CV68" s="1251"/>
      <c r="CW68" s="1251"/>
      <c r="CX68" s="1251"/>
      <c r="CY68" s="1251"/>
      <c r="CZ68" s="1251"/>
      <c r="DA68" s="1251"/>
      <c r="DB68" s="1251"/>
      <c r="DC68" s="1251"/>
      <c r="DD68" s="1251"/>
      <c r="DE68" s="1252"/>
      <c r="DF68" s="1249"/>
      <c r="DG68" s="1244" t="s">
        <v>331</v>
      </c>
      <c r="DH68" s="1245"/>
      <c r="DI68" s="1245"/>
      <c r="DJ68" s="1245"/>
      <c r="DK68" s="818"/>
      <c r="DL68" s="818"/>
      <c r="DM68" s="1250" t="str">
        <f>$G68</f>
        <v>(C)室内全熱負荷以降の外気負荷等は、熱源容量計算用の基準別、時刻別の値です。外気負荷を含めた空調機の容量の計算等は別紙「AC-2系統 空調機容量の計算」をご参照ください。</v>
      </c>
      <c r="DN68" s="1251"/>
      <c r="DO68" s="1251"/>
      <c r="DP68" s="1251"/>
      <c r="DQ68" s="1251"/>
      <c r="DR68" s="1251"/>
      <c r="DS68" s="1251"/>
      <c r="DT68" s="1251"/>
      <c r="DU68" s="1251"/>
      <c r="DV68" s="1251"/>
      <c r="DW68" s="1251"/>
      <c r="DX68" s="1251"/>
      <c r="DY68" s="1251"/>
      <c r="DZ68" s="1251"/>
      <c r="EA68" s="1251"/>
      <c r="EB68" s="1251"/>
      <c r="EC68" s="1251"/>
      <c r="ED68" s="1251"/>
      <c r="EE68" s="1251"/>
      <c r="EF68" s="1251"/>
      <c r="EG68" s="1251"/>
      <c r="EH68" s="1251"/>
      <c r="EI68" s="1251"/>
      <c r="EJ68" s="1251"/>
      <c r="EK68" s="1251"/>
      <c r="EL68" s="1251"/>
      <c r="EM68" s="1251"/>
      <c r="EN68" s="1251"/>
      <c r="EO68" s="1251"/>
      <c r="EP68" s="1251"/>
      <c r="EQ68" s="1251"/>
      <c r="ER68" s="1251"/>
      <c r="ES68" s="1251"/>
      <c r="ET68" s="1251"/>
      <c r="EU68" s="1251"/>
      <c r="EV68" s="1251"/>
      <c r="EW68" s="1251"/>
      <c r="EX68" s="1251"/>
      <c r="EY68" s="1251"/>
      <c r="EZ68" s="1251"/>
      <c r="FA68" s="1251"/>
      <c r="FB68" s="1251"/>
      <c r="FC68" s="1251"/>
      <c r="FD68" s="1251"/>
      <c r="FE68" s="1251"/>
      <c r="FF68" s="1251"/>
      <c r="FG68" s="1251"/>
      <c r="FH68" s="1252"/>
      <c r="FI68" s="1249"/>
      <c r="FJ68" s="1244" t="s">
        <v>331</v>
      </c>
      <c r="FK68" s="1245"/>
      <c r="FL68" s="1245"/>
      <c r="FM68" s="1245"/>
      <c r="FN68" s="818"/>
      <c r="FO68" s="818"/>
      <c r="FP68" s="1246"/>
      <c r="FQ68" s="1247"/>
      <c r="FR68" s="1247"/>
      <c r="FS68" s="1247"/>
      <c r="FT68" s="1247"/>
      <c r="FU68" s="1253"/>
      <c r="FV68" s="1254"/>
      <c r="FW68" s="1247"/>
      <c r="FX68" s="1247"/>
      <c r="FY68" s="1247"/>
      <c r="FZ68" s="1247"/>
      <c r="GA68" s="1247"/>
      <c r="GB68" s="1247"/>
      <c r="GC68" s="1255"/>
      <c r="GD68" s="1247"/>
      <c r="GE68" s="1248"/>
      <c r="GF68" s="681"/>
      <c r="GG68" s="595"/>
      <c r="GH68" s="595"/>
      <c r="GI68" s="595"/>
      <c r="GJ68" s="476"/>
      <c r="GK68" s="522"/>
      <c r="GL68" s="523"/>
      <c r="GM68" s="522"/>
      <c r="GN68" s="523"/>
      <c r="GO68" s="522"/>
      <c r="GP68" s="522"/>
      <c r="GQ68" s="522"/>
      <c r="GR68" s="523"/>
      <c r="GT68" s="572"/>
      <c r="GU68" s="1257"/>
      <c r="GV68" s="1257"/>
      <c r="GW68" s="1257"/>
      <c r="GX68" s="1257"/>
      <c r="GY68" s="1114"/>
      <c r="GZ68" s="1258"/>
      <c r="HA68" s="1258"/>
      <c r="HB68" s="1258"/>
    </row>
    <row r="69" spans="1:211" ht="20.100000000000001" customHeight="1">
      <c r="BC69" s="386"/>
      <c r="DF69" s="386"/>
      <c r="FI69" s="386"/>
      <c r="GF69" s="492"/>
      <c r="GG69" s="595"/>
      <c r="GH69" s="595"/>
      <c r="GI69" s="595"/>
      <c r="GJ69" s="523"/>
      <c r="GT69" s="1186"/>
      <c r="GU69" s="523"/>
      <c r="GV69" s="522"/>
      <c r="GW69" s="523"/>
      <c r="GX69" s="522"/>
      <c r="GY69" s="522"/>
      <c r="HA69" s="388"/>
    </row>
    <row r="70" spans="1:211" ht="20.100000000000001" customHeight="1">
      <c r="BC70" s="386"/>
      <c r="DF70" s="386"/>
      <c r="FI70" s="386"/>
      <c r="GJ70" s="388"/>
      <c r="GT70" s="682"/>
      <c r="GU70" s="522"/>
      <c r="GV70" s="522"/>
      <c r="GW70" s="522"/>
      <c r="GX70" s="522"/>
      <c r="GY70" s="522"/>
      <c r="HA70" s="523"/>
    </row>
    <row r="71" spans="1:211" ht="20.100000000000001" customHeight="1">
      <c r="BC71" s="386"/>
      <c r="DF71" s="386"/>
      <c r="FI71" s="386"/>
      <c r="GJ71" s="573"/>
      <c r="GS71" s="388"/>
      <c r="GT71" s="1256"/>
      <c r="GU71" s="523"/>
      <c r="GV71" s="388"/>
      <c r="GW71" s="523"/>
      <c r="GX71" s="388"/>
      <c r="GY71" s="572"/>
      <c r="GZ71" s="410"/>
      <c r="HA71" s="523"/>
      <c r="HB71" s="410"/>
    </row>
    <row r="72" spans="1:211" ht="20.100000000000001" customHeight="1">
      <c r="BC72" s="386"/>
      <c r="DF72" s="386"/>
      <c r="FI72" s="386"/>
      <c r="GJ72" s="523"/>
      <c r="GT72" s="1186"/>
      <c r="GU72" s="523"/>
      <c r="GV72" s="522"/>
      <c r="GW72" s="523"/>
      <c r="GX72" s="522"/>
      <c r="GY72" s="522"/>
      <c r="HA72" s="388"/>
    </row>
    <row r="73" spans="1:211" ht="20.100000000000001" customHeight="1">
      <c r="BC73" s="386"/>
      <c r="DF73" s="386"/>
      <c r="FI73" s="386"/>
      <c r="GJ73" s="523"/>
      <c r="GT73" s="1186"/>
      <c r="GU73" s="388"/>
      <c r="GV73" s="388"/>
      <c r="GW73" s="388"/>
      <c r="GX73" s="388"/>
      <c r="GY73" s="522"/>
      <c r="HA73" s="476"/>
    </row>
    <row r="74" spans="1:211" ht="20.100000000000001" customHeight="1">
      <c r="BC74" s="386"/>
      <c r="DF74" s="386"/>
      <c r="FI74" s="386"/>
      <c r="GT74" s="1186"/>
      <c r="GU74" s="476"/>
      <c r="GV74" s="479"/>
      <c r="GW74" s="476"/>
      <c r="GX74" s="479"/>
      <c r="GY74" s="388"/>
      <c r="HA74" s="573"/>
    </row>
    <row r="75" spans="1:211" ht="20.100000000000001" customHeight="1">
      <c r="BC75" s="386"/>
      <c r="DF75" s="386"/>
      <c r="FI75" s="386"/>
      <c r="GT75" s="388"/>
      <c r="GU75" s="573"/>
      <c r="GV75" s="410"/>
      <c r="GW75" s="573"/>
      <c r="GX75" s="410"/>
      <c r="GY75" s="479"/>
      <c r="HA75" s="523"/>
    </row>
    <row r="76" spans="1:211" ht="20.100000000000001" customHeight="1">
      <c r="BC76" s="386"/>
      <c r="DF76" s="386"/>
      <c r="FI76" s="386"/>
      <c r="GT76" s="479"/>
      <c r="GU76" s="523"/>
      <c r="GV76" s="522"/>
      <c r="GW76" s="523"/>
      <c r="GX76" s="522"/>
      <c r="GY76" s="410"/>
      <c r="HA76" s="523"/>
    </row>
    <row r="77" spans="1:211" ht="20.100000000000001" customHeight="1">
      <c r="BC77" s="386"/>
      <c r="DF77" s="386"/>
      <c r="FI77" s="386"/>
      <c r="GT77" s="854"/>
      <c r="GU77" s="523"/>
      <c r="GV77" s="522"/>
      <c r="GW77" s="523"/>
      <c r="GX77" s="522"/>
      <c r="GZ77" s="522"/>
    </row>
    <row r="78" spans="1:211" ht="20.100000000000001" customHeight="1">
      <c r="BC78" s="386"/>
      <c r="DF78" s="386"/>
      <c r="FI78" s="386"/>
      <c r="GT78" s="1186"/>
      <c r="GZ78" s="522"/>
    </row>
    <row r="79" spans="1:211" ht="20.100000000000001" customHeight="1">
      <c r="BC79" s="386"/>
      <c r="DF79" s="386"/>
      <c r="FI79" s="386"/>
      <c r="GT79" s="1186"/>
    </row>
    <row r="80" spans="1:211" ht="20.100000000000001" customHeight="1">
      <c r="BC80" s="386"/>
      <c r="DF80" s="386"/>
      <c r="FI80" s="386"/>
    </row>
    <row r="81" spans="55:165" ht="20.100000000000001" customHeight="1">
      <c r="BC81" s="386"/>
      <c r="DF81" s="386"/>
      <c r="FI81" s="386"/>
    </row>
    <row r="82" spans="55:165" ht="20.100000000000001" customHeight="1">
      <c r="BC82" s="386"/>
      <c r="DF82" s="386"/>
      <c r="FI82" s="386"/>
    </row>
    <row r="83" spans="55:165" ht="20.100000000000001" customHeight="1">
      <c r="BC83" s="386"/>
      <c r="DF83" s="386"/>
      <c r="FI83" s="386"/>
    </row>
    <row r="84" spans="55:165" ht="20.100000000000001" customHeight="1">
      <c r="BC84" s="386"/>
      <c r="DF84" s="386"/>
      <c r="FI84" s="386"/>
    </row>
    <row r="85" spans="55:165" ht="20.100000000000001" customHeight="1">
      <c r="BC85" s="386"/>
      <c r="DF85" s="386"/>
      <c r="FI85" s="386"/>
    </row>
    <row r="86" spans="55:165" ht="20.100000000000001" customHeight="1">
      <c r="BC86" s="386"/>
      <c r="DF86" s="386"/>
    </row>
    <row r="87" spans="55:165" ht="20.100000000000001" customHeight="1">
      <c r="BC87" s="386"/>
      <c r="DF87" s="386"/>
    </row>
    <row r="88" spans="55:165" ht="20.100000000000001" customHeight="1">
      <c r="BC88" s="386"/>
      <c r="DF88" s="386"/>
    </row>
    <row r="89" spans="55:165" ht="20.100000000000001" customHeight="1">
      <c r="BC89" s="386"/>
      <c r="DF89" s="386"/>
    </row>
  </sheetData>
  <dataConsolidate/>
  <mergeCells count="329">
    <mergeCell ref="GB59:GC59"/>
    <mergeCell ref="GB61:GC61"/>
    <mergeCell ref="GD59:GE59"/>
    <mergeCell ref="GD61:GE61"/>
    <mergeCell ref="FV59:FW59"/>
    <mergeCell ref="FX59:FY59"/>
    <mergeCell ref="FZ59:GA59"/>
    <mergeCell ref="FV61:FW61"/>
    <mergeCell ref="FX61:FY61"/>
    <mergeCell ref="FZ61:GA61"/>
    <mergeCell ref="DM68:FH68"/>
    <mergeCell ref="FJ68:FM68"/>
    <mergeCell ref="FP68:FU68"/>
    <mergeCell ref="FV68:GC68"/>
    <mergeCell ref="GD68:GE68"/>
    <mergeCell ref="DK63:DL64"/>
    <mergeCell ref="FJ63:FM64"/>
    <mergeCell ref="FN63:FO64"/>
    <mergeCell ref="GD65:GE65"/>
    <mergeCell ref="FV66:GC66"/>
    <mergeCell ref="A68:D68"/>
    <mergeCell ref="G68:BB68"/>
    <mergeCell ref="BD68:BG68"/>
    <mergeCell ref="BJ68:DE68"/>
    <mergeCell ref="DG68:DJ68"/>
    <mergeCell ref="DK56:DL57"/>
    <mergeCell ref="FJ56:FM57"/>
    <mergeCell ref="FN56:FO57"/>
    <mergeCell ref="A63:D64"/>
    <mergeCell ref="E63:F64"/>
    <mergeCell ref="BD63:BG64"/>
    <mergeCell ref="BH63:BI64"/>
    <mergeCell ref="DG63:DJ64"/>
    <mergeCell ref="GN51:GN52"/>
    <mergeCell ref="GO51:GO52"/>
    <mergeCell ref="GP51:GP52"/>
    <mergeCell ref="GQ51:GQ52"/>
    <mergeCell ref="GU54:GX54"/>
    <mergeCell ref="A56:D57"/>
    <mergeCell ref="E56:F57"/>
    <mergeCell ref="BD56:BG57"/>
    <mergeCell ref="BH56:BI57"/>
    <mergeCell ref="DG56:DJ57"/>
    <mergeCell ref="FX49:FY51"/>
    <mergeCell ref="FZ49:GA51"/>
    <mergeCell ref="GB49:GC51"/>
    <mergeCell ref="GD49:GE51"/>
    <mergeCell ref="GL51:GL52"/>
    <mergeCell ref="GM51:GM52"/>
    <mergeCell ref="GQ44:GR44"/>
    <mergeCell ref="BA46:BB46"/>
    <mergeCell ref="DD46:DE46"/>
    <mergeCell ref="FG46:FH46"/>
    <mergeCell ref="FT46:FU46"/>
    <mergeCell ref="A48:A51"/>
    <mergeCell ref="BD48:BD51"/>
    <mergeCell ref="DG48:DG51"/>
    <mergeCell ref="FJ48:FJ51"/>
    <mergeCell ref="FV49:FW51"/>
    <mergeCell ref="FV44:FW46"/>
    <mergeCell ref="FX44:FY46"/>
    <mergeCell ref="FZ44:GA46"/>
    <mergeCell ref="GB44:GC46"/>
    <mergeCell ref="GD44:GE46"/>
    <mergeCell ref="GM44:GN44"/>
    <mergeCell ref="GO41:GP41"/>
    <mergeCell ref="GQ41:GR41"/>
    <mergeCell ref="GM42:GN42"/>
    <mergeCell ref="GO42:GP42"/>
    <mergeCell ref="GQ42:GR42"/>
    <mergeCell ref="GK43:GL44"/>
    <mergeCell ref="GM43:GN43"/>
    <mergeCell ref="GO43:GP43"/>
    <mergeCell ref="GQ43:GR43"/>
    <mergeCell ref="GO44:GP44"/>
    <mergeCell ref="GK39:GL40"/>
    <mergeCell ref="GM39:GN40"/>
    <mergeCell ref="GO39:GP40"/>
    <mergeCell ref="GQ39:GR40"/>
    <mergeCell ref="A41:A44"/>
    <mergeCell ref="BD41:BD44"/>
    <mergeCell ref="DG41:DG44"/>
    <mergeCell ref="FJ41:FJ44"/>
    <mergeCell ref="GK41:GL42"/>
    <mergeCell ref="GM41:GN41"/>
    <mergeCell ref="GU37:GV37"/>
    <mergeCell ref="C38:D38"/>
    <mergeCell ref="E38:F38"/>
    <mergeCell ref="BF38:BG38"/>
    <mergeCell ref="BH38:BI38"/>
    <mergeCell ref="DI38:DJ38"/>
    <mergeCell ref="DK38:DL38"/>
    <mergeCell ref="FL38:FM38"/>
    <mergeCell ref="FN38:FO38"/>
    <mergeCell ref="GU38:GZ38"/>
    <mergeCell ref="DG37:DG40"/>
    <mergeCell ref="DI37:DJ37"/>
    <mergeCell ref="DK37:DL37"/>
    <mergeCell ref="FJ37:FJ40"/>
    <mergeCell ref="FL37:FM37"/>
    <mergeCell ref="FN37:FO37"/>
    <mergeCell ref="DI39:DJ39"/>
    <mergeCell ref="DK39:DL39"/>
    <mergeCell ref="FL39:FM39"/>
    <mergeCell ref="FN39:FO39"/>
    <mergeCell ref="A37:A40"/>
    <mergeCell ref="C37:D37"/>
    <mergeCell ref="E37:F37"/>
    <mergeCell ref="BD37:BD40"/>
    <mergeCell ref="BF37:BG37"/>
    <mergeCell ref="BH37:BI37"/>
    <mergeCell ref="C39:D39"/>
    <mergeCell ref="E39:F39"/>
    <mergeCell ref="BF39:BG39"/>
    <mergeCell ref="BH39:BI39"/>
    <mergeCell ref="GU33:GV33"/>
    <mergeCell ref="A34:A36"/>
    <mergeCell ref="BD34:BD36"/>
    <mergeCell ref="DG34:DG36"/>
    <mergeCell ref="FJ34:FJ36"/>
    <mergeCell ref="GK34:GP34"/>
    <mergeCell ref="GU34:GV34"/>
    <mergeCell ref="GU35:GV35"/>
    <mergeCell ref="GK36:GP36"/>
    <mergeCell ref="GU36:GV36"/>
    <mergeCell ref="GY31:GY32"/>
    <mergeCell ref="GZ31:GZ32"/>
    <mergeCell ref="HA31:HA32"/>
    <mergeCell ref="B32:C32"/>
    <mergeCell ref="BE32:BF32"/>
    <mergeCell ref="DH32:DI32"/>
    <mergeCell ref="FK32:FL32"/>
    <mergeCell ref="B31:C31"/>
    <mergeCell ref="BE31:BF31"/>
    <mergeCell ref="DH31:DI31"/>
    <mergeCell ref="FK31:FL31"/>
    <mergeCell ref="GW31:GW32"/>
    <mergeCell ref="GX31:GX32"/>
    <mergeCell ref="GK22:GN22"/>
    <mergeCell ref="GU22:GY22"/>
    <mergeCell ref="HA22:HB22"/>
    <mergeCell ref="A27:A33"/>
    <mergeCell ref="BD27:BD33"/>
    <mergeCell ref="DG27:DG33"/>
    <mergeCell ref="FJ27:FJ33"/>
    <mergeCell ref="GU30:GV32"/>
    <mergeCell ref="GW30:HA30"/>
    <mergeCell ref="HB30:HB32"/>
    <mergeCell ref="GK20:GL20"/>
    <mergeCell ref="GU20:GV20"/>
    <mergeCell ref="GX20:GY20"/>
    <mergeCell ref="HA20:HB20"/>
    <mergeCell ref="GK21:GM21"/>
    <mergeCell ref="GU21:GW21"/>
    <mergeCell ref="GX21:GY21"/>
    <mergeCell ref="HA21:HB21"/>
    <mergeCell ref="GK18:GL18"/>
    <mergeCell ref="GU18:GV18"/>
    <mergeCell ref="GX18:GY18"/>
    <mergeCell ref="HA18:HB18"/>
    <mergeCell ref="GK19:GL19"/>
    <mergeCell ref="GU19:GV19"/>
    <mergeCell ref="GX19:GY19"/>
    <mergeCell ref="HA19:HB19"/>
    <mergeCell ref="HA15:HB15"/>
    <mergeCell ref="GK16:GL16"/>
    <mergeCell ref="GU16:GV16"/>
    <mergeCell ref="GX16:GY16"/>
    <mergeCell ref="HA16:HB16"/>
    <mergeCell ref="GK17:GL17"/>
    <mergeCell ref="GU17:GV17"/>
    <mergeCell ref="GX17:GY17"/>
    <mergeCell ref="HA17:HB17"/>
    <mergeCell ref="GU14:GV14"/>
    <mergeCell ref="GX14:GY14"/>
    <mergeCell ref="HA14:HB14"/>
    <mergeCell ref="A15:A26"/>
    <mergeCell ref="BD15:BD26"/>
    <mergeCell ref="DG15:DG26"/>
    <mergeCell ref="FJ15:FJ26"/>
    <mergeCell ref="GK15:GL15"/>
    <mergeCell ref="GU15:GV15"/>
    <mergeCell ref="GX15:GY15"/>
    <mergeCell ref="GD10:GE43"/>
    <mergeCell ref="GK12:GL12"/>
    <mergeCell ref="GU12:GV12"/>
    <mergeCell ref="GX12:GY12"/>
    <mergeCell ref="HA12:HB12"/>
    <mergeCell ref="GK13:GL13"/>
    <mergeCell ref="GU13:GV13"/>
    <mergeCell ref="GX13:GY13"/>
    <mergeCell ref="HA13:HB13"/>
    <mergeCell ref="GK14:GL14"/>
    <mergeCell ref="FJ7:FO8"/>
    <mergeCell ref="FV7:GE9"/>
    <mergeCell ref="A9:A14"/>
    <mergeCell ref="BD9:BD14"/>
    <mergeCell ref="DG9:DG14"/>
    <mergeCell ref="FJ9:FJ14"/>
    <mergeCell ref="FV10:FW43"/>
    <mergeCell ref="FX10:FY43"/>
    <mergeCell ref="FZ10:GA43"/>
    <mergeCell ref="GB10:GC43"/>
    <mergeCell ref="GA6:GB6"/>
    <mergeCell ref="GE6:GF6"/>
    <mergeCell ref="GK6:GM6"/>
    <mergeCell ref="GU6:GW6"/>
    <mergeCell ref="A7:F8"/>
    <mergeCell ref="G7:BB7"/>
    <mergeCell ref="BD7:BI8"/>
    <mergeCell ref="BJ7:DE7"/>
    <mergeCell ref="DG7:DL8"/>
    <mergeCell ref="DM7:FH7"/>
    <mergeCell ref="DX6:DY6"/>
    <mergeCell ref="EB6:EC6"/>
    <mergeCell ref="FL6:FN6"/>
    <mergeCell ref="FO6:FP6"/>
    <mergeCell ref="FQ6:FU6"/>
    <mergeCell ref="FV6:FW6"/>
    <mergeCell ref="BY6:BZ6"/>
    <mergeCell ref="CE6:CF6"/>
    <mergeCell ref="DI6:DK6"/>
    <mergeCell ref="DL6:DM6"/>
    <mergeCell ref="DN6:DR6"/>
    <mergeCell ref="DS6:DT6"/>
    <mergeCell ref="AB6:AC6"/>
    <mergeCell ref="BF6:BH6"/>
    <mergeCell ref="BI6:BJ6"/>
    <mergeCell ref="BK6:BO6"/>
    <mergeCell ref="BP6:BQ6"/>
    <mergeCell ref="BU6:BV6"/>
    <mergeCell ref="C6:E6"/>
    <mergeCell ref="F6:G6"/>
    <mergeCell ref="H6:L6"/>
    <mergeCell ref="M6:N6"/>
    <mergeCell ref="R6:S6"/>
    <mergeCell ref="V6:W6"/>
    <mergeCell ref="FX5:FY5"/>
    <mergeCell ref="FZ5:GA5"/>
    <mergeCell ref="GB5:GC5"/>
    <mergeCell ref="GD5:GE5"/>
    <mergeCell ref="GK5:GM5"/>
    <mergeCell ref="GU5:GW5"/>
    <mergeCell ref="DQ5:DR5"/>
    <mergeCell ref="DS5:DT5"/>
    <mergeCell ref="DU5:DV5"/>
    <mergeCell ref="DW5:DX5"/>
    <mergeCell ref="DY5:DZ5"/>
    <mergeCell ref="EA5:EB5"/>
    <mergeCell ref="BR5:BS5"/>
    <mergeCell ref="BT5:BU5"/>
    <mergeCell ref="BV5:BW5"/>
    <mergeCell ref="BX5:BY5"/>
    <mergeCell ref="DM5:DN5"/>
    <mergeCell ref="DO5:DP5"/>
    <mergeCell ref="S5:T5"/>
    <mergeCell ref="U5:V5"/>
    <mergeCell ref="BJ5:BK5"/>
    <mergeCell ref="BL5:BM5"/>
    <mergeCell ref="BN5:BO5"/>
    <mergeCell ref="BP5:BQ5"/>
    <mergeCell ref="G5:H5"/>
    <mergeCell ref="I5:J5"/>
    <mergeCell ref="K5:L5"/>
    <mergeCell ref="M5:N5"/>
    <mergeCell ref="O5:P5"/>
    <mergeCell ref="Q5:R5"/>
    <mergeCell ref="EC4:EE5"/>
    <mergeCell ref="FX4:FY4"/>
    <mergeCell ref="FZ4:GA4"/>
    <mergeCell ref="GB4:GC4"/>
    <mergeCell ref="GD4:GE4"/>
    <mergeCell ref="GF4:GH5"/>
    <mergeCell ref="FP5:FQ5"/>
    <mergeCell ref="FR5:FS5"/>
    <mergeCell ref="FT5:FU5"/>
    <mergeCell ref="FV5:FW5"/>
    <mergeCell ref="FX3:GE3"/>
    <mergeCell ref="GF3:GH3"/>
    <mergeCell ref="GJ3:GR3"/>
    <mergeCell ref="GT3:HB3"/>
    <mergeCell ref="O4:P4"/>
    <mergeCell ref="Q4:R4"/>
    <mergeCell ref="S4:T4"/>
    <mergeCell ref="U4:V4"/>
    <mergeCell ref="W4:Y5"/>
    <mergeCell ref="BR4:BS4"/>
    <mergeCell ref="FJ3:FJ4"/>
    <mergeCell ref="FK3:FK4"/>
    <mergeCell ref="FL3:FL4"/>
    <mergeCell ref="FM3:FS4"/>
    <mergeCell ref="FT3:FU4"/>
    <mergeCell ref="FV3:FW4"/>
    <mergeCell ref="DI3:DI4"/>
    <mergeCell ref="DJ3:DP4"/>
    <mergeCell ref="DQ3:DR4"/>
    <mergeCell ref="DS3:DT4"/>
    <mergeCell ref="DU3:EB3"/>
    <mergeCell ref="EC3:EE3"/>
    <mergeCell ref="DU4:DV4"/>
    <mergeCell ref="DW4:DX4"/>
    <mergeCell ref="DY4:DZ4"/>
    <mergeCell ref="EA4:EB4"/>
    <mergeCell ref="BN3:BO4"/>
    <mergeCell ref="BP3:BQ4"/>
    <mergeCell ref="BR3:BY3"/>
    <mergeCell ref="BZ3:CB3"/>
    <mergeCell ref="DG3:DG4"/>
    <mergeCell ref="DH3:DH4"/>
    <mergeCell ref="BT4:BU4"/>
    <mergeCell ref="BV4:BW4"/>
    <mergeCell ref="BX4:BY4"/>
    <mergeCell ref="BZ4:CB5"/>
    <mergeCell ref="O3:V3"/>
    <mergeCell ref="W3:Y3"/>
    <mergeCell ref="BD3:BD4"/>
    <mergeCell ref="BE3:BE4"/>
    <mergeCell ref="BF3:BF4"/>
    <mergeCell ref="BG3:BM4"/>
    <mergeCell ref="H1:I1"/>
    <mergeCell ref="BK1:BL1"/>
    <mergeCell ref="DN1:DO1"/>
    <mergeCell ref="FQ1:FR1"/>
    <mergeCell ref="A3:A4"/>
    <mergeCell ref="B3:B4"/>
    <mergeCell ref="C3:C4"/>
    <mergeCell ref="D3:J4"/>
    <mergeCell ref="K3:L4"/>
    <mergeCell ref="M3:N4"/>
  </mergeCells>
  <phoneticPr fontId="4"/>
  <printOptions horizontalCentered="1" gridLinesSet="0"/>
  <pageMargins left="0.39370078740157483" right="0.19685039370078741" top="0.78740157480314965" bottom="0.47244094488188981" header="0.59055118110236227" footer="0.31496062992125984"/>
  <pageSetup paperSize="9" scale="38" fitToWidth="0" orientation="landscape" horizontalDpi="4294967292" verticalDpi="400" r:id="rId1"/>
  <headerFooter scaleWithDoc="0" alignWithMargins="0">
    <oddFooter>&amp;C&amp;"ＭＳ Ｐゴシック,標準"&amp;9( &amp;P / &amp;N )</oddFooter>
  </headerFooter>
  <rowBreaks count="1" manualBreakCount="1">
    <brk id="1" max="210" man="1"/>
  </rowBreaks>
  <colBreaks count="3" manualBreakCount="3">
    <brk id="55" max="68" man="1"/>
    <brk id="110" max="68" man="1"/>
    <brk id="165" max="68"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MO89"/>
  <sheetViews>
    <sheetView showGridLines="0" zoomScale="70" zoomScaleNormal="70" workbookViewId="0">
      <pane ySplit="8" topLeftCell="A9" activePane="bottomLeft" state="frozenSplit"/>
      <selection pane="bottomLeft"/>
    </sheetView>
  </sheetViews>
  <sheetFormatPr defaultColWidth="7.42578125" defaultRowHeight="20.100000000000001" customHeight="1"/>
  <cols>
    <col min="1" max="1" width="5" style="389" customWidth="1"/>
    <col min="2" max="6" width="9.5703125" style="389" customWidth="1"/>
    <col min="7" max="7" width="4.7109375" style="389" customWidth="1"/>
    <col min="8" max="8" width="7.7109375" style="389" customWidth="1"/>
    <col min="9" max="9" width="4.7109375" style="389" customWidth="1"/>
    <col min="10" max="10" width="7.7109375" style="389" customWidth="1"/>
    <col min="11" max="11" width="4.7109375" style="389" customWidth="1"/>
    <col min="12" max="12" width="7.7109375" style="389" customWidth="1"/>
    <col min="13" max="13" width="4.7109375" style="389" customWidth="1"/>
    <col min="14" max="14" width="7.7109375" style="389" customWidth="1"/>
    <col min="15" max="15" width="4.7109375" style="389" customWidth="1"/>
    <col min="16" max="16" width="7.7109375" style="389" customWidth="1"/>
    <col min="17" max="17" width="4.7109375" style="389" customWidth="1"/>
    <col min="18" max="18" width="7.7109375" style="389" customWidth="1"/>
    <col min="19" max="19" width="4.7109375" style="389" customWidth="1"/>
    <col min="20" max="20" width="7.7109375" style="389" customWidth="1"/>
    <col min="21" max="21" width="4.7109375" style="389" customWidth="1"/>
    <col min="22" max="22" width="7.7109375" style="389" customWidth="1"/>
    <col min="23" max="23" width="4.7109375" style="389" customWidth="1"/>
    <col min="24" max="24" width="7.7109375" style="389" customWidth="1"/>
    <col min="25" max="25" width="4.7109375" style="389" customWidth="1"/>
    <col min="26" max="26" width="7.7109375" style="389" customWidth="1"/>
    <col min="27" max="27" width="4.7109375" style="389" customWidth="1"/>
    <col min="28" max="28" width="7.7109375" style="389" customWidth="1"/>
    <col min="29" max="29" width="4.7109375" style="389" customWidth="1"/>
    <col min="30" max="30" width="7.7109375" style="389" customWidth="1"/>
    <col min="31" max="31" width="4.7109375" style="389" customWidth="1"/>
    <col min="32" max="32" width="7.7109375" style="389" customWidth="1"/>
    <col min="33" max="33" width="4.7109375" style="389" customWidth="1"/>
    <col min="34" max="34" width="7.7109375" style="389" customWidth="1"/>
    <col min="35" max="35" width="4.7109375" style="389" customWidth="1"/>
    <col min="36" max="36" width="7.7109375" style="389" customWidth="1"/>
    <col min="37" max="37" width="4.7109375" style="389" customWidth="1"/>
    <col min="38" max="38" width="7.7109375" style="389" customWidth="1"/>
    <col min="39" max="39" width="4.7109375" style="389" customWidth="1"/>
    <col min="40" max="40" width="7.7109375" style="389" customWidth="1"/>
    <col min="41" max="41" width="4.7109375" style="389" customWidth="1"/>
    <col min="42" max="42" width="7.7109375" style="389" customWidth="1"/>
    <col min="43" max="43" width="4.7109375" style="389" customWidth="1"/>
    <col min="44" max="44" width="7.7109375" style="389" customWidth="1"/>
    <col min="45" max="45" width="4.7109375" style="389" customWidth="1"/>
    <col min="46" max="46" width="7.7109375" style="389" customWidth="1"/>
    <col min="47" max="47" width="4.7109375" style="389" customWidth="1"/>
    <col min="48" max="48" width="7.7109375" style="389" customWidth="1"/>
    <col min="49" max="49" width="4.7109375" style="389" customWidth="1"/>
    <col min="50" max="50" width="7.7109375" style="389" customWidth="1"/>
    <col min="51" max="51" width="4.7109375" style="389" customWidth="1"/>
    <col min="52" max="52" width="7.7109375" style="389" customWidth="1"/>
    <col min="53" max="53" width="4.7109375" style="389" customWidth="1"/>
    <col min="54" max="54" width="7.7109375" style="389" customWidth="1"/>
    <col min="55" max="55" width="4.28515625" style="1207" customWidth="1"/>
    <col min="56" max="56" width="5" style="389" customWidth="1"/>
    <col min="57" max="61" width="9.5703125" style="389" customWidth="1"/>
    <col min="62" max="62" width="4.7109375" style="389" customWidth="1"/>
    <col min="63" max="63" width="7.7109375" style="389" customWidth="1"/>
    <col min="64" max="64" width="4.7109375" style="389" customWidth="1"/>
    <col min="65" max="65" width="7.7109375" style="389" customWidth="1"/>
    <col min="66" max="66" width="4.7109375" style="389" customWidth="1"/>
    <col min="67" max="67" width="7.7109375" style="389" customWidth="1"/>
    <col min="68" max="68" width="4.7109375" style="389" customWidth="1"/>
    <col min="69" max="69" width="7.7109375" style="389" customWidth="1"/>
    <col min="70" max="70" width="4.7109375" style="389" customWidth="1"/>
    <col min="71" max="71" width="7.7109375" style="389" customWidth="1"/>
    <col min="72" max="72" width="4.7109375" style="389" customWidth="1"/>
    <col min="73" max="73" width="7.7109375" style="389" customWidth="1"/>
    <col min="74" max="74" width="4.7109375" style="389" customWidth="1"/>
    <col min="75" max="75" width="7.7109375" style="389" customWidth="1"/>
    <col min="76" max="76" width="4.7109375" style="389" customWidth="1"/>
    <col min="77" max="77" width="7.7109375" style="389" customWidth="1"/>
    <col min="78" max="78" width="4.7109375" style="389" customWidth="1"/>
    <col min="79" max="79" width="7.7109375" style="389" customWidth="1"/>
    <col min="80" max="80" width="4.7109375" style="389" customWidth="1"/>
    <col min="81" max="81" width="7.7109375" style="389" customWidth="1"/>
    <col min="82" max="82" width="4.7109375" style="389" customWidth="1"/>
    <col min="83" max="83" width="7.7109375" style="389" customWidth="1"/>
    <col min="84" max="84" width="4.7109375" style="389" customWidth="1"/>
    <col min="85" max="85" width="7.7109375" style="389" customWidth="1"/>
    <col min="86" max="86" width="4.7109375" style="389" customWidth="1"/>
    <col min="87" max="87" width="7.7109375" style="389" customWidth="1"/>
    <col min="88" max="88" width="4.7109375" style="389" customWidth="1"/>
    <col min="89" max="89" width="7.7109375" style="389" customWidth="1"/>
    <col min="90" max="90" width="4.7109375" style="389" customWidth="1"/>
    <col min="91" max="91" width="7.7109375" style="389" customWidth="1"/>
    <col min="92" max="92" width="4.7109375" style="389" customWidth="1"/>
    <col min="93" max="93" width="7.7109375" style="389" customWidth="1"/>
    <col min="94" max="94" width="4.7109375" style="389" customWidth="1"/>
    <col min="95" max="95" width="7.7109375" style="389" customWidth="1"/>
    <col min="96" max="96" width="4.7109375" style="389" customWidth="1"/>
    <col min="97" max="97" width="7.7109375" style="389" customWidth="1"/>
    <col min="98" max="98" width="4.7109375" style="389" customWidth="1"/>
    <col min="99" max="99" width="7.7109375" style="389" customWidth="1"/>
    <col min="100" max="100" width="4.7109375" style="389" customWidth="1"/>
    <col min="101" max="101" width="7.7109375" style="389" customWidth="1"/>
    <col min="102" max="102" width="4.7109375" style="389" customWidth="1"/>
    <col min="103" max="103" width="7.7109375" style="389" customWidth="1"/>
    <col min="104" max="104" width="4.7109375" style="389" customWidth="1"/>
    <col min="105" max="105" width="7.7109375" style="389" customWidth="1"/>
    <col min="106" max="106" width="4.7109375" style="389" customWidth="1"/>
    <col min="107" max="107" width="7.7109375" style="389" customWidth="1"/>
    <col min="108" max="108" width="4.7109375" style="389" customWidth="1"/>
    <col min="109" max="109" width="7.7109375" style="389" customWidth="1"/>
    <col min="110" max="110" width="4.7109375" style="1207" customWidth="1"/>
    <col min="111" max="111" width="5" style="389" customWidth="1"/>
    <col min="112" max="116" width="9.5703125" style="389" customWidth="1"/>
    <col min="117" max="117" width="4.7109375" style="389" customWidth="1"/>
    <col min="118" max="118" width="7.7109375" style="389" customWidth="1"/>
    <col min="119" max="119" width="4.7109375" style="389" customWidth="1"/>
    <col min="120" max="120" width="7.7109375" style="389" customWidth="1"/>
    <col min="121" max="121" width="4.7109375" style="389" customWidth="1"/>
    <col min="122" max="122" width="7.7109375" style="389" customWidth="1"/>
    <col min="123" max="123" width="4.7109375" style="389" customWidth="1"/>
    <col min="124" max="124" width="7.7109375" style="389" customWidth="1"/>
    <col min="125" max="125" width="4.7109375" style="389" customWidth="1"/>
    <col min="126" max="126" width="7.7109375" style="389" customWidth="1"/>
    <col min="127" max="127" width="4.7109375" style="389" customWidth="1"/>
    <col min="128" max="128" width="7.7109375" style="389" customWidth="1"/>
    <col min="129" max="129" width="4.7109375" style="389" customWidth="1"/>
    <col min="130" max="130" width="7.7109375" style="389" customWidth="1"/>
    <col min="131" max="131" width="4.7109375" style="389" customWidth="1"/>
    <col min="132" max="132" width="7.7109375" style="389" customWidth="1"/>
    <col min="133" max="133" width="4.7109375" style="389" customWidth="1"/>
    <col min="134" max="134" width="7.7109375" style="389" customWidth="1"/>
    <col min="135" max="135" width="4.7109375" style="389" customWidth="1"/>
    <col min="136" max="136" width="7.7109375" style="389" customWidth="1"/>
    <col min="137" max="137" width="4.7109375" style="389" customWidth="1"/>
    <col min="138" max="138" width="7.7109375" style="389" customWidth="1"/>
    <col min="139" max="139" width="4.7109375" style="389" customWidth="1"/>
    <col min="140" max="140" width="7.7109375" style="389" customWidth="1"/>
    <col min="141" max="141" width="4.7109375" style="389" customWidth="1"/>
    <col min="142" max="142" width="7.7109375" style="389" customWidth="1"/>
    <col min="143" max="143" width="4.7109375" style="389" customWidth="1"/>
    <col min="144" max="144" width="7.7109375" style="389" customWidth="1"/>
    <col min="145" max="145" width="4.7109375" style="389" customWidth="1"/>
    <col min="146" max="146" width="7.7109375" style="389" customWidth="1"/>
    <col min="147" max="147" width="4.7109375" style="389" customWidth="1"/>
    <col min="148" max="148" width="7.7109375" style="389" customWidth="1"/>
    <col min="149" max="149" width="4.7109375" style="389" customWidth="1"/>
    <col min="150" max="150" width="7.7109375" style="389" customWidth="1"/>
    <col min="151" max="151" width="4.7109375" style="389" customWidth="1"/>
    <col min="152" max="152" width="7.7109375" style="389" customWidth="1"/>
    <col min="153" max="153" width="4.7109375" style="389" customWidth="1"/>
    <col min="154" max="154" width="7.7109375" style="389" customWidth="1"/>
    <col min="155" max="155" width="4.7109375" style="389" customWidth="1"/>
    <col min="156" max="156" width="7.7109375" style="389" customWidth="1"/>
    <col min="157" max="157" width="4.7109375" style="389" customWidth="1"/>
    <col min="158" max="158" width="7.7109375" style="389" customWidth="1"/>
    <col min="159" max="159" width="4.7109375" style="389" customWidth="1"/>
    <col min="160" max="160" width="7.7109375" style="389" customWidth="1"/>
    <col min="161" max="161" width="4.7109375" style="389" customWidth="1"/>
    <col min="162" max="162" width="7.7109375" style="389" customWidth="1"/>
    <col min="163" max="163" width="4.7109375" style="389" customWidth="1"/>
    <col min="164" max="164" width="7.7109375" style="389" customWidth="1"/>
    <col min="165" max="165" width="4.7109375" style="1207" customWidth="1"/>
    <col min="166" max="166" width="5" style="389" customWidth="1"/>
    <col min="167" max="171" width="9.5703125" style="389" customWidth="1"/>
    <col min="172" max="173" width="4.7109375" style="389" customWidth="1"/>
    <col min="174" max="174" width="7.7109375" style="389" customWidth="1"/>
    <col min="175" max="176" width="4.7109375" style="389" customWidth="1"/>
    <col min="177" max="177" width="7.7109375" style="389" customWidth="1"/>
    <col min="178" max="178" width="4.7109375" style="389" customWidth="1"/>
    <col min="179" max="179" width="7.7109375" style="389" customWidth="1"/>
    <col min="180" max="180" width="4.7109375" style="389" customWidth="1"/>
    <col min="181" max="181" width="7.7109375" style="389" customWidth="1"/>
    <col min="182" max="182" width="4.7109375" style="389" customWidth="1"/>
    <col min="183" max="183" width="7.7109375" style="389" customWidth="1"/>
    <col min="184" max="184" width="4.7109375" style="389" customWidth="1"/>
    <col min="185" max="185" width="7.7109375" style="389" customWidth="1"/>
    <col min="186" max="186" width="4.7109375" style="389" customWidth="1"/>
    <col min="187" max="187" width="7.7109375" style="389" customWidth="1"/>
    <col min="188" max="188" width="4.7109375" style="389" customWidth="1"/>
    <col min="189" max="191" width="7.7109375" style="1243" customWidth="1"/>
    <col min="192" max="192" width="4.7109375" style="1243" customWidth="1"/>
    <col min="193" max="193" width="6.7109375" style="1243" customWidth="1"/>
    <col min="194" max="199" width="8.7109375" style="1243" customWidth="1"/>
    <col min="200" max="200" width="12.5703125" style="1243" customWidth="1"/>
    <col min="201" max="201" width="7.140625" style="1243" customWidth="1"/>
    <col min="202" max="202" width="4.7109375" style="1243" customWidth="1"/>
    <col min="203" max="203" width="6.7109375" style="1243" customWidth="1"/>
    <col min="204" max="210" width="8.7109375" style="1243" customWidth="1"/>
    <col min="211" max="211" width="4.28515625" style="1207" customWidth="1"/>
    <col min="212" max="212" width="7.42578125" style="389" customWidth="1"/>
    <col min="213" max="213" width="24.5703125" style="389" customWidth="1"/>
    <col min="214" max="214" width="8.85546875" style="389" customWidth="1"/>
    <col min="215" max="16384" width="7.42578125" style="389"/>
  </cols>
  <sheetData>
    <row r="1" spans="1:353" s="382" customFormat="1" ht="42" customHeight="1">
      <c r="A1" s="372" t="s">
        <v>247</v>
      </c>
      <c r="B1" s="373"/>
      <c r="C1" s="373"/>
      <c r="D1" s="373"/>
      <c r="E1" s="373"/>
      <c r="F1" s="373"/>
      <c r="G1" s="373"/>
      <c r="H1" s="374"/>
      <c r="I1" s="374"/>
      <c r="J1" s="373"/>
      <c r="K1" s="373"/>
      <c r="L1" s="373"/>
      <c r="M1" s="373"/>
      <c r="N1" s="373"/>
      <c r="O1" s="373"/>
      <c r="P1" s="373"/>
      <c r="Q1" s="373"/>
      <c r="R1" s="373"/>
      <c r="S1" s="373"/>
      <c r="T1" s="373"/>
      <c r="U1" s="373"/>
      <c r="V1" s="373"/>
      <c r="W1" s="373"/>
      <c r="X1" s="373"/>
      <c r="Y1" s="373"/>
      <c r="Z1" s="373"/>
      <c r="AA1" s="373"/>
      <c r="AB1" s="373"/>
      <c r="AC1" s="373"/>
      <c r="AD1" s="373"/>
      <c r="AE1" s="373"/>
      <c r="AF1" s="373"/>
      <c r="AG1" s="373"/>
      <c r="AH1" s="373"/>
      <c r="AI1" s="373"/>
      <c r="AJ1" s="373"/>
      <c r="AK1" s="373"/>
      <c r="AL1" s="373"/>
      <c r="AM1" s="373"/>
      <c r="AN1" s="373"/>
      <c r="AO1" s="373"/>
      <c r="AP1" s="373"/>
      <c r="AQ1" s="373"/>
      <c r="AR1" s="373"/>
      <c r="AS1" s="373"/>
      <c r="AT1" s="373"/>
      <c r="AU1" s="373"/>
      <c r="AV1" s="373"/>
      <c r="AW1" s="373"/>
      <c r="AX1" s="375" t="s">
        <v>249</v>
      </c>
      <c r="AY1" s="373" t="s">
        <v>679</v>
      </c>
      <c r="AZ1" s="373"/>
      <c r="BA1" s="373"/>
      <c r="BB1" s="376"/>
      <c r="BC1" s="377"/>
      <c r="BD1" s="372" t="s">
        <v>247</v>
      </c>
      <c r="BE1" s="373"/>
      <c r="BF1" s="373"/>
      <c r="BG1" s="373"/>
      <c r="BH1" s="373"/>
      <c r="BI1" s="373"/>
      <c r="BJ1" s="373"/>
      <c r="BK1" s="374"/>
      <c r="BL1" s="374"/>
      <c r="BM1" s="373"/>
      <c r="BN1" s="373"/>
      <c r="BO1" s="373"/>
      <c r="BP1" s="373"/>
      <c r="BQ1" s="373"/>
      <c r="BR1" s="373"/>
      <c r="BS1" s="373"/>
      <c r="BT1" s="373"/>
      <c r="BU1" s="373"/>
      <c r="BV1" s="373"/>
      <c r="BW1" s="373"/>
      <c r="BX1" s="373"/>
      <c r="BY1" s="373"/>
      <c r="BZ1" s="373"/>
      <c r="CA1" s="373"/>
      <c r="CB1" s="373"/>
      <c r="CC1" s="373"/>
      <c r="CD1" s="373"/>
      <c r="CE1" s="373"/>
      <c r="CF1" s="373"/>
      <c r="CG1" s="373"/>
      <c r="CH1" s="373"/>
      <c r="CI1" s="373"/>
      <c r="CJ1" s="373"/>
      <c r="CK1" s="373"/>
      <c r="CL1" s="373"/>
      <c r="CM1" s="373"/>
      <c r="CN1" s="373"/>
      <c r="CO1" s="373"/>
      <c r="CP1" s="373"/>
      <c r="CQ1" s="373"/>
      <c r="CR1" s="373"/>
      <c r="CS1" s="373"/>
      <c r="CT1" s="373"/>
      <c r="CU1" s="373"/>
      <c r="CV1" s="373"/>
      <c r="CW1" s="373"/>
      <c r="CX1" s="373"/>
      <c r="CY1" s="373"/>
      <c r="CZ1" s="373"/>
      <c r="DA1" s="375" t="s">
        <v>249</v>
      </c>
      <c r="DB1" s="373" t="str">
        <f>$AY1</f>
        <v>9時-18時</v>
      </c>
      <c r="DC1" s="375"/>
      <c r="DD1" s="373"/>
      <c r="DE1" s="376"/>
      <c r="DF1" s="377"/>
      <c r="DG1" s="372" t="s">
        <v>247</v>
      </c>
      <c r="DH1" s="373"/>
      <c r="DI1" s="373"/>
      <c r="DJ1" s="373"/>
      <c r="DK1" s="373"/>
      <c r="DL1" s="373"/>
      <c r="DM1" s="373"/>
      <c r="DN1" s="374"/>
      <c r="DO1" s="374"/>
      <c r="DP1" s="373"/>
      <c r="DQ1" s="373"/>
      <c r="DR1" s="373"/>
      <c r="DS1" s="373"/>
      <c r="DT1" s="373"/>
      <c r="DU1" s="373"/>
      <c r="DV1" s="373"/>
      <c r="DW1" s="373"/>
      <c r="DX1" s="373"/>
      <c r="DY1" s="373"/>
      <c r="DZ1" s="373"/>
      <c r="EA1" s="373"/>
      <c r="EB1" s="373"/>
      <c r="EC1" s="373"/>
      <c r="ED1" s="373"/>
      <c r="EE1" s="373"/>
      <c r="EF1" s="373"/>
      <c r="EG1" s="373"/>
      <c r="EH1" s="373"/>
      <c r="EI1" s="373"/>
      <c r="EJ1" s="373"/>
      <c r="EK1" s="373"/>
      <c r="EL1" s="373"/>
      <c r="EM1" s="373"/>
      <c r="EN1" s="373"/>
      <c r="EO1" s="373"/>
      <c r="EP1" s="373"/>
      <c r="EQ1" s="373"/>
      <c r="ER1" s="373"/>
      <c r="ES1" s="373"/>
      <c r="ET1" s="373"/>
      <c r="EU1" s="373"/>
      <c r="EV1" s="373"/>
      <c r="EW1" s="373"/>
      <c r="EX1" s="373"/>
      <c r="EY1" s="373"/>
      <c r="EZ1" s="373"/>
      <c r="FA1" s="373"/>
      <c r="FB1" s="373"/>
      <c r="FC1" s="373"/>
      <c r="FD1" s="375" t="s">
        <v>249</v>
      </c>
      <c r="FE1" s="373" t="str">
        <f>$AY1</f>
        <v>9時-18時</v>
      </c>
      <c r="FF1" s="375"/>
      <c r="FG1" s="373"/>
      <c r="FH1" s="376"/>
      <c r="FI1" s="377"/>
      <c r="FJ1" s="372" t="s">
        <v>247</v>
      </c>
      <c r="FK1" s="373"/>
      <c r="FL1" s="373"/>
      <c r="FM1" s="373"/>
      <c r="FN1" s="373"/>
      <c r="FO1" s="373"/>
      <c r="FP1" s="373"/>
      <c r="FQ1" s="374"/>
      <c r="FR1" s="374"/>
      <c r="FS1" s="373"/>
      <c r="FT1" s="373"/>
      <c r="FU1" s="373"/>
      <c r="FV1" s="373"/>
      <c r="FW1" s="373"/>
      <c r="FX1" s="373"/>
      <c r="FY1" s="373"/>
      <c r="FZ1" s="373"/>
      <c r="GA1" s="373"/>
      <c r="GB1" s="373"/>
      <c r="GC1" s="373"/>
      <c r="GD1" s="373"/>
      <c r="GE1" s="373"/>
      <c r="GF1" s="373"/>
      <c r="GG1" s="373"/>
      <c r="GH1" s="373"/>
      <c r="GI1" s="373"/>
      <c r="GJ1" s="373"/>
      <c r="GK1" s="373"/>
      <c r="GL1" s="373"/>
      <c r="GM1" s="373"/>
      <c r="GN1" s="373"/>
      <c r="GO1" s="373"/>
      <c r="GP1" s="373"/>
      <c r="GQ1" s="373"/>
      <c r="GR1" s="373"/>
      <c r="GS1" s="373"/>
      <c r="GT1" s="373"/>
      <c r="GU1" s="375"/>
      <c r="GV1" s="373"/>
      <c r="GW1" s="373"/>
      <c r="GX1" s="373"/>
      <c r="GY1" s="375" t="s">
        <v>448</v>
      </c>
      <c r="GZ1" s="373" t="s">
        <v>619</v>
      </c>
      <c r="HA1" s="373"/>
      <c r="HB1" s="376"/>
      <c r="HC1" s="1469" t="s">
        <v>449</v>
      </c>
      <c r="HD1" s="378"/>
      <c r="HE1" s="379"/>
      <c r="HF1" s="378"/>
      <c r="HG1" s="1467"/>
      <c r="HH1" s="380" t="s">
        <v>250</v>
      </c>
      <c r="HI1" s="381"/>
    </row>
    <row r="2" spans="1:353" ht="20.100000000000001" customHeight="1" thickBot="1">
      <c r="A2" s="383"/>
      <c r="B2" s="383"/>
      <c r="C2" s="383"/>
      <c r="D2" s="383"/>
      <c r="E2" s="383"/>
      <c r="F2" s="383"/>
      <c r="G2" s="383"/>
      <c r="H2" s="383"/>
      <c r="I2" s="383"/>
      <c r="J2" s="383"/>
      <c r="K2" s="383"/>
      <c r="L2" s="383"/>
      <c r="M2" s="383"/>
      <c r="N2" s="383"/>
      <c r="O2" s="383"/>
      <c r="P2" s="383"/>
      <c r="Q2" s="383"/>
      <c r="R2" s="383"/>
      <c r="S2" s="383"/>
      <c r="T2" s="383"/>
      <c r="U2" s="383"/>
      <c r="V2" s="383"/>
      <c r="W2" s="383"/>
      <c r="X2" s="384"/>
      <c r="Y2" s="383"/>
      <c r="Z2" s="383"/>
      <c r="AA2" s="384"/>
      <c r="AB2" s="384"/>
      <c r="AC2" s="384"/>
      <c r="AD2" s="384"/>
      <c r="AE2" s="384"/>
      <c r="AF2" s="384"/>
      <c r="AG2" s="384"/>
      <c r="AH2" s="384"/>
      <c r="AI2" s="384"/>
      <c r="AJ2" s="384"/>
      <c r="AK2" s="384"/>
      <c r="AL2" s="384"/>
      <c r="AM2" s="384"/>
      <c r="AN2" s="384"/>
      <c r="AO2" s="384"/>
      <c r="AP2" s="384"/>
      <c r="AQ2" s="384"/>
      <c r="AR2" s="384"/>
      <c r="AS2" s="384"/>
      <c r="AT2" s="384"/>
      <c r="AU2" s="384"/>
      <c r="AV2" s="384"/>
      <c r="AW2" s="384"/>
      <c r="AX2" s="384"/>
      <c r="AY2" s="384"/>
      <c r="AZ2" s="384"/>
      <c r="BA2" s="384"/>
      <c r="BB2" s="384"/>
      <c r="BC2" s="385"/>
      <c r="BD2" s="383"/>
      <c r="BE2" s="383"/>
      <c r="BF2" s="383"/>
      <c r="BG2" s="383"/>
      <c r="BH2" s="383"/>
      <c r="BI2" s="383"/>
      <c r="BJ2" s="383"/>
      <c r="BK2" s="383"/>
      <c r="BL2" s="383"/>
      <c r="BM2" s="383"/>
      <c r="BN2" s="383"/>
      <c r="BO2" s="383"/>
      <c r="BP2" s="383"/>
      <c r="BQ2" s="383"/>
      <c r="BR2" s="383"/>
      <c r="BS2" s="383"/>
      <c r="BT2" s="383"/>
      <c r="BU2" s="383"/>
      <c r="BV2" s="383"/>
      <c r="BW2" s="383"/>
      <c r="BX2" s="383"/>
      <c r="BY2" s="383"/>
      <c r="BZ2" s="383"/>
      <c r="CA2" s="384"/>
      <c r="CB2" s="383"/>
      <c r="CC2" s="383"/>
      <c r="CD2" s="384"/>
      <c r="CE2" s="384"/>
      <c r="CF2" s="384"/>
      <c r="CG2" s="384"/>
      <c r="CH2" s="384"/>
      <c r="CI2" s="384"/>
      <c r="CJ2" s="384"/>
      <c r="CK2" s="384"/>
      <c r="CL2" s="384"/>
      <c r="CM2" s="384"/>
      <c r="CN2" s="384"/>
      <c r="CO2" s="384"/>
      <c r="CP2" s="384"/>
      <c r="CQ2" s="384"/>
      <c r="CR2" s="384"/>
      <c r="CS2" s="384"/>
      <c r="CT2" s="384"/>
      <c r="CU2" s="384"/>
      <c r="CV2" s="384"/>
      <c r="CW2" s="384"/>
      <c r="CX2" s="384"/>
      <c r="CY2" s="384"/>
      <c r="CZ2" s="384"/>
      <c r="DA2" s="384"/>
      <c r="DB2" s="384"/>
      <c r="DC2" s="384"/>
      <c r="DD2" s="384"/>
      <c r="DE2" s="384"/>
      <c r="DF2" s="386"/>
      <c r="DG2" s="383"/>
      <c r="DH2" s="383"/>
      <c r="DI2" s="383"/>
      <c r="DJ2" s="383"/>
      <c r="DK2" s="383"/>
      <c r="DL2" s="383"/>
      <c r="DM2" s="383"/>
      <c r="DN2" s="383"/>
      <c r="DO2" s="383"/>
      <c r="DP2" s="383"/>
      <c r="DQ2" s="383"/>
      <c r="DR2" s="383"/>
      <c r="DS2" s="383"/>
      <c r="DT2" s="383"/>
      <c r="DU2" s="383"/>
      <c r="DV2" s="383"/>
      <c r="DW2" s="383"/>
      <c r="DX2" s="383"/>
      <c r="DY2" s="383"/>
      <c r="DZ2" s="383"/>
      <c r="EA2" s="383"/>
      <c r="EB2" s="383"/>
      <c r="EC2" s="383"/>
      <c r="ED2" s="384"/>
      <c r="EE2" s="383"/>
      <c r="EF2" s="383"/>
      <c r="EG2" s="384"/>
      <c r="EH2" s="384"/>
      <c r="EI2" s="384"/>
      <c r="EJ2" s="384"/>
      <c r="EK2" s="384"/>
      <c r="EL2" s="384"/>
      <c r="EM2" s="384"/>
      <c r="EN2" s="384"/>
      <c r="EO2" s="384"/>
      <c r="EP2" s="384"/>
      <c r="EQ2" s="384"/>
      <c r="ER2" s="384"/>
      <c r="ES2" s="384"/>
      <c r="ET2" s="384"/>
      <c r="EU2" s="384"/>
      <c r="EV2" s="384"/>
      <c r="EW2" s="384"/>
      <c r="EX2" s="384"/>
      <c r="EY2" s="384"/>
      <c r="EZ2" s="384"/>
      <c r="FA2" s="384"/>
      <c r="FB2" s="384"/>
      <c r="FC2" s="384"/>
      <c r="FD2" s="384"/>
      <c r="FE2" s="384"/>
      <c r="FF2" s="384"/>
      <c r="FG2" s="384"/>
      <c r="FH2" s="384"/>
      <c r="FI2" s="386"/>
      <c r="FJ2" s="383"/>
      <c r="FK2" s="383"/>
      <c r="FL2" s="383"/>
      <c r="FM2" s="383"/>
      <c r="FN2" s="383"/>
      <c r="FO2" s="383"/>
      <c r="FP2" s="383"/>
      <c r="FQ2" s="383"/>
      <c r="FR2" s="383"/>
      <c r="FS2" s="383"/>
      <c r="FT2" s="383"/>
      <c r="FU2" s="383"/>
      <c r="FV2" s="383"/>
      <c r="FW2" s="383"/>
      <c r="FX2" s="383"/>
      <c r="FY2" s="383"/>
      <c r="FZ2" s="383"/>
      <c r="GA2" s="383"/>
      <c r="GB2" s="383"/>
      <c r="GC2" s="383"/>
      <c r="GD2" s="383"/>
      <c r="GE2" s="383"/>
      <c r="GF2" s="383"/>
      <c r="GG2" s="387"/>
      <c r="GH2" s="387"/>
      <c r="GI2" s="387"/>
      <c r="GJ2" s="387"/>
      <c r="GK2" s="387"/>
      <c r="GL2" s="387"/>
      <c r="GM2" s="387"/>
      <c r="GN2" s="387"/>
      <c r="GO2" s="387"/>
      <c r="GP2" s="387"/>
      <c r="GQ2" s="387"/>
      <c r="GR2" s="387"/>
      <c r="GS2" s="387"/>
      <c r="GT2" s="388"/>
      <c r="GU2" s="388"/>
      <c r="GV2" s="387"/>
      <c r="GW2" s="387"/>
      <c r="GX2" s="387"/>
      <c r="GY2" s="387"/>
      <c r="GZ2" s="387"/>
      <c r="HA2" s="387"/>
      <c r="HB2" s="387"/>
      <c r="HC2" s="385"/>
      <c r="HD2" s="383"/>
      <c r="HE2" s="383"/>
      <c r="HF2" s="383"/>
      <c r="HG2" s="383"/>
    </row>
    <row r="3" spans="1:353" ht="20.100000000000001" customHeight="1">
      <c r="A3" s="390" t="s">
        <v>682</v>
      </c>
      <c r="B3" s="391">
        <v>302</v>
      </c>
      <c r="C3" s="392" t="s">
        <v>683</v>
      </c>
      <c r="D3" s="393" t="s">
        <v>684</v>
      </c>
      <c r="E3" s="393"/>
      <c r="F3" s="393"/>
      <c r="G3" s="393"/>
      <c r="H3" s="393"/>
      <c r="I3" s="393"/>
      <c r="J3" s="394"/>
      <c r="K3" s="395" t="s">
        <v>350</v>
      </c>
      <c r="L3" s="396"/>
      <c r="M3" s="395" t="s">
        <v>354</v>
      </c>
      <c r="N3" s="396"/>
      <c r="O3" s="397" t="s">
        <v>748</v>
      </c>
      <c r="P3" s="398"/>
      <c r="Q3" s="398"/>
      <c r="R3" s="398"/>
      <c r="S3" s="398"/>
      <c r="T3" s="398"/>
      <c r="U3" s="398"/>
      <c r="V3" s="399"/>
      <c r="W3" s="400" t="s">
        <v>348</v>
      </c>
      <c r="X3" s="401"/>
      <c r="Y3" s="402"/>
      <c r="Z3" s="403"/>
      <c r="AA3" s="403"/>
      <c r="AB3" s="403"/>
      <c r="AC3" s="403"/>
      <c r="AD3" s="403"/>
      <c r="AE3" s="403"/>
      <c r="AF3" s="403"/>
      <c r="AG3" s="403"/>
      <c r="AH3" s="403"/>
      <c r="AI3" s="403"/>
      <c r="AJ3" s="403"/>
      <c r="AK3" s="403"/>
      <c r="AL3" s="403"/>
      <c r="AM3" s="403"/>
      <c r="AN3" s="403"/>
      <c r="AO3" s="403"/>
      <c r="AP3" s="403"/>
      <c r="AQ3" s="403"/>
      <c r="AR3" s="403"/>
      <c r="AS3" s="403"/>
      <c r="AT3" s="403"/>
      <c r="AU3" s="403"/>
      <c r="AV3" s="403"/>
      <c r="AW3" s="403"/>
      <c r="AX3" s="403"/>
      <c r="AY3" s="403"/>
      <c r="AZ3" s="403"/>
      <c r="BA3" s="403"/>
      <c r="BB3" s="403"/>
      <c r="BC3" s="403"/>
      <c r="BD3" s="390" t="s">
        <v>353</v>
      </c>
      <c r="BE3" s="391">
        <v>302</v>
      </c>
      <c r="BF3" s="392" t="s">
        <v>343</v>
      </c>
      <c r="BG3" s="404" t="s">
        <v>678</v>
      </c>
      <c r="BH3" s="404"/>
      <c r="BI3" s="404"/>
      <c r="BJ3" s="404"/>
      <c r="BK3" s="404"/>
      <c r="BL3" s="404"/>
      <c r="BM3" s="405"/>
      <c r="BN3" s="395" t="s">
        <v>350</v>
      </c>
      <c r="BO3" s="396"/>
      <c r="BP3" s="395" t="s">
        <v>351</v>
      </c>
      <c r="BQ3" s="396"/>
      <c r="BR3" s="397" t="s">
        <v>748</v>
      </c>
      <c r="BS3" s="398"/>
      <c r="BT3" s="398"/>
      <c r="BU3" s="398"/>
      <c r="BV3" s="398"/>
      <c r="BW3" s="398"/>
      <c r="BX3" s="398"/>
      <c r="BY3" s="399"/>
      <c r="BZ3" s="400" t="s">
        <v>348</v>
      </c>
      <c r="CA3" s="401"/>
      <c r="CB3" s="402"/>
      <c r="CC3" s="403"/>
      <c r="CD3" s="403"/>
      <c r="CE3" s="403"/>
      <c r="CF3" s="403"/>
      <c r="CG3" s="403"/>
      <c r="CH3" s="403"/>
      <c r="CI3" s="403"/>
      <c r="CJ3" s="403"/>
      <c r="CK3" s="403"/>
      <c r="CL3" s="403"/>
      <c r="CM3" s="403"/>
      <c r="CN3" s="403"/>
      <c r="CO3" s="403"/>
      <c r="CP3" s="403"/>
      <c r="CQ3" s="403"/>
      <c r="CR3" s="403"/>
      <c r="CS3" s="403"/>
      <c r="CT3" s="403"/>
      <c r="CU3" s="403"/>
      <c r="CV3" s="403"/>
      <c r="CW3" s="403"/>
      <c r="CX3" s="403"/>
      <c r="CY3" s="403"/>
      <c r="CZ3" s="403"/>
      <c r="DA3" s="403"/>
      <c r="DB3" s="403"/>
      <c r="DC3" s="403"/>
      <c r="DD3" s="403"/>
      <c r="DE3" s="403"/>
      <c r="DF3" s="403"/>
      <c r="DG3" s="390" t="s">
        <v>349</v>
      </c>
      <c r="DH3" s="391">
        <v>302</v>
      </c>
      <c r="DI3" s="392" t="s">
        <v>343</v>
      </c>
      <c r="DJ3" s="404" t="s">
        <v>678</v>
      </c>
      <c r="DK3" s="404"/>
      <c r="DL3" s="404"/>
      <c r="DM3" s="404"/>
      <c r="DN3" s="404"/>
      <c r="DO3" s="404"/>
      <c r="DP3" s="405"/>
      <c r="DQ3" s="395" t="s">
        <v>346</v>
      </c>
      <c r="DR3" s="396"/>
      <c r="DS3" s="395" t="s">
        <v>351</v>
      </c>
      <c r="DT3" s="396"/>
      <c r="DU3" s="397" t="s">
        <v>773</v>
      </c>
      <c r="DV3" s="398"/>
      <c r="DW3" s="398"/>
      <c r="DX3" s="398"/>
      <c r="DY3" s="398"/>
      <c r="DZ3" s="398"/>
      <c r="EA3" s="398"/>
      <c r="EB3" s="399"/>
      <c r="EC3" s="400" t="s">
        <v>348</v>
      </c>
      <c r="ED3" s="401"/>
      <c r="EE3" s="402"/>
      <c r="EF3" s="403"/>
      <c r="EG3" s="403"/>
      <c r="EH3" s="403"/>
      <c r="EI3" s="403"/>
      <c r="EJ3" s="403"/>
      <c r="EK3" s="403"/>
      <c r="EL3" s="403"/>
      <c r="EM3" s="403"/>
      <c r="EN3" s="403"/>
      <c r="EO3" s="403"/>
      <c r="EP3" s="403"/>
      <c r="EQ3" s="403"/>
      <c r="ER3" s="403"/>
      <c r="ES3" s="403"/>
      <c r="ET3" s="403"/>
      <c r="EU3" s="403"/>
      <c r="EV3" s="403"/>
      <c r="EW3" s="403"/>
      <c r="EX3" s="403"/>
      <c r="EY3" s="403"/>
      <c r="EZ3" s="403"/>
      <c r="FA3" s="403"/>
      <c r="FB3" s="403"/>
      <c r="FC3" s="403"/>
      <c r="FD3" s="403"/>
      <c r="FE3" s="403"/>
      <c r="FF3" s="403"/>
      <c r="FG3" s="403"/>
      <c r="FH3" s="403"/>
      <c r="FI3" s="403"/>
      <c r="FJ3" s="390" t="s">
        <v>349</v>
      </c>
      <c r="FK3" s="391">
        <v>302</v>
      </c>
      <c r="FL3" s="392" t="s">
        <v>343</v>
      </c>
      <c r="FM3" s="404" t="s">
        <v>678</v>
      </c>
      <c r="FN3" s="404"/>
      <c r="FO3" s="404"/>
      <c r="FP3" s="404"/>
      <c r="FQ3" s="404"/>
      <c r="FR3" s="404"/>
      <c r="FS3" s="405"/>
      <c r="FT3" s="395" t="s">
        <v>346</v>
      </c>
      <c r="FU3" s="396"/>
      <c r="FV3" s="395" t="s">
        <v>354</v>
      </c>
      <c r="FW3" s="396"/>
      <c r="FX3" s="397" t="s">
        <v>875</v>
      </c>
      <c r="FY3" s="398"/>
      <c r="FZ3" s="398"/>
      <c r="GA3" s="398"/>
      <c r="GB3" s="398"/>
      <c r="GC3" s="398"/>
      <c r="GD3" s="398"/>
      <c r="GE3" s="399"/>
      <c r="GF3" s="400" t="s">
        <v>348</v>
      </c>
      <c r="GG3" s="401"/>
      <c r="GH3" s="402"/>
      <c r="GI3" s="406"/>
      <c r="GJ3" s="407" t="s">
        <v>633</v>
      </c>
      <c r="GK3" s="408"/>
      <c r="GL3" s="408"/>
      <c r="GM3" s="408"/>
      <c r="GN3" s="408"/>
      <c r="GO3" s="408"/>
      <c r="GP3" s="408"/>
      <c r="GQ3" s="408"/>
      <c r="GR3" s="409"/>
      <c r="GS3" s="410"/>
      <c r="GT3" s="407" t="s">
        <v>571</v>
      </c>
      <c r="GU3" s="408"/>
      <c r="GV3" s="408"/>
      <c r="GW3" s="408"/>
      <c r="GX3" s="408"/>
      <c r="GY3" s="408"/>
      <c r="GZ3" s="408"/>
      <c r="HA3" s="408"/>
      <c r="HB3" s="409"/>
      <c r="HC3" s="411"/>
      <c r="HD3" s="434"/>
      <c r="HE3" s="413"/>
      <c r="HF3" s="413"/>
      <c r="HG3" s="383"/>
    </row>
    <row r="4" spans="1:353" ht="20.100000000000001" customHeight="1">
      <c r="A4" s="414"/>
      <c r="B4" s="415"/>
      <c r="C4" s="416"/>
      <c r="D4" s="417"/>
      <c r="E4" s="417"/>
      <c r="F4" s="417"/>
      <c r="G4" s="417"/>
      <c r="H4" s="417"/>
      <c r="I4" s="417"/>
      <c r="J4" s="418"/>
      <c r="K4" s="419"/>
      <c r="L4" s="420"/>
      <c r="M4" s="419"/>
      <c r="N4" s="420"/>
      <c r="O4" s="421" t="s">
        <v>355</v>
      </c>
      <c r="P4" s="422"/>
      <c r="Q4" s="423" t="s">
        <v>356</v>
      </c>
      <c r="R4" s="422"/>
      <c r="S4" s="424" t="s">
        <v>357</v>
      </c>
      <c r="T4" s="425"/>
      <c r="U4" s="426" t="s">
        <v>358</v>
      </c>
      <c r="V4" s="427"/>
      <c r="W4" s="428" t="s">
        <v>628</v>
      </c>
      <c r="X4" s="429"/>
      <c r="Y4" s="430"/>
      <c r="Z4" s="403"/>
      <c r="AA4" s="403"/>
      <c r="AB4" s="403"/>
      <c r="AC4" s="403"/>
      <c r="AD4" s="403"/>
      <c r="AE4" s="403"/>
      <c r="AF4" s="403"/>
      <c r="AG4" s="403"/>
      <c r="AH4" s="403"/>
      <c r="AI4" s="403"/>
      <c r="AJ4" s="403"/>
      <c r="AK4" s="403"/>
      <c r="AL4" s="403"/>
      <c r="AM4" s="403"/>
      <c r="AN4" s="403"/>
      <c r="AO4" s="403"/>
      <c r="AP4" s="403"/>
      <c r="AQ4" s="403"/>
      <c r="AR4" s="403"/>
      <c r="AS4" s="403"/>
      <c r="AT4" s="403"/>
      <c r="AU4" s="403"/>
      <c r="AV4" s="403"/>
      <c r="AW4" s="403"/>
      <c r="AX4" s="403"/>
      <c r="AY4" s="403"/>
      <c r="AZ4" s="403"/>
      <c r="BA4" s="403"/>
      <c r="BB4" s="403"/>
      <c r="BC4" s="403"/>
      <c r="BD4" s="414"/>
      <c r="BE4" s="415"/>
      <c r="BF4" s="416"/>
      <c r="BG4" s="431"/>
      <c r="BH4" s="431"/>
      <c r="BI4" s="431"/>
      <c r="BJ4" s="431"/>
      <c r="BK4" s="431"/>
      <c r="BL4" s="431"/>
      <c r="BM4" s="432"/>
      <c r="BN4" s="419"/>
      <c r="BO4" s="420"/>
      <c r="BP4" s="419"/>
      <c r="BQ4" s="420"/>
      <c r="BR4" s="421" t="s">
        <v>360</v>
      </c>
      <c r="BS4" s="422"/>
      <c r="BT4" s="423" t="s">
        <v>356</v>
      </c>
      <c r="BU4" s="422"/>
      <c r="BV4" s="424" t="s">
        <v>361</v>
      </c>
      <c r="BW4" s="425"/>
      <c r="BX4" s="426" t="s">
        <v>362</v>
      </c>
      <c r="BY4" s="427"/>
      <c r="BZ4" s="428" t="s">
        <v>628</v>
      </c>
      <c r="CA4" s="429"/>
      <c r="CB4" s="430"/>
      <c r="CC4" s="403"/>
      <c r="CD4" s="403"/>
      <c r="CE4" s="403"/>
      <c r="CF4" s="403"/>
      <c r="CG4" s="403"/>
      <c r="CH4" s="403"/>
      <c r="CI4" s="403"/>
      <c r="CJ4" s="403"/>
      <c r="CK4" s="403"/>
      <c r="CL4" s="403"/>
      <c r="CM4" s="403"/>
      <c r="CN4" s="403"/>
      <c r="CO4" s="403"/>
      <c r="CP4" s="403"/>
      <c r="CQ4" s="403"/>
      <c r="CR4" s="403"/>
      <c r="CS4" s="403"/>
      <c r="CT4" s="403"/>
      <c r="CU4" s="403"/>
      <c r="CV4" s="403"/>
      <c r="CW4" s="403"/>
      <c r="CX4" s="403"/>
      <c r="CY4" s="403"/>
      <c r="CZ4" s="403"/>
      <c r="DA4" s="403"/>
      <c r="DB4" s="403"/>
      <c r="DC4" s="403"/>
      <c r="DD4" s="403"/>
      <c r="DE4" s="403"/>
      <c r="DF4" s="403"/>
      <c r="DG4" s="414"/>
      <c r="DH4" s="415"/>
      <c r="DI4" s="416"/>
      <c r="DJ4" s="431"/>
      <c r="DK4" s="431"/>
      <c r="DL4" s="431"/>
      <c r="DM4" s="431"/>
      <c r="DN4" s="431"/>
      <c r="DO4" s="431"/>
      <c r="DP4" s="432"/>
      <c r="DQ4" s="419"/>
      <c r="DR4" s="420"/>
      <c r="DS4" s="419"/>
      <c r="DT4" s="420"/>
      <c r="DU4" s="421" t="s">
        <v>360</v>
      </c>
      <c r="DV4" s="422"/>
      <c r="DW4" s="423" t="s">
        <v>356</v>
      </c>
      <c r="DX4" s="422"/>
      <c r="DY4" s="424" t="s">
        <v>361</v>
      </c>
      <c r="DZ4" s="425"/>
      <c r="EA4" s="426" t="s">
        <v>358</v>
      </c>
      <c r="EB4" s="427"/>
      <c r="EC4" s="428" t="s">
        <v>627</v>
      </c>
      <c r="ED4" s="429"/>
      <c r="EE4" s="430"/>
      <c r="EF4" s="403"/>
      <c r="EG4" s="403"/>
      <c r="EH4" s="403"/>
      <c r="EI4" s="403"/>
      <c r="EJ4" s="403"/>
      <c r="EK4" s="403"/>
      <c r="EL4" s="403"/>
      <c r="EM4" s="403"/>
      <c r="EN4" s="403"/>
      <c r="EO4" s="403"/>
      <c r="EP4" s="403"/>
      <c r="EQ4" s="403"/>
      <c r="ER4" s="403"/>
      <c r="ES4" s="403"/>
      <c r="ET4" s="403"/>
      <c r="EU4" s="403"/>
      <c r="EV4" s="403"/>
      <c r="EW4" s="403"/>
      <c r="EX4" s="403"/>
      <c r="EY4" s="403"/>
      <c r="EZ4" s="403"/>
      <c r="FA4" s="403"/>
      <c r="FB4" s="403"/>
      <c r="FC4" s="403"/>
      <c r="FD4" s="403"/>
      <c r="FE4" s="403"/>
      <c r="FF4" s="403"/>
      <c r="FG4" s="403"/>
      <c r="FH4" s="403"/>
      <c r="FI4" s="403"/>
      <c r="FJ4" s="414"/>
      <c r="FK4" s="415"/>
      <c r="FL4" s="416"/>
      <c r="FM4" s="431"/>
      <c r="FN4" s="431"/>
      <c r="FO4" s="431"/>
      <c r="FP4" s="431"/>
      <c r="FQ4" s="431"/>
      <c r="FR4" s="431"/>
      <c r="FS4" s="432"/>
      <c r="FT4" s="419"/>
      <c r="FU4" s="420"/>
      <c r="FV4" s="419"/>
      <c r="FW4" s="420"/>
      <c r="FX4" s="421" t="s">
        <v>360</v>
      </c>
      <c r="FY4" s="422"/>
      <c r="FZ4" s="423" t="s">
        <v>356</v>
      </c>
      <c r="GA4" s="422"/>
      <c r="GB4" s="424" t="s">
        <v>361</v>
      </c>
      <c r="GC4" s="425"/>
      <c r="GD4" s="426" t="s">
        <v>358</v>
      </c>
      <c r="GE4" s="427"/>
      <c r="GF4" s="428" t="s">
        <v>614</v>
      </c>
      <c r="GG4" s="429"/>
      <c r="GH4" s="430"/>
      <c r="GI4" s="406"/>
      <c r="GJ4" s="433"/>
      <c r="GK4" s="433"/>
      <c r="GL4" s="433"/>
      <c r="GM4" s="433"/>
      <c r="GN4" s="433"/>
      <c r="GO4" s="433"/>
      <c r="GP4" s="433"/>
      <c r="GQ4" s="433"/>
      <c r="GR4" s="433"/>
      <c r="GS4" s="410"/>
      <c r="GT4" s="433"/>
      <c r="GU4" s="433"/>
      <c r="GV4" s="433"/>
      <c r="GW4" s="433"/>
      <c r="GX4" s="433"/>
      <c r="GY4" s="433"/>
      <c r="GZ4" s="433"/>
      <c r="HA4" s="433"/>
      <c r="HB4" s="433"/>
      <c r="HC4" s="1470"/>
      <c r="HD4" s="434"/>
      <c r="HE4" s="434"/>
      <c r="HF4" s="497"/>
      <c r="HG4" s="383"/>
      <c r="MO4" s="389" t="s">
        <v>614</v>
      </c>
    </row>
    <row r="5" spans="1:353" ht="24.95" customHeight="1" thickBot="1">
      <c r="A5" s="435" t="s">
        <v>364</v>
      </c>
      <c r="B5" s="436">
        <v>3</v>
      </c>
      <c r="C5" s="437" t="s">
        <v>365</v>
      </c>
      <c r="D5" s="438">
        <v>115.57</v>
      </c>
      <c r="E5" s="439" t="s">
        <v>366</v>
      </c>
      <c r="F5" s="440">
        <v>2.8</v>
      </c>
      <c r="G5" s="441" t="s">
        <v>367</v>
      </c>
      <c r="H5" s="442"/>
      <c r="I5" s="443">
        <v>323.60000000000002</v>
      </c>
      <c r="J5" s="444"/>
      <c r="K5" s="445">
        <v>360</v>
      </c>
      <c r="L5" s="446"/>
      <c r="M5" s="445">
        <v>100</v>
      </c>
      <c r="N5" s="446"/>
      <c r="O5" s="1463" t="s">
        <v>877</v>
      </c>
      <c r="P5" s="447"/>
      <c r="Q5" s="1464" t="s">
        <v>862</v>
      </c>
      <c r="R5" s="448"/>
      <c r="S5" s="1465" t="s">
        <v>878</v>
      </c>
      <c r="T5" s="449"/>
      <c r="U5" s="1466" t="s">
        <v>868</v>
      </c>
      <c r="V5" s="450"/>
      <c r="W5" s="451"/>
      <c r="X5" s="452"/>
      <c r="Y5" s="453"/>
      <c r="Z5" s="411"/>
      <c r="AA5" s="454"/>
      <c r="AB5" s="411"/>
      <c r="AC5" s="454"/>
      <c r="AD5" s="411"/>
      <c r="AE5" s="454"/>
      <c r="AF5" s="411"/>
      <c r="AG5" s="454"/>
      <c r="AH5" s="411"/>
      <c r="AI5" s="454"/>
      <c r="AJ5" s="411"/>
      <c r="AK5" s="454"/>
      <c r="AL5" s="411"/>
      <c r="AM5" s="454"/>
      <c r="AN5" s="411"/>
      <c r="AO5" s="454"/>
      <c r="AP5" s="411"/>
      <c r="AQ5" s="454"/>
      <c r="AR5" s="411"/>
      <c r="AS5" s="454"/>
      <c r="AT5" s="411"/>
      <c r="AU5" s="454"/>
      <c r="AV5" s="411"/>
      <c r="AW5" s="454"/>
      <c r="AX5" s="411"/>
      <c r="AY5" s="454"/>
      <c r="AZ5" s="411"/>
      <c r="BA5" s="454"/>
      <c r="BB5" s="411"/>
      <c r="BC5" s="411"/>
      <c r="BD5" s="435" t="s">
        <v>368</v>
      </c>
      <c r="BE5" s="436">
        <v>3</v>
      </c>
      <c r="BF5" s="437" t="s">
        <v>251</v>
      </c>
      <c r="BG5" s="438">
        <v>115.57</v>
      </c>
      <c r="BH5" s="439" t="s">
        <v>366</v>
      </c>
      <c r="BI5" s="440">
        <v>2.8</v>
      </c>
      <c r="BJ5" s="441" t="s">
        <v>367</v>
      </c>
      <c r="BK5" s="442"/>
      <c r="BL5" s="443">
        <v>323.60000000000002</v>
      </c>
      <c r="BM5" s="444"/>
      <c r="BN5" s="445">
        <v>360</v>
      </c>
      <c r="BO5" s="446"/>
      <c r="BP5" s="445">
        <v>100</v>
      </c>
      <c r="BQ5" s="446"/>
      <c r="BR5" s="1463" t="s">
        <v>879</v>
      </c>
      <c r="BS5" s="447"/>
      <c r="BT5" s="1464" t="s">
        <v>866</v>
      </c>
      <c r="BU5" s="448"/>
      <c r="BV5" s="1465" t="s">
        <v>870</v>
      </c>
      <c r="BW5" s="449"/>
      <c r="BX5" s="1466" t="s">
        <v>880</v>
      </c>
      <c r="BY5" s="450"/>
      <c r="BZ5" s="451"/>
      <c r="CA5" s="452"/>
      <c r="CB5" s="453"/>
      <c r="CC5" s="411"/>
      <c r="CD5" s="454"/>
      <c r="CE5" s="411"/>
      <c r="CF5" s="454"/>
      <c r="CG5" s="411"/>
      <c r="CH5" s="454"/>
      <c r="CI5" s="411"/>
      <c r="CJ5" s="454"/>
      <c r="CK5" s="411"/>
      <c r="CL5" s="454"/>
      <c r="CM5" s="411"/>
      <c r="CN5" s="454"/>
      <c r="CO5" s="411"/>
      <c r="CP5" s="454"/>
      <c r="CQ5" s="411"/>
      <c r="CR5" s="454"/>
      <c r="CS5" s="411"/>
      <c r="CT5" s="454"/>
      <c r="CU5" s="411"/>
      <c r="CV5" s="454"/>
      <c r="CW5" s="411"/>
      <c r="CX5" s="454"/>
      <c r="CY5" s="411"/>
      <c r="CZ5" s="454"/>
      <c r="DA5" s="411"/>
      <c r="DB5" s="454"/>
      <c r="DC5" s="411"/>
      <c r="DD5" s="454"/>
      <c r="DE5" s="411"/>
      <c r="DF5" s="411"/>
      <c r="DG5" s="435" t="s">
        <v>368</v>
      </c>
      <c r="DH5" s="436">
        <v>3</v>
      </c>
      <c r="DI5" s="437" t="s">
        <v>251</v>
      </c>
      <c r="DJ5" s="438">
        <v>115.57</v>
      </c>
      <c r="DK5" s="439" t="s">
        <v>366</v>
      </c>
      <c r="DL5" s="440">
        <v>2.8</v>
      </c>
      <c r="DM5" s="441" t="s">
        <v>556</v>
      </c>
      <c r="DN5" s="442"/>
      <c r="DO5" s="443">
        <v>323.60000000000002</v>
      </c>
      <c r="DP5" s="444"/>
      <c r="DQ5" s="445">
        <v>360</v>
      </c>
      <c r="DR5" s="446"/>
      <c r="DS5" s="445">
        <v>100</v>
      </c>
      <c r="DT5" s="446"/>
      <c r="DU5" s="1463" t="s">
        <v>879</v>
      </c>
      <c r="DV5" s="447"/>
      <c r="DW5" s="1464" t="s">
        <v>866</v>
      </c>
      <c r="DX5" s="448"/>
      <c r="DY5" s="1465" t="s">
        <v>870</v>
      </c>
      <c r="DZ5" s="449"/>
      <c r="EA5" s="1466" t="s">
        <v>868</v>
      </c>
      <c r="EB5" s="450"/>
      <c r="EC5" s="451"/>
      <c r="ED5" s="452"/>
      <c r="EE5" s="453"/>
      <c r="EF5" s="411"/>
      <c r="EG5" s="454"/>
      <c r="EH5" s="411"/>
      <c r="EI5" s="454"/>
      <c r="EJ5" s="411"/>
      <c r="EK5" s="454"/>
      <c r="EL5" s="411"/>
      <c r="EM5" s="454"/>
      <c r="EN5" s="411"/>
      <c r="EO5" s="454"/>
      <c r="EP5" s="411"/>
      <c r="EQ5" s="454"/>
      <c r="ER5" s="411"/>
      <c r="ES5" s="454"/>
      <c r="ET5" s="411"/>
      <c r="EU5" s="454"/>
      <c r="EV5" s="411"/>
      <c r="EW5" s="454"/>
      <c r="EX5" s="411"/>
      <c r="EY5" s="454"/>
      <c r="EZ5" s="411"/>
      <c r="FA5" s="454"/>
      <c r="FB5" s="411"/>
      <c r="FC5" s="454"/>
      <c r="FD5" s="411"/>
      <c r="FE5" s="454"/>
      <c r="FF5" s="411"/>
      <c r="FG5" s="454"/>
      <c r="FH5" s="411"/>
      <c r="FI5" s="411"/>
      <c r="FJ5" s="435" t="s">
        <v>368</v>
      </c>
      <c r="FK5" s="436">
        <v>3</v>
      </c>
      <c r="FL5" s="437" t="s">
        <v>251</v>
      </c>
      <c r="FM5" s="438">
        <v>115.57</v>
      </c>
      <c r="FN5" s="439" t="s">
        <v>369</v>
      </c>
      <c r="FO5" s="440">
        <v>2.8</v>
      </c>
      <c r="FP5" s="441" t="s">
        <v>556</v>
      </c>
      <c r="FQ5" s="442"/>
      <c r="FR5" s="443">
        <v>323.60000000000002</v>
      </c>
      <c r="FS5" s="444"/>
      <c r="FT5" s="445">
        <v>360</v>
      </c>
      <c r="FU5" s="446"/>
      <c r="FV5" s="445">
        <v>100</v>
      </c>
      <c r="FW5" s="446"/>
      <c r="FX5" s="1463" t="s">
        <v>881</v>
      </c>
      <c r="FY5" s="447"/>
      <c r="FZ5" s="1464" t="s">
        <v>882</v>
      </c>
      <c r="GA5" s="448"/>
      <c r="GB5" s="1465" t="s">
        <v>883</v>
      </c>
      <c r="GC5" s="449"/>
      <c r="GD5" s="1466" t="s">
        <v>884</v>
      </c>
      <c r="GE5" s="450"/>
      <c r="GF5" s="451"/>
      <c r="GG5" s="452"/>
      <c r="GH5" s="453"/>
      <c r="GI5" s="455"/>
      <c r="GJ5" s="406"/>
      <c r="GK5" s="456" t="s">
        <v>572</v>
      </c>
      <c r="GL5" s="456"/>
      <c r="GM5" s="456"/>
      <c r="GN5" s="406" t="s">
        <v>617</v>
      </c>
      <c r="GO5" s="457"/>
      <c r="GP5" s="457"/>
      <c r="GQ5" s="457"/>
      <c r="GR5" s="406"/>
      <c r="GS5" s="406"/>
      <c r="GT5" s="410"/>
      <c r="GU5" s="456" t="s">
        <v>689</v>
      </c>
      <c r="GV5" s="456"/>
      <c r="GW5" s="456"/>
      <c r="GX5" s="406" t="s">
        <v>617</v>
      </c>
      <c r="GY5" s="457"/>
      <c r="GZ5" s="457"/>
      <c r="HA5" s="457"/>
      <c r="HB5" s="406"/>
      <c r="HC5" s="458"/>
      <c r="HD5" s="434"/>
      <c r="HE5" s="434"/>
      <c r="HF5" s="497"/>
      <c r="HG5" s="383"/>
    </row>
    <row r="6" spans="1:353" ht="20.100000000000001" customHeight="1" thickBot="1">
      <c r="A6" s="459" t="s">
        <v>370</v>
      </c>
      <c r="B6" s="460"/>
      <c r="C6" s="461" t="s">
        <v>371</v>
      </c>
      <c r="D6" s="461"/>
      <c r="E6" s="461"/>
      <c r="F6" s="462">
        <v>0</v>
      </c>
      <c r="G6" s="462"/>
      <c r="H6" s="461" t="s">
        <v>372</v>
      </c>
      <c r="I6" s="461"/>
      <c r="J6" s="461"/>
      <c r="K6" s="461"/>
      <c r="L6" s="461"/>
      <c r="M6" s="463">
        <v>0</v>
      </c>
      <c r="N6" s="463"/>
      <c r="O6" s="464"/>
      <c r="P6" s="465"/>
      <c r="Q6" s="465" t="s">
        <v>629</v>
      </c>
      <c r="R6" s="466">
        <v>0</v>
      </c>
      <c r="S6" s="466"/>
      <c r="T6" s="467"/>
      <c r="U6" s="468" t="s">
        <v>374</v>
      </c>
      <c r="V6" s="469">
        <v>0</v>
      </c>
      <c r="W6" s="469"/>
      <c r="X6" s="470"/>
      <c r="Y6" s="465"/>
      <c r="Z6" s="465"/>
      <c r="AA6" s="465"/>
      <c r="AB6" s="463"/>
      <c r="AC6" s="463"/>
      <c r="AD6" s="465"/>
      <c r="AE6" s="464"/>
      <c r="AF6" s="460"/>
      <c r="AG6" s="465"/>
      <c r="AH6" s="465"/>
      <c r="AI6" s="470"/>
      <c r="AJ6" s="465"/>
      <c r="AK6" s="470"/>
      <c r="AL6" s="465"/>
      <c r="AM6" s="470"/>
      <c r="AN6" s="465"/>
      <c r="AO6" s="470"/>
      <c r="AP6" s="465"/>
      <c r="AQ6" s="470"/>
      <c r="AR6" s="465"/>
      <c r="AS6" s="470"/>
      <c r="AT6" s="465"/>
      <c r="AU6" s="470"/>
      <c r="AV6" s="465"/>
      <c r="AW6" s="470"/>
      <c r="AX6" s="471"/>
      <c r="AY6" s="470"/>
      <c r="AZ6" s="465"/>
      <c r="BA6" s="470"/>
      <c r="BB6" s="37" t="s">
        <v>376</v>
      </c>
      <c r="BC6" s="472"/>
      <c r="BD6" s="459" t="s">
        <v>377</v>
      </c>
      <c r="BE6" s="460"/>
      <c r="BF6" s="461" t="s">
        <v>371</v>
      </c>
      <c r="BG6" s="461"/>
      <c r="BH6" s="461"/>
      <c r="BI6" s="462">
        <v>0</v>
      </c>
      <c r="BJ6" s="462"/>
      <c r="BK6" s="461" t="s">
        <v>372</v>
      </c>
      <c r="BL6" s="461"/>
      <c r="BM6" s="461"/>
      <c r="BN6" s="461"/>
      <c r="BO6" s="461"/>
      <c r="BP6" s="463">
        <v>0</v>
      </c>
      <c r="BQ6" s="463"/>
      <c r="BR6" s="464"/>
      <c r="BS6" s="465"/>
      <c r="BT6" s="465" t="s">
        <v>252</v>
      </c>
      <c r="BU6" s="466">
        <v>0</v>
      </c>
      <c r="BV6" s="466"/>
      <c r="BW6" s="467"/>
      <c r="BX6" s="468" t="s">
        <v>253</v>
      </c>
      <c r="BY6" s="469">
        <v>0</v>
      </c>
      <c r="BZ6" s="469"/>
      <c r="CA6" s="470"/>
      <c r="CB6" s="465"/>
      <c r="CC6" s="465"/>
      <c r="CD6" s="470"/>
      <c r="CE6" s="463"/>
      <c r="CF6" s="463"/>
      <c r="CG6" s="465"/>
      <c r="CH6" s="464"/>
      <c r="CI6" s="460"/>
      <c r="CJ6" s="465"/>
      <c r="CK6" s="465"/>
      <c r="CL6" s="470"/>
      <c r="CM6" s="465"/>
      <c r="CN6" s="470"/>
      <c r="CO6" s="465"/>
      <c r="CP6" s="470"/>
      <c r="CQ6" s="465"/>
      <c r="CR6" s="470"/>
      <c r="CS6" s="465"/>
      <c r="CT6" s="470"/>
      <c r="CU6" s="465"/>
      <c r="CV6" s="470"/>
      <c r="CW6" s="465"/>
      <c r="CX6" s="470"/>
      <c r="CY6" s="465"/>
      <c r="CZ6" s="470"/>
      <c r="DA6" s="465"/>
      <c r="DB6" s="470"/>
      <c r="DC6" s="465"/>
      <c r="DD6" s="470"/>
      <c r="DE6" s="473" t="s">
        <v>685</v>
      </c>
      <c r="DF6" s="474"/>
      <c r="DG6" s="459" t="s">
        <v>377</v>
      </c>
      <c r="DH6" s="460"/>
      <c r="DI6" s="461" t="s">
        <v>371</v>
      </c>
      <c r="DJ6" s="461"/>
      <c r="DK6" s="461"/>
      <c r="DL6" s="462">
        <v>0</v>
      </c>
      <c r="DM6" s="462"/>
      <c r="DN6" s="461" t="s">
        <v>372</v>
      </c>
      <c r="DO6" s="461"/>
      <c r="DP6" s="461"/>
      <c r="DQ6" s="461"/>
      <c r="DR6" s="461"/>
      <c r="DS6" s="463">
        <v>0</v>
      </c>
      <c r="DT6" s="463"/>
      <c r="DU6" s="464"/>
      <c r="DV6" s="465"/>
      <c r="DW6" s="465" t="s">
        <v>252</v>
      </c>
      <c r="DX6" s="466">
        <v>0</v>
      </c>
      <c r="DY6" s="466"/>
      <c r="DZ6" s="467"/>
      <c r="EA6" s="468" t="s">
        <v>253</v>
      </c>
      <c r="EB6" s="469">
        <v>0</v>
      </c>
      <c r="EC6" s="469"/>
      <c r="ED6" s="470"/>
      <c r="EE6" s="465"/>
      <c r="EF6" s="470"/>
      <c r="EG6" s="465"/>
      <c r="EH6" s="460"/>
      <c r="EI6" s="470"/>
      <c r="EJ6" s="465"/>
      <c r="EK6" s="464"/>
      <c r="EL6" s="460"/>
      <c r="EM6" s="465"/>
      <c r="EN6" s="465"/>
      <c r="EO6" s="470"/>
      <c r="EP6" s="465"/>
      <c r="EQ6" s="470"/>
      <c r="ER6" s="465"/>
      <c r="ES6" s="470"/>
      <c r="ET6" s="465"/>
      <c r="EU6" s="470"/>
      <c r="EV6" s="465"/>
      <c r="EW6" s="470"/>
      <c r="EX6" s="465"/>
      <c r="EY6" s="470"/>
      <c r="EZ6" s="465"/>
      <c r="FA6" s="470"/>
      <c r="FB6" s="465"/>
      <c r="FC6" s="470"/>
      <c r="FD6" s="465"/>
      <c r="FE6" s="470"/>
      <c r="FF6" s="465"/>
      <c r="FG6" s="470"/>
      <c r="FH6" s="475" t="s">
        <v>686</v>
      </c>
      <c r="FI6" s="474"/>
      <c r="FJ6" s="459" t="s">
        <v>380</v>
      </c>
      <c r="FK6" s="460"/>
      <c r="FL6" s="461" t="s">
        <v>371</v>
      </c>
      <c r="FM6" s="461"/>
      <c r="FN6" s="461"/>
      <c r="FO6" s="462">
        <v>0</v>
      </c>
      <c r="FP6" s="462"/>
      <c r="FQ6" s="461" t="s">
        <v>372</v>
      </c>
      <c r="FR6" s="461"/>
      <c r="FS6" s="461"/>
      <c r="FT6" s="461"/>
      <c r="FU6" s="461"/>
      <c r="FV6" s="463">
        <v>0</v>
      </c>
      <c r="FW6" s="463"/>
      <c r="FX6" s="464"/>
      <c r="FY6" s="465"/>
      <c r="FZ6" s="465" t="s">
        <v>381</v>
      </c>
      <c r="GA6" s="466">
        <v>0</v>
      </c>
      <c r="GB6" s="466"/>
      <c r="GC6" s="467"/>
      <c r="GD6" s="468" t="s">
        <v>562</v>
      </c>
      <c r="GE6" s="469">
        <v>0</v>
      </c>
      <c r="GF6" s="469"/>
      <c r="GG6" s="470"/>
      <c r="GH6" s="465"/>
      <c r="GI6" s="465"/>
      <c r="GJ6" s="476"/>
      <c r="GK6" s="477" t="s">
        <v>456</v>
      </c>
      <c r="GL6" s="477"/>
      <c r="GM6" s="477"/>
      <c r="GN6" s="478">
        <v>2</v>
      </c>
      <c r="GO6" s="479"/>
      <c r="GP6" s="479"/>
      <c r="GQ6" s="479"/>
      <c r="GR6" s="476"/>
      <c r="GS6" s="476"/>
      <c r="GT6" s="410"/>
      <c r="GU6" s="477" t="s">
        <v>574</v>
      </c>
      <c r="GV6" s="477"/>
      <c r="GW6" s="477"/>
      <c r="GX6" s="478">
        <v>2</v>
      </c>
      <c r="GY6" s="410"/>
      <c r="GZ6" s="410"/>
      <c r="HA6" s="479"/>
      <c r="HB6" s="479"/>
      <c r="HC6" s="480"/>
      <c r="HD6" s="434"/>
      <c r="HE6" s="434"/>
      <c r="HF6" s="497"/>
      <c r="HG6" s="383"/>
    </row>
    <row r="7" spans="1:353" ht="20.100000000000001" customHeight="1">
      <c r="A7" s="481" t="s">
        <v>254</v>
      </c>
      <c r="B7" s="482"/>
      <c r="C7" s="482"/>
      <c r="D7" s="482"/>
      <c r="E7" s="482"/>
      <c r="F7" s="483"/>
      <c r="G7" s="484" t="s">
        <v>255</v>
      </c>
      <c r="H7" s="485"/>
      <c r="I7" s="485"/>
      <c r="J7" s="485"/>
      <c r="K7" s="485"/>
      <c r="L7" s="485"/>
      <c r="M7" s="485"/>
      <c r="N7" s="485"/>
      <c r="O7" s="485"/>
      <c r="P7" s="485"/>
      <c r="Q7" s="485"/>
      <c r="R7" s="485"/>
      <c r="S7" s="485"/>
      <c r="T7" s="485"/>
      <c r="U7" s="485"/>
      <c r="V7" s="485"/>
      <c r="W7" s="485"/>
      <c r="X7" s="485"/>
      <c r="Y7" s="485"/>
      <c r="Z7" s="485"/>
      <c r="AA7" s="485"/>
      <c r="AB7" s="485"/>
      <c r="AC7" s="485"/>
      <c r="AD7" s="485"/>
      <c r="AE7" s="485"/>
      <c r="AF7" s="485"/>
      <c r="AG7" s="485"/>
      <c r="AH7" s="485"/>
      <c r="AI7" s="485"/>
      <c r="AJ7" s="485"/>
      <c r="AK7" s="485"/>
      <c r="AL7" s="485"/>
      <c r="AM7" s="485"/>
      <c r="AN7" s="485"/>
      <c r="AO7" s="485"/>
      <c r="AP7" s="485"/>
      <c r="AQ7" s="485"/>
      <c r="AR7" s="485"/>
      <c r="AS7" s="485"/>
      <c r="AT7" s="485"/>
      <c r="AU7" s="485"/>
      <c r="AV7" s="485"/>
      <c r="AW7" s="485"/>
      <c r="AX7" s="485"/>
      <c r="AY7" s="485"/>
      <c r="AZ7" s="485"/>
      <c r="BA7" s="485"/>
      <c r="BB7" s="486"/>
      <c r="BC7" s="458"/>
      <c r="BD7" s="481" t="s">
        <v>254</v>
      </c>
      <c r="BE7" s="482"/>
      <c r="BF7" s="482"/>
      <c r="BG7" s="482"/>
      <c r="BH7" s="482"/>
      <c r="BI7" s="483"/>
      <c r="BJ7" s="484" t="s">
        <v>256</v>
      </c>
      <c r="BK7" s="485"/>
      <c r="BL7" s="485"/>
      <c r="BM7" s="485"/>
      <c r="BN7" s="485"/>
      <c r="BO7" s="485"/>
      <c r="BP7" s="485"/>
      <c r="BQ7" s="485"/>
      <c r="BR7" s="485"/>
      <c r="BS7" s="485"/>
      <c r="BT7" s="485"/>
      <c r="BU7" s="485"/>
      <c r="BV7" s="485"/>
      <c r="BW7" s="485"/>
      <c r="BX7" s="485"/>
      <c r="BY7" s="485"/>
      <c r="BZ7" s="485"/>
      <c r="CA7" s="485"/>
      <c r="CB7" s="485"/>
      <c r="CC7" s="485"/>
      <c r="CD7" s="485"/>
      <c r="CE7" s="485"/>
      <c r="CF7" s="485"/>
      <c r="CG7" s="485"/>
      <c r="CH7" s="485"/>
      <c r="CI7" s="485"/>
      <c r="CJ7" s="485"/>
      <c r="CK7" s="485"/>
      <c r="CL7" s="485"/>
      <c r="CM7" s="485"/>
      <c r="CN7" s="485"/>
      <c r="CO7" s="485"/>
      <c r="CP7" s="485"/>
      <c r="CQ7" s="485"/>
      <c r="CR7" s="485"/>
      <c r="CS7" s="485"/>
      <c r="CT7" s="485"/>
      <c r="CU7" s="485"/>
      <c r="CV7" s="485"/>
      <c r="CW7" s="485"/>
      <c r="CX7" s="485"/>
      <c r="CY7" s="485"/>
      <c r="CZ7" s="485"/>
      <c r="DA7" s="485"/>
      <c r="DB7" s="485"/>
      <c r="DC7" s="485"/>
      <c r="DD7" s="485"/>
      <c r="DE7" s="486"/>
      <c r="DF7" s="458"/>
      <c r="DG7" s="481" t="s">
        <v>254</v>
      </c>
      <c r="DH7" s="482"/>
      <c r="DI7" s="482"/>
      <c r="DJ7" s="482"/>
      <c r="DK7" s="482"/>
      <c r="DL7" s="483"/>
      <c r="DM7" s="484" t="s">
        <v>257</v>
      </c>
      <c r="DN7" s="485"/>
      <c r="DO7" s="485"/>
      <c r="DP7" s="485"/>
      <c r="DQ7" s="485"/>
      <c r="DR7" s="485"/>
      <c r="DS7" s="485"/>
      <c r="DT7" s="485"/>
      <c r="DU7" s="485"/>
      <c r="DV7" s="485"/>
      <c r="DW7" s="485"/>
      <c r="DX7" s="485"/>
      <c r="DY7" s="485"/>
      <c r="DZ7" s="485"/>
      <c r="EA7" s="485"/>
      <c r="EB7" s="485"/>
      <c r="EC7" s="485"/>
      <c r="ED7" s="485"/>
      <c r="EE7" s="485"/>
      <c r="EF7" s="485"/>
      <c r="EG7" s="485"/>
      <c r="EH7" s="485"/>
      <c r="EI7" s="485"/>
      <c r="EJ7" s="485"/>
      <c r="EK7" s="485"/>
      <c r="EL7" s="485"/>
      <c r="EM7" s="485"/>
      <c r="EN7" s="485"/>
      <c r="EO7" s="485"/>
      <c r="EP7" s="485"/>
      <c r="EQ7" s="485"/>
      <c r="ER7" s="485"/>
      <c r="ES7" s="485"/>
      <c r="ET7" s="485"/>
      <c r="EU7" s="485"/>
      <c r="EV7" s="485"/>
      <c r="EW7" s="485"/>
      <c r="EX7" s="485"/>
      <c r="EY7" s="485"/>
      <c r="EZ7" s="485"/>
      <c r="FA7" s="485"/>
      <c r="FB7" s="485"/>
      <c r="FC7" s="485"/>
      <c r="FD7" s="485"/>
      <c r="FE7" s="485"/>
      <c r="FF7" s="485"/>
      <c r="FG7" s="485"/>
      <c r="FH7" s="486"/>
      <c r="FI7" s="458"/>
      <c r="FJ7" s="481" t="s">
        <v>254</v>
      </c>
      <c r="FK7" s="482"/>
      <c r="FL7" s="482"/>
      <c r="FM7" s="482"/>
      <c r="FN7" s="482"/>
      <c r="FO7" s="483"/>
      <c r="FP7" s="487" t="s">
        <v>258</v>
      </c>
      <c r="FQ7" s="488"/>
      <c r="FR7" s="488"/>
      <c r="FS7" s="488"/>
      <c r="FT7" s="488"/>
      <c r="FU7" s="488"/>
      <c r="FV7" s="489" t="s">
        <v>259</v>
      </c>
      <c r="FW7" s="490"/>
      <c r="FX7" s="490"/>
      <c r="FY7" s="490"/>
      <c r="FZ7" s="490"/>
      <c r="GA7" s="490"/>
      <c r="GB7" s="490"/>
      <c r="GC7" s="490"/>
      <c r="GD7" s="490"/>
      <c r="GE7" s="491"/>
      <c r="GF7" s="492"/>
      <c r="GG7" s="457"/>
      <c r="GH7" s="457"/>
      <c r="GI7" s="457"/>
      <c r="GJ7" s="493"/>
      <c r="GK7" s="494"/>
      <c r="GL7" s="494"/>
      <c r="GM7" s="494"/>
      <c r="GN7" s="495"/>
      <c r="GO7" s="495"/>
      <c r="GP7" s="494"/>
      <c r="GQ7" s="494"/>
      <c r="GR7" s="494"/>
      <c r="GS7" s="494"/>
      <c r="GT7" s="494"/>
      <c r="GU7" s="494"/>
      <c r="GV7" s="494"/>
      <c r="GW7" s="494"/>
      <c r="GX7" s="494"/>
      <c r="GY7" s="494"/>
      <c r="GZ7" s="494"/>
      <c r="HA7" s="494"/>
      <c r="HB7" s="494"/>
      <c r="HC7" s="534"/>
      <c r="HD7" s="434"/>
      <c r="HE7" s="434"/>
      <c r="HF7" s="497"/>
      <c r="HG7" s="383"/>
    </row>
    <row r="8" spans="1:353" s="524" customFormat="1" ht="20.100000000000001" customHeight="1">
      <c r="A8" s="498"/>
      <c r="B8" s="499"/>
      <c r="C8" s="499"/>
      <c r="D8" s="499"/>
      <c r="E8" s="499"/>
      <c r="F8" s="500"/>
      <c r="G8" s="501">
        <v>1</v>
      </c>
      <c r="H8" s="502"/>
      <c r="I8" s="503">
        <v>2</v>
      </c>
      <c r="J8" s="502"/>
      <c r="K8" s="503">
        <v>3</v>
      </c>
      <c r="L8" s="502"/>
      <c r="M8" s="503">
        <v>4</v>
      </c>
      <c r="N8" s="502"/>
      <c r="O8" s="503">
        <v>5</v>
      </c>
      <c r="P8" s="502"/>
      <c r="Q8" s="503">
        <v>6</v>
      </c>
      <c r="R8" s="502"/>
      <c r="S8" s="503">
        <v>7</v>
      </c>
      <c r="T8" s="502"/>
      <c r="U8" s="503">
        <v>8</v>
      </c>
      <c r="V8" s="502"/>
      <c r="W8" s="503">
        <v>9</v>
      </c>
      <c r="X8" s="502"/>
      <c r="Y8" s="503">
        <v>10</v>
      </c>
      <c r="Z8" s="502"/>
      <c r="AA8" s="503">
        <v>11</v>
      </c>
      <c r="AB8" s="502"/>
      <c r="AC8" s="503">
        <v>12</v>
      </c>
      <c r="AD8" s="502"/>
      <c r="AE8" s="503">
        <v>13</v>
      </c>
      <c r="AF8" s="502"/>
      <c r="AG8" s="503">
        <v>14</v>
      </c>
      <c r="AH8" s="502"/>
      <c r="AI8" s="503">
        <v>15</v>
      </c>
      <c r="AJ8" s="502"/>
      <c r="AK8" s="503">
        <v>16</v>
      </c>
      <c r="AL8" s="502"/>
      <c r="AM8" s="503">
        <v>17</v>
      </c>
      <c r="AN8" s="502"/>
      <c r="AO8" s="503">
        <v>18</v>
      </c>
      <c r="AP8" s="502"/>
      <c r="AQ8" s="503">
        <v>19</v>
      </c>
      <c r="AR8" s="502"/>
      <c r="AS8" s="503">
        <v>20</v>
      </c>
      <c r="AT8" s="502"/>
      <c r="AU8" s="503">
        <v>21</v>
      </c>
      <c r="AV8" s="502"/>
      <c r="AW8" s="503">
        <v>22</v>
      </c>
      <c r="AX8" s="502"/>
      <c r="AY8" s="503">
        <v>23</v>
      </c>
      <c r="AZ8" s="502"/>
      <c r="BA8" s="503">
        <v>24</v>
      </c>
      <c r="BB8" s="504"/>
      <c r="BC8" s="480"/>
      <c r="BD8" s="498"/>
      <c r="BE8" s="499"/>
      <c r="BF8" s="499"/>
      <c r="BG8" s="499"/>
      <c r="BH8" s="499"/>
      <c r="BI8" s="500"/>
      <c r="BJ8" s="505">
        <v>1</v>
      </c>
      <c r="BK8" s="506"/>
      <c r="BL8" s="507">
        <v>2</v>
      </c>
      <c r="BM8" s="506"/>
      <c r="BN8" s="507">
        <v>3</v>
      </c>
      <c r="BO8" s="506"/>
      <c r="BP8" s="507">
        <v>4</v>
      </c>
      <c r="BQ8" s="506"/>
      <c r="BR8" s="507">
        <v>5</v>
      </c>
      <c r="BS8" s="506"/>
      <c r="BT8" s="507">
        <v>6</v>
      </c>
      <c r="BU8" s="506"/>
      <c r="BV8" s="507">
        <v>7</v>
      </c>
      <c r="BW8" s="506"/>
      <c r="BX8" s="507">
        <v>8</v>
      </c>
      <c r="BY8" s="506"/>
      <c r="BZ8" s="507">
        <v>9</v>
      </c>
      <c r="CA8" s="506"/>
      <c r="CB8" s="507">
        <v>10</v>
      </c>
      <c r="CC8" s="506"/>
      <c r="CD8" s="507">
        <v>11</v>
      </c>
      <c r="CE8" s="506"/>
      <c r="CF8" s="507">
        <v>12</v>
      </c>
      <c r="CG8" s="506"/>
      <c r="CH8" s="507">
        <v>13</v>
      </c>
      <c r="CI8" s="506"/>
      <c r="CJ8" s="507">
        <v>14</v>
      </c>
      <c r="CK8" s="506"/>
      <c r="CL8" s="507">
        <v>15</v>
      </c>
      <c r="CM8" s="506"/>
      <c r="CN8" s="507">
        <v>16</v>
      </c>
      <c r="CO8" s="506"/>
      <c r="CP8" s="507">
        <v>17</v>
      </c>
      <c r="CQ8" s="506"/>
      <c r="CR8" s="507">
        <v>18</v>
      </c>
      <c r="CS8" s="506"/>
      <c r="CT8" s="507">
        <v>19</v>
      </c>
      <c r="CU8" s="506"/>
      <c r="CV8" s="507">
        <v>20</v>
      </c>
      <c r="CW8" s="506"/>
      <c r="CX8" s="507">
        <v>21</v>
      </c>
      <c r="CY8" s="506"/>
      <c r="CZ8" s="507">
        <v>22</v>
      </c>
      <c r="DA8" s="506"/>
      <c r="DB8" s="507">
        <v>23</v>
      </c>
      <c r="DC8" s="506"/>
      <c r="DD8" s="507">
        <v>24</v>
      </c>
      <c r="DE8" s="508"/>
      <c r="DF8" s="480"/>
      <c r="DG8" s="498"/>
      <c r="DH8" s="499"/>
      <c r="DI8" s="499"/>
      <c r="DJ8" s="499"/>
      <c r="DK8" s="499"/>
      <c r="DL8" s="500"/>
      <c r="DM8" s="509">
        <v>1</v>
      </c>
      <c r="DN8" s="510"/>
      <c r="DO8" s="511">
        <v>2</v>
      </c>
      <c r="DP8" s="510"/>
      <c r="DQ8" s="511">
        <v>3</v>
      </c>
      <c r="DR8" s="510"/>
      <c r="DS8" s="511">
        <v>4</v>
      </c>
      <c r="DT8" s="510"/>
      <c r="DU8" s="511">
        <v>5</v>
      </c>
      <c r="DV8" s="510"/>
      <c r="DW8" s="511">
        <v>6</v>
      </c>
      <c r="DX8" s="510"/>
      <c r="DY8" s="511">
        <v>7</v>
      </c>
      <c r="DZ8" s="510"/>
      <c r="EA8" s="511">
        <v>8</v>
      </c>
      <c r="EB8" s="510"/>
      <c r="EC8" s="511">
        <v>9</v>
      </c>
      <c r="ED8" s="510"/>
      <c r="EE8" s="511">
        <v>10</v>
      </c>
      <c r="EF8" s="510"/>
      <c r="EG8" s="511">
        <v>11</v>
      </c>
      <c r="EH8" s="510"/>
      <c r="EI8" s="511">
        <v>12</v>
      </c>
      <c r="EJ8" s="510"/>
      <c r="EK8" s="511">
        <v>13</v>
      </c>
      <c r="EL8" s="510"/>
      <c r="EM8" s="511">
        <v>14</v>
      </c>
      <c r="EN8" s="510"/>
      <c r="EO8" s="511">
        <v>15</v>
      </c>
      <c r="EP8" s="510"/>
      <c r="EQ8" s="511">
        <v>16</v>
      </c>
      <c r="ER8" s="510"/>
      <c r="ES8" s="511">
        <v>17</v>
      </c>
      <c r="ET8" s="510"/>
      <c r="EU8" s="511">
        <v>18</v>
      </c>
      <c r="EV8" s="510"/>
      <c r="EW8" s="511">
        <v>19</v>
      </c>
      <c r="EX8" s="510"/>
      <c r="EY8" s="511">
        <v>20</v>
      </c>
      <c r="EZ8" s="510"/>
      <c r="FA8" s="511">
        <v>21</v>
      </c>
      <c r="FB8" s="510"/>
      <c r="FC8" s="511">
        <v>22</v>
      </c>
      <c r="FD8" s="510"/>
      <c r="FE8" s="511">
        <v>23</v>
      </c>
      <c r="FF8" s="510"/>
      <c r="FG8" s="511">
        <v>24</v>
      </c>
      <c r="FH8" s="512"/>
      <c r="FI8" s="480"/>
      <c r="FJ8" s="498"/>
      <c r="FK8" s="499"/>
      <c r="FL8" s="499"/>
      <c r="FM8" s="499"/>
      <c r="FN8" s="499"/>
      <c r="FO8" s="500"/>
      <c r="FP8" s="513" t="s">
        <v>260</v>
      </c>
      <c r="FQ8" s="514"/>
      <c r="FR8" s="515"/>
      <c r="FS8" s="516" t="s">
        <v>261</v>
      </c>
      <c r="FT8" s="516"/>
      <c r="FU8" s="517"/>
      <c r="FV8" s="518"/>
      <c r="FW8" s="519"/>
      <c r="FX8" s="519"/>
      <c r="FY8" s="519"/>
      <c r="FZ8" s="519"/>
      <c r="GA8" s="519"/>
      <c r="GB8" s="519"/>
      <c r="GC8" s="519"/>
      <c r="GD8" s="519"/>
      <c r="GE8" s="520"/>
      <c r="GF8" s="492"/>
      <c r="GG8" s="476"/>
      <c r="GH8" s="476"/>
      <c r="GI8" s="476"/>
      <c r="GJ8" s="521" t="s">
        <v>429</v>
      </c>
      <c r="GK8" s="521"/>
      <c r="GL8" s="522"/>
      <c r="GM8" s="523"/>
      <c r="GN8" s="522"/>
      <c r="GO8" s="523"/>
      <c r="GP8" s="522"/>
      <c r="GQ8" s="522"/>
      <c r="GR8" s="522"/>
      <c r="GS8" s="522"/>
      <c r="GT8" s="521" t="s">
        <v>429</v>
      </c>
      <c r="GU8" s="521"/>
      <c r="GV8" s="410"/>
      <c r="GW8" s="476"/>
      <c r="GX8" s="479"/>
      <c r="GY8" s="476"/>
      <c r="GZ8" s="479"/>
      <c r="HA8" s="523"/>
      <c r="HB8" s="523"/>
      <c r="HC8" s="523"/>
      <c r="HD8" s="434"/>
      <c r="HE8" s="434"/>
      <c r="HF8" s="1468"/>
      <c r="HG8" s="1468"/>
    </row>
    <row r="9" spans="1:353" ht="22.5" customHeight="1">
      <c r="A9" s="525" t="s">
        <v>262</v>
      </c>
      <c r="B9" s="526" t="s">
        <v>263</v>
      </c>
      <c r="C9" s="527" t="s">
        <v>264</v>
      </c>
      <c r="D9" s="527" t="s">
        <v>667</v>
      </c>
      <c r="E9" s="528" t="s">
        <v>668</v>
      </c>
      <c r="F9" s="529" t="s">
        <v>267</v>
      </c>
      <c r="G9" s="530" t="s">
        <v>669</v>
      </c>
      <c r="H9" s="531" t="s">
        <v>670</v>
      </c>
      <c r="I9" s="532" t="s">
        <v>270</v>
      </c>
      <c r="J9" s="531" t="s">
        <v>670</v>
      </c>
      <c r="K9" s="532" t="s">
        <v>270</v>
      </c>
      <c r="L9" s="531" t="s">
        <v>670</v>
      </c>
      <c r="M9" s="532" t="s">
        <v>270</v>
      </c>
      <c r="N9" s="531" t="s">
        <v>670</v>
      </c>
      <c r="O9" s="532" t="s">
        <v>270</v>
      </c>
      <c r="P9" s="531" t="s">
        <v>670</v>
      </c>
      <c r="Q9" s="532" t="s">
        <v>270</v>
      </c>
      <c r="R9" s="531" t="s">
        <v>670</v>
      </c>
      <c r="S9" s="532" t="s">
        <v>270</v>
      </c>
      <c r="T9" s="531" t="s">
        <v>670</v>
      </c>
      <c r="U9" s="532" t="s">
        <v>270</v>
      </c>
      <c r="V9" s="531" t="s">
        <v>670</v>
      </c>
      <c r="W9" s="532" t="s">
        <v>270</v>
      </c>
      <c r="X9" s="531" t="s">
        <v>670</v>
      </c>
      <c r="Y9" s="532" t="s">
        <v>270</v>
      </c>
      <c r="Z9" s="531" t="s">
        <v>670</v>
      </c>
      <c r="AA9" s="532" t="s">
        <v>270</v>
      </c>
      <c r="AB9" s="531" t="s">
        <v>670</v>
      </c>
      <c r="AC9" s="532" t="s">
        <v>270</v>
      </c>
      <c r="AD9" s="531" t="s">
        <v>670</v>
      </c>
      <c r="AE9" s="532" t="s">
        <v>270</v>
      </c>
      <c r="AF9" s="531" t="s">
        <v>670</v>
      </c>
      <c r="AG9" s="532" t="s">
        <v>270</v>
      </c>
      <c r="AH9" s="531" t="s">
        <v>670</v>
      </c>
      <c r="AI9" s="532" t="s">
        <v>270</v>
      </c>
      <c r="AJ9" s="531" t="s">
        <v>670</v>
      </c>
      <c r="AK9" s="532" t="s">
        <v>270</v>
      </c>
      <c r="AL9" s="531" t="s">
        <v>670</v>
      </c>
      <c r="AM9" s="532" t="s">
        <v>270</v>
      </c>
      <c r="AN9" s="531" t="s">
        <v>670</v>
      </c>
      <c r="AO9" s="532" t="s">
        <v>270</v>
      </c>
      <c r="AP9" s="531" t="s">
        <v>670</v>
      </c>
      <c r="AQ9" s="532" t="s">
        <v>270</v>
      </c>
      <c r="AR9" s="531" t="s">
        <v>670</v>
      </c>
      <c r="AS9" s="532" t="s">
        <v>270</v>
      </c>
      <c r="AT9" s="531" t="s">
        <v>670</v>
      </c>
      <c r="AU9" s="532" t="s">
        <v>270</v>
      </c>
      <c r="AV9" s="531" t="s">
        <v>670</v>
      </c>
      <c r="AW9" s="532" t="s">
        <v>270</v>
      </c>
      <c r="AX9" s="531" t="s">
        <v>670</v>
      </c>
      <c r="AY9" s="532" t="s">
        <v>270</v>
      </c>
      <c r="AZ9" s="531" t="s">
        <v>670</v>
      </c>
      <c r="BA9" s="532" t="s">
        <v>270</v>
      </c>
      <c r="BB9" s="533" t="s">
        <v>271</v>
      </c>
      <c r="BC9" s="496"/>
      <c r="BD9" s="525" t="s">
        <v>262</v>
      </c>
      <c r="BE9" s="526" t="s">
        <v>263</v>
      </c>
      <c r="BF9" s="527" t="s">
        <v>264</v>
      </c>
      <c r="BG9" s="527" t="s">
        <v>667</v>
      </c>
      <c r="BH9" s="528" t="s">
        <v>668</v>
      </c>
      <c r="BI9" s="529" t="s">
        <v>267</v>
      </c>
      <c r="BJ9" s="530" t="s">
        <v>669</v>
      </c>
      <c r="BK9" s="531" t="s">
        <v>670</v>
      </c>
      <c r="BL9" s="532" t="s">
        <v>270</v>
      </c>
      <c r="BM9" s="531" t="s">
        <v>670</v>
      </c>
      <c r="BN9" s="532" t="s">
        <v>270</v>
      </c>
      <c r="BO9" s="531" t="s">
        <v>670</v>
      </c>
      <c r="BP9" s="532" t="s">
        <v>270</v>
      </c>
      <c r="BQ9" s="531" t="s">
        <v>670</v>
      </c>
      <c r="BR9" s="532" t="s">
        <v>270</v>
      </c>
      <c r="BS9" s="531" t="s">
        <v>670</v>
      </c>
      <c r="BT9" s="532" t="s">
        <v>270</v>
      </c>
      <c r="BU9" s="531" t="s">
        <v>670</v>
      </c>
      <c r="BV9" s="532" t="s">
        <v>270</v>
      </c>
      <c r="BW9" s="531" t="s">
        <v>670</v>
      </c>
      <c r="BX9" s="532" t="s">
        <v>270</v>
      </c>
      <c r="BY9" s="531" t="s">
        <v>670</v>
      </c>
      <c r="BZ9" s="532" t="s">
        <v>270</v>
      </c>
      <c r="CA9" s="531" t="s">
        <v>670</v>
      </c>
      <c r="CB9" s="532" t="s">
        <v>270</v>
      </c>
      <c r="CC9" s="531" t="s">
        <v>670</v>
      </c>
      <c r="CD9" s="532" t="s">
        <v>270</v>
      </c>
      <c r="CE9" s="531" t="s">
        <v>670</v>
      </c>
      <c r="CF9" s="532" t="s">
        <v>270</v>
      </c>
      <c r="CG9" s="531" t="s">
        <v>670</v>
      </c>
      <c r="CH9" s="532" t="s">
        <v>270</v>
      </c>
      <c r="CI9" s="531" t="s">
        <v>670</v>
      </c>
      <c r="CJ9" s="532" t="s">
        <v>270</v>
      </c>
      <c r="CK9" s="531" t="s">
        <v>670</v>
      </c>
      <c r="CL9" s="532" t="s">
        <v>270</v>
      </c>
      <c r="CM9" s="531" t="s">
        <v>670</v>
      </c>
      <c r="CN9" s="532" t="s">
        <v>270</v>
      </c>
      <c r="CO9" s="531" t="s">
        <v>670</v>
      </c>
      <c r="CP9" s="532" t="s">
        <v>270</v>
      </c>
      <c r="CQ9" s="531" t="s">
        <v>670</v>
      </c>
      <c r="CR9" s="532" t="s">
        <v>270</v>
      </c>
      <c r="CS9" s="531" t="s">
        <v>670</v>
      </c>
      <c r="CT9" s="532" t="s">
        <v>270</v>
      </c>
      <c r="CU9" s="531" t="s">
        <v>670</v>
      </c>
      <c r="CV9" s="532" t="s">
        <v>270</v>
      </c>
      <c r="CW9" s="531" t="s">
        <v>670</v>
      </c>
      <c r="CX9" s="532" t="s">
        <v>270</v>
      </c>
      <c r="CY9" s="531" t="s">
        <v>670</v>
      </c>
      <c r="CZ9" s="532" t="s">
        <v>270</v>
      </c>
      <c r="DA9" s="531" t="s">
        <v>670</v>
      </c>
      <c r="DB9" s="532" t="s">
        <v>270</v>
      </c>
      <c r="DC9" s="531" t="s">
        <v>670</v>
      </c>
      <c r="DD9" s="532" t="s">
        <v>270</v>
      </c>
      <c r="DE9" s="533" t="s">
        <v>271</v>
      </c>
      <c r="DF9" s="496"/>
      <c r="DG9" s="525" t="s">
        <v>262</v>
      </c>
      <c r="DH9" s="526" t="s">
        <v>263</v>
      </c>
      <c r="DI9" s="527" t="s">
        <v>264</v>
      </c>
      <c r="DJ9" s="527" t="s">
        <v>667</v>
      </c>
      <c r="DK9" s="528" t="s">
        <v>668</v>
      </c>
      <c r="DL9" s="529" t="s">
        <v>267</v>
      </c>
      <c r="DM9" s="530" t="s">
        <v>669</v>
      </c>
      <c r="DN9" s="531" t="s">
        <v>670</v>
      </c>
      <c r="DO9" s="532" t="s">
        <v>270</v>
      </c>
      <c r="DP9" s="531" t="s">
        <v>670</v>
      </c>
      <c r="DQ9" s="532" t="s">
        <v>270</v>
      </c>
      <c r="DR9" s="531" t="s">
        <v>670</v>
      </c>
      <c r="DS9" s="532" t="s">
        <v>270</v>
      </c>
      <c r="DT9" s="531" t="s">
        <v>670</v>
      </c>
      <c r="DU9" s="532" t="s">
        <v>270</v>
      </c>
      <c r="DV9" s="531" t="s">
        <v>670</v>
      </c>
      <c r="DW9" s="532" t="s">
        <v>270</v>
      </c>
      <c r="DX9" s="531" t="s">
        <v>670</v>
      </c>
      <c r="DY9" s="532" t="s">
        <v>270</v>
      </c>
      <c r="DZ9" s="531" t="s">
        <v>670</v>
      </c>
      <c r="EA9" s="532" t="s">
        <v>270</v>
      </c>
      <c r="EB9" s="531" t="s">
        <v>670</v>
      </c>
      <c r="EC9" s="532" t="s">
        <v>270</v>
      </c>
      <c r="ED9" s="531" t="s">
        <v>670</v>
      </c>
      <c r="EE9" s="532" t="s">
        <v>270</v>
      </c>
      <c r="EF9" s="531" t="s">
        <v>670</v>
      </c>
      <c r="EG9" s="532" t="s">
        <v>270</v>
      </c>
      <c r="EH9" s="531" t="s">
        <v>670</v>
      </c>
      <c r="EI9" s="532" t="s">
        <v>270</v>
      </c>
      <c r="EJ9" s="531" t="s">
        <v>670</v>
      </c>
      <c r="EK9" s="532" t="s">
        <v>270</v>
      </c>
      <c r="EL9" s="531" t="s">
        <v>670</v>
      </c>
      <c r="EM9" s="532" t="s">
        <v>270</v>
      </c>
      <c r="EN9" s="531" t="s">
        <v>670</v>
      </c>
      <c r="EO9" s="532" t="s">
        <v>270</v>
      </c>
      <c r="EP9" s="531" t="s">
        <v>670</v>
      </c>
      <c r="EQ9" s="532" t="s">
        <v>270</v>
      </c>
      <c r="ER9" s="531" t="s">
        <v>670</v>
      </c>
      <c r="ES9" s="532" t="s">
        <v>270</v>
      </c>
      <c r="ET9" s="531" t="s">
        <v>670</v>
      </c>
      <c r="EU9" s="532" t="s">
        <v>270</v>
      </c>
      <c r="EV9" s="531" t="s">
        <v>670</v>
      </c>
      <c r="EW9" s="532" t="s">
        <v>270</v>
      </c>
      <c r="EX9" s="531" t="s">
        <v>670</v>
      </c>
      <c r="EY9" s="532" t="s">
        <v>270</v>
      </c>
      <c r="EZ9" s="531" t="s">
        <v>670</v>
      </c>
      <c r="FA9" s="532" t="s">
        <v>270</v>
      </c>
      <c r="FB9" s="531" t="s">
        <v>670</v>
      </c>
      <c r="FC9" s="532" t="s">
        <v>270</v>
      </c>
      <c r="FD9" s="531" t="s">
        <v>670</v>
      </c>
      <c r="FE9" s="532" t="s">
        <v>270</v>
      </c>
      <c r="FF9" s="531" t="s">
        <v>670</v>
      </c>
      <c r="FG9" s="532" t="s">
        <v>270</v>
      </c>
      <c r="FH9" s="533" t="s">
        <v>271</v>
      </c>
      <c r="FI9" s="534"/>
      <c r="FJ9" s="535" t="s">
        <v>262</v>
      </c>
      <c r="FK9" s="526" t="s">
        <v>263</v>
      </c>
      <c r="FL9" s="527" t="s">
        <v>264</v>
      </c>
      <c r="FM9" s="527" t="s">
        <v>667</v>
      </c>
      <c r="FN9" s="528" t="s">
        <v>668</v>
      </c>
      <c r="FO9" s="529" t="s">
        <v>267</v>
      </c>
      <c r="FP9" s="536" t="s">
        <v>272</v>
      </c>
      <c r="FQ9" s="537" t="s">
        <v>270</v>
      </c>
      <c r="FR9" s="531" t="s">
        <v>271</v>
      </c>
      <c r="FS9" s="538" t="s">
        <v>272</v>
      </c>
      <c r="FT9" s="537" t="s">
        <v>270</v>
      </c>
      <c r="FU9" s="531" t="s">
        <v>271</v>
      </c>
      <c r="FV9" s="518"/>
      <c r="FW9" s="519"/>
      <c r="FX9" s="519"/>
      <c r="FY9" s="519"/>
      <c r="FZ9" s="519"/>
      <c r="GA9" s="519"/>
      <c r="GB9" s="519"/>
      <c r="GC9" s="519"/>
      <c r="GD9" s="539"/>
      <c r="GE9" s="540"/>
      <c r="GF9" s="492"/>
      <c r="GG9" s="541"/>
      <c r="GH9" s="541"/>
      <c r="GI9" s="541"/>
      <c r="GJ9" s="522"/>
      <c r="GK9" s="523" t="s">
        <v>690</v>
      </c>
      <c r="GL9" s="522"/>
      <c r="GM9" s="523"/>
      <c r="GN9" s="522"/>
      <c r="GO9" s="542">
        <v>0.92</v>
      </c>
      <c r="GP9" s="522"/>
      <c r="GQ9" s="522"/>
      <c r="GR9" s="522"/>
      <c r="GS9" s="522"/>
      <c r="GT9" s="543"/>
      <c r="GU9" s="476" t="s">
        <v>575</v>
      </c>
      <c r="GV9" s="410"/>
      <c r="GW9" s="476"/>
      <c r="GX9" s="544">
        <v>1</v>
      </c>
      <c r="GY9" s="476"/>
      <c r="GZ9" s="479"/>
      <c r="HA9" s="523"/>
      <c r="HB9" s="523"/>
      <c r="HC9" s="523"/>
      <c r="HD9" s="434"/>
      <c r="HE9" s="434"/>
      <c r="HF9" s="1472"/>
      <c r="HG9" s="1472"/>
    </row>
    <row r="10" spans="1:353" ht="20.100000000000001" customHeight="1">
      <c r="A10" s="545"/>
      <c r="B10" s="546" t="s">
        <v>220</v>
      </c>
      <c r="C10" s="547" t="s">
        <v>74</v>
      </c>
      <c r="D10" s="548">
        <f>ROUND(10.8*0.85,2)</f>
        <v>9.18</v>
      </c>
      <c r="E10" s="546" t="s">
        <v>616</v>
      </c>
      <c r="F10" s="547"/>
      <c r="G10" s="549">
        <v>0</v>
      </c>
      <c r="H10" s="550">
        <f>ROUND(ROUND(10.8*0.85,2)*0.46*0,0)</f>
        <v>0</v>
      </c>
      <c r="I10" s="551">
        <v>0</v>
      </c>
      <c r="J10" s="552">
        <f>ROUND(ROUND(10.8*0.85,2)*0.46*0,0)</f>
        <v>0</v>
      </c>
      <c r="K10" s="553">
        <v>0</v>
      </c>
      <c r="L10" s="552">
        <f>ROUND(ROUND(10.8*0.85,2)*0.46*0,0)</f>
        <v>0</v>
      </c>
      <c r="M10" s="553">
        <v>0</v>
      </c>
      <c r="N10" s="552">
        <f>ROUND(ROUND(10.8*0.85,2)*0.46*0,0)</f>
        <v>0</v>
      </c>
      <c r="O10" s="553">
        <v>0</v>
      </c>
      <c r="P10" s="552">
        <f>ROUND(ROUND(10.8*0.85,2)*0.46*0,0)</f>
        <v>0</v>
      </c>
      <c r="Q10" s="553">
        <v>0</v>
      </c>
      <c r="R10" s="552">
        <f>ROUND(ROUND(10.8*0.85,2)*0.46*0,0)</f>
        <v>0</v>
      </c>
      <c r="S10" s="553">
        <v>0</v>
      </c>
      <c r="T10" s="552">
        <f>ROUND(ROUND(10.8*0.85,2)*0.46*0,0)</f>
        <v>0</v>
      </c>
      <c r="U10" s="553">
        <v>0</v>
      </c>
      <c r="V10" s="552">
        <f>ROUND(ROUND(10.8*0.85,2)*0.46*0,0)</f>
        <v>0</v>
      </c>
      <c r="W10" s="553">
        <v>116</v>
      </c>
      <c r="X10" s="552">
        <f>ROUND(ROUND(10.8*0.85,2)*0.46*116,0)</f>
        <v>490</v>
      </c>
      <c r="Y10" s="553">
        <v>129</v>
      </c>
      <c r="Z10" s="552">
        <f>ROUND(ROUND(10.8*0.85,2)*0.46*129,0)</f>
        <v>545</v>
      </c>
      <c r="AA10" s="553">
        <v>199</v>
      </c>
      <c r="AB10" s="552">
        <f>ROUND(ROUND(10.8*0.85,2)*0.46*199,0)</f>
        <v>840</v>
      </c>
      <c r="AC10" s="553">
        <v>265</v>
      </c>
      <c r="AD10" s="552">
        <f>ROUND(ROUND(10.8*0.85,2)*0.46*265,0)</f>
        <v>1119</v>
      </c>
      <c r="AE10" s="553">
        <v>298</v>
      </c>
      <c r="AF10" s="552">
        <f>ROUND(ROUND(10.8*0.85,2)*0.46*298,0)</f>
        <v>1258</v>
      </c>
      <c r="AG10" s="553">
        <v>285</v>
      </c>
      <c r="AH10" s="552">
        <f>ROUND(ROUND(10.8*0.85,2)*0.46*285,0)</f>
        <v>1203</v>
      </c>
      <c r="AI10" s="553">
        <v>230</v>
      </c>
      <c r="AJ10" s="552">
        <f>ROUND(ROUND(10.8*0.85,2)*0.46*230,0)</f>
        <v>971</v>
      </c>
      <c r="AK10" s="553">
        <v>152</v>
      </c>
      <c r="AL10" s="552">
        <f>ROUND(ROUND(10.8*0.85,2)*0.46*152,0)</f>
        <v>642</v>
      </c>
      <c r="AM10" s="553">
        <v>76</v>
      </c>
      <c r="AN10" s="552">
        <f>ROUND(ROUND(10.8*0.85,2)*0.46*76,0)</f>
        <v>321</v>
      </c>
      <c r="AO10" s="553">
        <v>16</v>
      </c>
      <c r="AP10" s="552">
        <f>ROUND(ROUND(10.8*0.85,2)*0.46*16,0)</f>
        <v>68</v>
      </c>
      <c r="AQ10" s="553">
        <v>0</v>
      </c>
      <c r="AR10" s="552">
        <f>ROUND(ROUND(10.8*0.85,2)*0.46*0,0)</f>
        <v>0</v>
      </c>
      <c r="AS10" s="553">
        <v>0</v>
      </c>
      <c r="AT10" s="552">
        <f>ROUND(ROUND(10.8*0.85,2)*0.46*0,0)</f>
        <v>0</v>
      </c>
      <c r="AU10" s="553">
        <v>0</v>
      </c>
      <c r="AV10" s="552">
        <f>ROUND(ROUND(10.8*0.85,2)*0.46*0,0)</f>
        <v>0</v>
      </c>
      <c r="AW10" s="553">
        <v>0</v>
      </c>
      <c r="AX10" s="552">
        <f>ROUND(ROUND(10.8*0.85,2)*0.46*0,0)</f>
        <v>0</v>
      </c>
      <c r="AY10" s="553">
        <v>0</v>
      </c>
      <c r="AZ10" s="552">
        <f>ROUND(ROUND(10.8*0.85,2)*0.46*0,0)</f>
        <v>0</v>
      </c>
      <c r="BA10" s="553">
        <v>0</v>
      </c>
      <c r="BB10" s="554">
        <f>ROUND(ROUND(10.8*0.85,2)*0.46*0,0)</f>
        <v>0</v>
      </c>
      <c r="BC10" s="555"/>
      <c r="BD10" s="545"/>
      <c r="BE10" s="546"/>
      <c r="BF10" s="547"/>
      <c r="BG10" s="548"/>
      <c r="BH10" s="546"/>
      <c r="BI10" s="547"/>
      <c r="BJ10" s="549">
        <v>0</v>
      </c>
      <c r="BK10" s="550">
        <f>ROUND(ROUND(10.8*0.85,2)*0.46*0,0)</f>
        <v>0</v>
      </c>
      <c r="BL10" s="551">
        <v>0</v>
      </c>
      <c r="BM10" s="552">
        <f>ROUND(ROUND(10.8*0.85,2)*0.46*0,0)</f>
        <v>0</v>
      </c>
      <c r="BN10" s="553">
        <v>0</v>
      </c>
      <c r="BO10" s="552">
        <f>ROUND(ROUND(10.8*0.85,2)*0.46*0,0)</f>
        <v>0</v>
      </c>
      <c r="BP10" s="553">
        <v>0</v>
      </c>
      <c r="BQ10" s="552">
        <f>ROUND(ROUND(10.8*0.85,2)*0.46*0,0)</f>
        <v>0</v>
      </c>
      <c r="BR10" s="553">
        <v>0</v>
      </c>
      <c r="BS10" s="552">
        <f>ROUND(ROUND(10.8*0.85,2)*0.46*0,0)</f>
        <v>0</v>
      </c>
      <c r="BT10" s="553">
        <v>0</v>
      </c>
      <c r="BU10" s="552">
        <f>ROUND(ROUND(10.8*0.85,2)*0.46*0,0)</f>
        <v>0</v>
      </c>
      <c r="BV10" s="553">
        <v>0</v>
      </c>
      <c r="BW10" s="552">
        <f>ROUND(ROUND(10.8*0.85,2)*0.46*0,0)</f>
        <v>0</v>
      </c>
      <c r="BX10" s="553">
        <v>0</v>
      </c>
      <c r="BY10" s="552">
        <f>ROUND(ROUND(10.8*0.85,2)*0.46*0,0)</f>
        <v>0</v>
      </c>
      <c r="BZ10" s="553">
        <v>103</v>
      </c>
      <c r="CA10" s="552">
        <f>ROUND(ROUND(10.8*0.85,2)*0.46*103,0)</f>
        <v>435</v>
      </c>
      <c r="CB10" s="553">
        <v>121</v>
      </c>
      <c r="CC10" s="552">
        <f>ROUND(ROUND(10.8*0.85,2)*0.46*121,0)</f>
        <v>511</v>
      </c>
      <c r="CD10" s="553">
        <v>203</v>
      </c>
      <c r="CE10" s="552">
        <f>ROUND(ROUND(10.8*0.85,2)*0.46*203,0)</f>
        <v>857</v>
      </c>
      <c r="CF10" s="553">
        <v>279</v>
      </c>
      <c r="CG10" s="552">
        <f>ROUND(ROUND(10.8*0.85,2)*0.46*279,0)</f>
        <v>1178</v>
      </c>
      <c r="CH10" s="553">
        <v>314</v>
      </c>
      <c r="CI10" s="552">
        <f>ROUND(ROUND(10.8*0.85,2)*0.46*314,0)</f>
        <v>1326</v>
      </c>
      <c r="CJ10" s="553">
        <v>306</v>
      </c>
      <c r="CK10" s="552">
        <f>ROUND(ROUND(10.8*0.85,2)*0.46*306,0)</f>
        <v>1292</v>
      </c>
      <c r="CL10" s="553">
        <v>259</v>
      </c>
      <c r="CM10" s="552">
        <f>ROUND(ROUND(10.8*0.85,2)*0.46*259,0)</f>
        <v>1094</v>
      </c>
      <c r="CN10" s="553">
        <v>180</v>
      </c>
      <c r="CO10" s="552">
        <f>ROUND(ROUND(10.8*0.85,2)*0.46*180,0)</f>
        <v>760</v>
      </c>
      <c r="CP10" s="553">
        <v>89</v>
      </c>
      <c r="CQ10" s="552">
        <f>ROUND(ROUND(10.8*0.85,2)*0.46*89,0)</f>
        <v>376</v>
      </c>
      <c r="CR10" s="553">
        <v>19</v>
      </c>
      <c r="CS10" s="552">
        <f>ROUND(ROUND(10.8*0.85,2)*0.46*19,0)</f>
        <v>80</v>
      </c>
      <c r="CT10" s="553">
        <v>0</v>
      </c>
      <c r="CU10" s="552">
        <f>ROUND(ROUND(10.8*0.85,2)*0.46*0,0)</f>
        <v>0</v>
      </c>
      <c r="CV10" s="553">
        <v>0</v>
      </c>
      <c r="CW10" s="552">
        <f>ROUND(ROUND(10.8*0.85,2)*0.46*0,0)</f>
        <v>0</v>
      </c>
      <c r="CX10" s="553">
        <v>0</v>
      </c>
      <c r="CY10" s="552">
        <f>ROUND(ROUND(10.8*0.85,2)*0.46*0,0)</f>
        <v>0</v>
      </c>
      <c r="CZ10" s="553">
        <v>0</v>
      </c>
      <c r="DA10" s="552">
        <f>ROUND(ROUND(10.8*0.85,2)*0.46*0,0)</f>
        <v>0</v>
      </c>
      <c r="DB10" s="553">
        <v>0</v>
      </c>
      <c r="DC10" s="552">
        <f>ROUND(ROUND(10.8*0.85,2)*0.46*0,0)</f>
        <v>0</v>
      </c>
      <c r="DD10" s="553">
        <v>0</v>
      </c>
      <c r="DE10" s="554">
        <f>ROUND(ROUND(10.8*0.85,2)*0.46*0,0)</f>
        <v>0</v>
      </c>
      <c r="DF10" s="555"/>
      <c r="DG10" s="545"/>
      <c r="DH10" s="546"/>
      <c r="DI10" s="547"/>
      <c r="DJ10" s="548"/>
      <c r="DK10" s="546"/>
      <c r="DL10" s="547"/>
      <c r="DM10" s="549">
        <v>0</v>
      </c>
      <c r="DN10" s="550">
        <f>ROUND(ROUND(10.8*0.85,2)*0.46*0,0)</f>
        <v>0</v>
      </c>
      <c r="DO10" s="551">
        <v>0</v>
      </c>
      <c r="DP10" s="552">
        <f>ROUND(ROUND(10.8*0.85,2)*0.46*0,0)</f>
        <v>0</v>
      </c>
      <c r="DQ10" s="553">
        <v>0</v>
      </c>
      <c r="DR10" s="552">
        <f>ROUND(ROUND(10.8*0.85,2)*0.46*0,0)</f>
        <v>0</v>
      </c>
      <c r="DS10" s="553">
        <v>0</v>
      </c>
      <c r="DT10" s="552">
        <f>ROUND(ROUND(10.8*0.85,2)*0.46*0,0)</f>
        <v>0</v>
      </c>
      <c r="DU10" s="553">
        <v>0</v>
      </c>
      <c r="DV10" s="552">
        <f>ROUND(ROUND(10.8*0.85,2)*0.46*0,0)</f>
        <v>0</v>
      </c>
      <c r="DW10" s="553">
        <v>0</v>
      </c>
      <c r="DX10" s="552">
        <f>ROUND(ROUND(10.8*0.85,2)*0.46*0,0)</f>
        <v>0</v>
      </c>
      <c r="DY10" s="553">
        <v>0</v>
      </c>
      <c r="DZ10" s="552">
        <f>ROUND(ROUND(10.8*0.85,2)*0.46*0,0)</f>
        <v>0</v>
      </c>
      <c r="EA10" s="553">
        <v>0</v>
      </c>
      <c r="EB10" s="552">
        <f>ROUND(ROUND(10.8*0.85,2)*0.46*0,0)</f>
        <v>0</v>
      </c>
      <c r="EC10" s="553">
        <v>121</v>
      </c>
      <c r="ED10" s="552">
        <f>ROUND(ROUND(10.8*0.85,2)*0.46*121,0)</f>
        <v>511</v>
      </c>
      <c r="EE10" s="553">
        <v>272</v>
      </c>
      <c r="EF10" s="552">
        <f>ROUND(ROUND(10.8*0.85,2)*0.46*272,0)</f>
        <v>1149</v>
      </c>
      <c r="EG10" s="553">
        <v>410</v>
      </c>
      <c r="EH10" s="552">
        <f>ROUND(ROUND(10.8*0.85,2)*0.46*410,0)</f>
        <v>1731</v>
      </c>
      <c r="EI10" s="553">
        <v>492</v>
      </c>
      <c r="EJ10" s="552">
        <f>ROUND(ROUND(10.8*0.85,2)*0.46*492,0)</f>
        <v>2078</v>
      </c>
      <c r="EK10" s="553">
        <v>510</v>
      </c>
      <c r="EL10" s="552">
        <f>ROUND(ROUND(10.8*0.85,2)*0.46*510,0)</f>
        <v>2154</v>
      </c>
      <c r="EM10" s="553">
        <v>476</v>
      </c>
      <c r="EN10" s="552">
        <f>ROUND(ROUND(10.8*0.85,2)*0.46*476,0)</f>
        <v>2010</v>
      </c>
      <c r="EO10" s="553">
        <v>386</v>
      </c>
      <c r="EP10" s="552">
        <f>ROUND(ROUND(10.8*0.85,2)*0.46*386,0)</f>
        <v>1630</v>
      </c>
      <c r="EQ10" s="553">
        <v>257</v>
      </c>
      <c r="ER10" s="552">
        <f>ROUND(ROUND(10.8*0.85,2)*0.46*257,0)</f>
        <v>1085</v>
      </c>
      <c r="ES10" s="553">
        <v>104</v>
      </c>
      <c r="ET10" s="552">
        <f>ROUND(ROUND(10.8*0.85,2)*0.46*104,0)</f>
        <v>439</v>
      </c>
      <c r="EU10" s="553">
        <v>-1</v>
      </c>
      <c r="EV10" s="552">
        <f>ROUND(ROUND(10.8*0.85,2)*0.46*-1,0)</f>
        <v>-4</v>
      </c>
      <c r="EW10" s="553">
        <v>0</v>
      </c>
      <c r="EX10" s="552">
        <f>ROUND(ROUND(10.8*0.85,2)*0.46*0,0)</f>
        <v>0</v>
      </c>
      <c r="EY10" s="553">
        <v>0</v>
      </c>
      <c r="EZ10" s="552">
        <f>ROUND(ROUND(10.8*0.85,2)*0.46*0,0)</f>
        <v>0</v>
      </c>
      <c r="FA10" s="553">
        <v>0</v>
      </c>
      <c r="FB10" s="552">
        <f>ROUND(ROUND(10.8*0.85,2)*0.46*0,0)</f>
        <v>0</v>
      </c>
      <c r="FC10" s="553">
        <v>0</v>
      </c>
      <c r="FD10" s="552">
        <f>ROUND(ROUND(10.8*0.85,2)*0.46*0,0)</f>
        <v>0</v>
      </c>
      <c r="FE10" s="553">
        <v>0</v>
      </c>
      <c r="FF10" s="552">
        <f>ROUND(ROUND(10.8*0.85,2)*0.46*0,0)</f>
        <v>0</v>
      </c>
      <c r="FG10" s="553">
        <v>0</v>
      </c>
      <c r="FH10" s="554">
        <f>ROUND(ROUND(10.8*0.85,2)*0.46*0,0)</f>
        <v>0</v>
      </c>
      <c r="FI10" s="556"/>
      <c r="FJ10" s="557"/>
      <c r="FK10" s="546"/>
      <c r="FL10" s="547"/>
      <c r="FM10" s="548"/>
      <c r="FN10" s="546"/>
      <c r="FO10" s="547"/>
      <c r="FP10" s="558"/>
      <c r="FQ10" s="551"/>
      <c r="FR10" s="550" t="s">
        <v>671</v>
      </c>
      <c r="FS10" s="559"/>
      <c r="FT10" s="551"/>
      <c r="FU10" s="560" t="s">
        <v>671</v>
      </c>
      <c r="FV10" s="561" t="s">
        <v>274</v>
      </c>
      <c r="FW10" s="1286"/>
      <c r="FX10" s="1287" t="s">
        <v>275</v>
      </c>
      <c r="FY10" s="1288"/>
      <c r="FZ10" s="1289" t="s">
        <v>276</v>
      </c>
      <c r="GA10" s="1290"/>
      <c r="GB10" s="1291" t="s">
        <v>680</v>
      </c>
      <c r="GC10" s="1292"/>
      <c r="GD10" s="569" t="s">
        <v>681</v>
      </c>
      <c r="GE10" s="570"/>
      <c r="GF10" s="492"/>
      <c r="GG10" s="541"/>
      <c r="GH10" s="541"/>
      <c r="GI10" s="541"/>
      <c r="GJ10" s="571"/>
      <c r="GK10" s="493"/>
      <c r="GL10" s="493"/>
      <c r="GM10" s="572"/>
      <c r="GN10" s="572"/>
      <c r="GO10" s="571"/>
      <c r="GP10" s="493"/>
      <c r="GQ10" s="493"/>
      <c r="GR10" s="493"/>
      <c r="GS10" s="493"/>
      <c r="GT10" s="493"/>
      <c r="GU10" s="493"/>
      <c r="GV10" s="493"/>
      <c r="GW10" s="572"/>
      <c r="GX10" s="572"/>
      <c r="GY10" s="572"/>
      <c r="GZ10" s="571"/>
      <c r="HA10" s="493"/>
      <c r="HB10" s="493"/>
      <c r="HC10" s="573"/>
      <c r="HD10" s="792"/>
      <c r="HE10" s="434"/>
      <c r="HF10" s="1472"/>
      <c r="HG10" s="1472"/>
    </row>
    <row r="11" spans="1:353" ht="20.100000000000001" customHeight="1">
      <c r="A11" s="545"/>
      <c r="B11" s="574"/>
      <c r="C11" s="575"/>
      <c r="D11" s="576"/>
      <c r="E11" s="574"/>
      <c r="F11" s="575"/>
      <c r="G11" s="577"/>
      <c r="H11" s="578"/>
      <c r="I11" s="579"/>
      <c r="J11" s="580"/>
      <c r="K11" s="581"/>
      <c r="L11" s="580"/>
      <c r="M11" s="581"/>
      <c r="N11" s="580"/>
      <c r="O11" s="581"/>
      <c r="P11" s="580"/>
      <c r="Q11" s="581"/>
      <c r="R11" s="580"/>
      <c r="S11" s="581"/>
      <c r="T11" s="580"/>
      <c r="U11" s="581"/>
      <c r="V11" s="580"/>
      <c r="W11" s="581"/>
      <c r="X11" s="580"/>
      <c r="Y11" s="581"/>
      <c r="Z11" s="580"/>
      <c r="AA11" s="581"/>
      <c r="AB11" s="580"/>
      <c r="AC11" s="581"/>
      <c r="AD11" s="580"/>
      <c r="AE11" s="581"/>
      <c r="AF11" s="580"/>
      <c r="AG11" s="581"/>
      <c r="AH11" s="580"/>
      <c r="AI11" s="581"/>
      <c r="AJ11" s="580"/>
      <c r="AK11" s="581"/>
      <c r="AL11" s="580"/>
      <c r="AM11" s="581"/>
      <c r="AN11" s="580"/>
      <c r="AO11" s="581"/>
      <c r="AP11" s="580"/>
      <c r="AQ11" s="581"/>
      <c r="AR11" s="580"/>
      <c r="AS11" s="581"/>
      <c r="AT11" s="580"/>
      <c r="AU11" s="581"/>
      <c r="AV11" s="580"/>
      <c r="AW11" s="581"/>
      <c r="AX11" s="580"/>
      <c r="AY11" s="581"/>
      <c r="AZ11" s="580"/>
      <c r="BA11" s="581"/>
      <c r="BB11" s="582"/>
      <c r="BC11" s="555"/>
      <c r="BD11" s="545"/>
      <c r="BE11" s="574"/>
      <c r="BF11" s="575"/>
      <c r="BG11" s="576"/>
      <c r="BH11" s="574"/>
      <c r="BI11" s="575"/>
      <c r="BJ11" s="577"/>
      <c r="BK11" s="578"/>
      <c r="BL11" s="579"/>
      <c r="BM11" s="580"/>
      <c r="BN11" s="581"/>
      <c r="BO11" s="580"/>
      <c r="BP11" s="581"/>
      <c r="BQ11" s="580"/>
      <c r="BR11" s="581"/>
      <c r="BS11" s="580"/>
      <c r="BT11" s="581"/>
      <c r="BU11" s="580"/>
      <c r="BV11" s="581"/>
      <c r="BW11" s="580"/>
      <c r="BX11" s="581"/>
      <c r="BY11" s="580"/>
      <c r="BZ11" s="581"/>
      <c r="CA11" s="580"/>
      <c r="CB11" s="581"/>
      <c r="CC11" s="580"/>
      <c r="CD11" s="581"/>
      <c r="CE11" s="580"/>
      <c r="CF11" s="581"/>
      <c r="CG11" s="580"/>
      <c r="CH11" s="581"/>
      <c r="CI11" s="580"/>
      <c r="CJ11" s="581"/>
      <c r="CK11" s="580"/>
      <c r="CL11" s="581"/>
      <c r="CM11" s="580"/>
      <c r="CN11" s="581"/>
      <c r="CO11" s="580"/>
      <c r="CP11" s="581"/>
      <c r="CQ11" s="580"/>
      <c r="CR11" s="581"/>
      <c r="CS11" s="580"/>
      <c r="CT11" s="581"/>
      <c r="CU11" s="580"/>
      <c r="CV11" s="581"/>
      <c r="CW11" s="580"/>
      <c r="CX11" s="581"/>
      <c r="CY11" s="580"/>
      <c r="CZ11" s="581"/>
      <c r="DA11" s="580"/>
      <c r="DB11" s="581"/>
      <c r="DC11" s="580"/>
      <c r="DD11" s="581"/>
      <c r="DE11" s="582"/>
      <c r="DF11" s="555"/>
      <c r="DG11" s="545"/>
      <c r="DH11" s="574"/>
      <c r="DI11" s="575"/>
      <c r="DJ11" s="576"/>
      <c r="DK11" s="574"/>
      <c r="DL11" s="575"/>
      <c r="DM11" s="577"/>
      <c r="DN11" s="578"/>
      <c r="DO11" s="579"/>
      <c r="DP11" s="580"/>
      <c r="DQ11" s="581"/>
      <c r="DR11" s="580"/>
      <c r="DS11" s="581"/>
      <c r="DT11" s="580"/>
      <c r="DU11" s="581"/>
      <c r="DV11" s="580"/>
      <c r="DW11" s="581"/>
      <c r="DX11" s="580"/>
      <c r="DY11" s="581"/>
      <c r="DZ11" s="580"/>
      <c r="EA11" s="581"/>
      <c r="EB11" s="580"/>
      <c r="EC11" s="581"/>
      <c r="ED11" s="580"/>
      <c r="EE11" s="581"/>
      <c r="EF11" s="580"/>
      <c r="EG11" s="581"/>
      <c r="EH11" s="580"/>
      <c r="EI11" s="581"/>
      <c r="EJ11" s="580"/>
      <c r="EK11" s="581"/>
      <c r="EL11" s="580"/>
      <c r="EM11" s="581"/>
      <c r="EN11" s="580"/>
      <c r="EO11" s="581"/>
      <c r="EP11" s="580"/>
      <c r="EQ11" s="581"/>
      <c r="ER11" s="580"/>
      <c r="ES11" s="581"/>
      <c r="ET11" s="580"/>
      <c r="EU11" s="581"/>
      <c r="EV11" s="580"/>
      <c r="EW11" s="581"/>
      <c r="EX11" s="580"/>
      <c r="EY11" s="581"/>
      <c r="EZ11" s="580"/>
      <c r="FA11" s="581"/>
      <c r="FB11" s="580"/>
      <c r="FC11" s="581"/>
      <c r="FD11" s="580"/>
      <c r="FE11" s="581"/>
      <c r="FF11" s="580"/>
      <c r="FG11" s="581"/>
      <c r="FH11" s="582"/>
      <c r="FI11" s="556"/>
      <c r="FJ11" s="557"/>
      <c r="FK11" s="574"/>
      <c r="FL11" s="575"/>
      <c r="FM11" s="576"/>
      <c r="FN11" s="574"/>
      <c r="FO11" s="575"/>
      <c r="FP11" s="583"/>
      <c r="FQ11" s="579"/>
      <c r="FR11" s="578" t="s">
        <v>671</v>
      </c>
      <c r="FS11" s="584"/>
      <c r="FT11" s="579"/>
      <c r="FU11" s="585" t="s">
        <v>671</v>
      </c>
      <c r="FV11" s="586"/>
      <c r="FW11" s="587"/>
      <c r="FX11" s="588"/>
      <c r="FY11" s="589"/>
      <c r="FZ11" s="590"/>
      <c r="GA11" s="591"/>
      <c r="GB11" s="592"/>
      <c r="GC11" s="593"/>
      <c r="GD11" s="592"/>
      <c r="GE11" s="594"/>
      <c r="GF11" s="492"/>
      <c r="GG11" s="595"/>
      <c r="GH11" s="595"/>
      <c r="GI11" s="595"/>
      <c r="GJ11" s="522"/>
      <c r="GK11" s="573" t="s">
        <v>576</v>
      </c>
      <c r="GL11" s="410"/>
      <c r="GM11" s="476"/>
      <c r="GN11" s="479"/>
      <c r="GO11" s="476"/>
      <c r="GP11" s="410"/>
      <c r="GQ11" s="522"/>
      <c r="GR11" s="522"/>
      <c r="GS11" s="522"/>
      <c r="GT11" s="541"/>
      <c r="GU11" s="573" t="s">
        <v>461</v>
      </c>
      <c r="GV11" s="410"/>
      <c r="GW11" s="476"/>
      <c r="GX11" s="479"/>
      <c r="GY11" s="476"/>
      <c r="GZ11" s="410"/>
      <c r="HA11" s="523"/>
      <c r="HB11" s="523"/>
      <c r="HC11" s="406"/>
      <c r="HD11" s="792"/>
      <c r="HE11" s="434"/>
      <c r="HF11" s="1472"/>
      <c r="HG11" s="1472"/>
    </row>
    <row r="12" spans="1:353" ht="20.100000000000001" customHeight="1">
      <c r="A12" s="545"/>
      <c r="B12" s="574"/>
      <c r="C12" s="575"/>
      <c r="D12" s="576"/>
      <c r="E12" s="574"/>
      <c r="F12" s="575"/>
      <c r="G12" s="577"/>
      <c r="H12" s="578"/>
      <c r="I12" s="579"/>
      <c r="J12" s="580"/>
      <c r="K12" s="581"/>
      <c r="L12" s="580"/>
      <c r="M12" s="581"/>
      <c r="N12" s="580"/>
      <c r="O12" s="581"/>
      <c r="P12" s="580"/>
      <c r="Q12" s="581"/>
      <c r="R12" s="580"/>
      <c r="S12" s="581"/>
      <c r="T12" s="580"/>
      <c r="U12" s="581"/>
      <c r="V12" s="580"/>
      <c r="W12" s="581"/>
      <c r="X12" s="580"/>
      <c r="Y12" s="581"/>
      <c r="Z12" s="580"/>
      <c r="AA12" s="581"/>
      <c r="AB12" s="580"/>
      <c r="AC12" s="581"/>
      <c r="AD12" s="580"/>
      <c r="AE12" s="581"/>
      <c r="AF12" s="580"/>
      <c r="AG12" s="581"/>
      <c r="AH12" s="580"/>
      <c r="AI12" s="581"/>
      <c r="AJ12" s="580"/>
      <c r="AK12" s="581"/>
      <c r="AL12" s="580"/>
      <c r="AM12" s="581"/>
      <c r="AN12" s="580"/>
      <c r="AO12" s="581"/>
      <c r="AP12" s="580"/>
      <c r="AQ12" s="581"/>
      <c r="AR12" s="580"/>
      <c r="AS12" s="581"/>
      <c r="AT12" s="580"/>
      <c r="AU12" s="581"/>
      <c r="AV12" s="580"/>
      <c r="AW12" s="581"/>
      <c r="AX12" s="580"/>
      <c r="AY12" s="581"/>
      <c r="AZ12" s="580"/>
      <c r="BA12" s="581"/>
      <c r="BB12" s="582"/>
      <c r="BC12" s="555"/>
      <c r="BD12" s="545"/>
      <c r="BE12" s="574"/>
      <c r="BF12" s="575"/>
      <c r="BG12" s="576"/>
      <c r="BH12" s="574"/>
      <c r="BI12" s="575"/>
      <c r="BJ12" s="577"/>
      <c r="BK12" s="578"/>
      <c r="BL12" s="579"/>
      <c r="BM12" s="580"/>
      <c r="BN12" s="581"/>
      <c r="BO12" s="580"/>
      <c r="BP12" s="581"/>
      <c r="BQ12" s="580"/>
      <c r="BR12" s="581"/>
      <c r="BS12" s="580"/>
      <c r="BT12" s="581"/>
      <c r="BU12" s="580"/>
      <c r="BV12" s="581"/>
      <c r="BW12" s="580"/>
      <c r="BX12" s="581"/>
      <c r="BY12" s="580"/>
      <c r="BZ12" s="581"/>
      <c r="CA12" s="580"/>
      <c r="CB12" s="581"/>
      <c r="CC12" s="580"/>
      <c r="CD12" s="581"/>
      <c r="CE12" s="580"/>
      <c r="CF12" s="581"/>
      <c r="CG12" s="580"/>
      <c r="CH12" s="581"/>
      <c r="CI12" s="580"/>
      <c r="CJ12" s="581"/>
      <c r="CK12" s="580"/>
      <c r="CL12" s="581"/>
      <c r="CM12" s="580"/>
      <c r="CN12" s="581"/>
      <c r="CO12" s="580"/>
      <c r="CP12" s="581"/>
      <c r="CQ12" s="580"/>
      <c r="CR12" s="581"/>
      <c r="CS12" s="580"/>
      <c r="CT12" s="581"/>
      <c r="CU12" s="580"/>
      <c r="CV12" s="581"/>
      <c r="CW12" s="580"/>
      <c r="CX12" s="581"/>
      <c r="CY12" s="580"/>
      <c r="CZ12" s="581"/>
      <c r="DA12" s="580"/>
      <c r="DB12" s="581"/>
      <c r="DC12" s="580"/>
      <c r="DD12" s="581"/>
      <c r="DE12" s="582"/>
      <c r="DF12" s="555"/>
      <c r="DG12" s="545"/>
      <c r="DH12" s="574"/>
      <c r="DI12" s="575"/>
      <c r="DJ12" s="576"/>
      <c r="DK12" s="574"/>
      <c r="DL12" s="575"/>
      <c r="DM12" s="577"/>
      <c r="DN12" s="578"/>
      <c r="DO12" s="579"/>
      <c r="DP12" s="580"/>
      <c r="DQ12" s="581"/>
      <c r="DR12" s="580"/>
      <c r="DS12" s="581"/>
      <c r="DT12" s="580"/>
      <c r="DU12" s="581"/>
      <c r="DV12" s="580"/>
      <c r="DW12" s="581"/>
      <c r="DX12" s="580"/>
      <c r="DY12" s="581"/>
      <c r="DZ12" s="580"/>
      <c r="EA12" s="581"/>
      <c r="EB12" s="580"/>
      <c r="EC12" s="581"/>
      <c r="ED12" s="580"/>
      <c r="EE12" s="581"/>
      <c r="EF12" s="580"/>
      <c r="EG12" s="581"/>
      <c r="EH12" s="580"/>
      <c r="EI12" s="581"/>
      <c r="EJ12" s="580"/>
      <c r="EK12" s="581"/>
      <c r="EL12" s="580"/>
      <c r="EM12" s="581"/>
      <c r="EN12" s="580"/>
      <c r="EO12" s="581"/>
      <c r="EP12" s="580"/>
      <c r="EQ12" s="581"/>
      <c r="ER12" s="580"/>
      <c r="ES12" s="581"/>
      <c r="ET12" s="580"/>
      <c r="EU12" s="581"/>
      <c r="EV12" s="580"/>
      <c r="EW12" s="581"/>
      <c r="EX12" s="580"/>
      <c r="EY12" s="581"/>
      <c r="EZ12" s="580"/>
      <c r="FA12" s="581"/>
      <c r="FB12" s="580"/>
      <c r="FC12" s="581"/>
      <c r="FD12" s="580"/>
      <c r="FE12" s="581"/>
      <c r="FF12" s="580"/>
      <c r="FG12" s="581"/>
      <c r="FH12" s="582"/>
      <c r="FI12" s="556"/>
      <c r="FJ12" s="557"/>
      <c r="FK12" s="574"/>
      <c r="FL12" s="575"/>
      <c r="FM12" s="576"/>
      <c r="FN12" s="574"/>
      <c r="FO12" s="575"/>
      <c r="FP12" s="583"/>
      <c r="FQ12" s="579"/>
      <c r="FR12" s="578" t="s">
        <v>671</v>
      </c>
      <c r="FS12" s="584"/>
      <c r="FT12" s="579"/>
      <c r="FU12" s="585" t="s">
        <v>671</v>
      </c>
      <c r="FV12" s="586"/>
      <c r="FW12" s="587"/>
      <c r="FX12" s="588"/>
      <c r="FY12" s="589"/>
      <c r="FZ12" s="590"/>
      <c r="GA12" s="591"/>
      <c r="GB12" s="592"/>
      <c r="GC12" s="593"/>
      <c r="GD12" s="592"/>
      <c r="GE12" s="594"/>
      <c r="GF12" s="492"/>
      <c r="GG12" s="595"/>
      <c r="GH12" s="595"/>
      <c r="GI12" s="595"/>
      <c r="GJ12" s="410"/>
      <c r="GK12" s="596" t="s">
        <v>353</v>
      </c>
      <c r="GL12" s="597"/>
      <c r="GM12" s="598" t="s">
        <v>462</v>
      </c>
      <c r="GN12" s="599" t="s">
        <v>578</v>
      </c>
      <c r="GO12" s="600" t="s">
        <v>582</v>
      </c>
      <c r="GP12" s="601" t="s">
        <v>691</v>
      </c>
      <c r="GQ12" s="600" t="s">
        <v>579</v>
      </c>
      <c r="GR12" s="600" t="s">
        <v>467</v>
      </c>
      <c r="GS12" s="602"/>
      <c r="GT12" s="541"/>
      <c r="GU12" s="596" t="s">
        <v>349</v>
      </c>
      <c r="GV12" s="597"/>
      <c r="GW12" s="598" t="s">
        <v>468</v>
      </c>
      <c r="GX12" s="603" t="s">
        <v>469</v>
      </c>
      <c r="GY12" s="604"/>
      <c r="GZ12" s="605" t="s">
        <v>582</v>
      </c>
      <c r="HA12" s="606" t="s">
        <v>470</v>
      </c>
      <c r="HB12" s="607"/>
      <c r="HC12" s="608"/>
      <c r="HD12" s="792"/>
      <c r="HE12" s="434"/>
      <c r="HF12" s="1472"/>
      <c r="HG12" s="1472"/>
    </row>
    <row r="13" spans="1:353" ht="20.100000000000001" customHeight="1">
      <c r="A13" s="545"/>
      <c r="B13" s="609"/>
      <c r="C13" s="610"/>
      <c r="D13" s="611"/>
      <c r="E13" s="609"/>
      <c r="F13" s="610"/>
      <c r="G13" s="612"/>
      <c r="H13" s="613"/>
      <c r="I13" s="614"/>
      <c r="J13" s="615"/>
      <c r="K13" s="616"/>
      <c r="L13" s="615"/>
      <c r="M13" s="616"/>
      <c r="N13" s="615"/>
      <c r="O13" s="616"/>
      <c r="P13" s="615"/>
      <c r="Q13" s="616"/>
      <c r="R13" s="615"/>
      <c r="S13" s="616"/>
      <c r="T13" s="615"/>
      <c r="U13" s="616"/>
      <c r="V13" s="615"/>
      <c r="W13" s="616"/>
      <c r="X13" s="615"/>
      <c r="Y13" s="616"/>
      <c r="Z13" s="615"/>
      <c r="AA13" s="616"/>
      <c r="AB13" s="615"/>
      <c r="AC13" s="616"/>
      <c r="AD13" s="615"/>
      <c r="AE13" s="616"/>
      <c r="AF13" s="615"/>
      <c r="AG13" s="616"/>
      <c r="AH13" s="615"/>
      <c r="AI13" s="616"/>
      <c r="AJ13" s="615"/>
      <c r="AK13" s="616"/>
      <c r="AL13" s="615"/>
      <c r="AM13" s="616"/>
      <c r="AN13" s="615"/>
      <c r="AO13" s="616"/>
      <c r="AP13" s="615"/>
      <c r="AQ13" s="616"/>
      <c r="AR13" s="615"/>
      <c r="AS13" s="616"/>
      <c r="AT13" s="615"/>
      <c r="AU13" s="616"/>
      <c r="AV13" s="615"/>
      <c r="AW13" s="616"/>
      <c r="AX13" s="615"/>
      <c r="AY13" s="616"/>
      <c r="AZ13" s="615"/>
      <c r="BA13" s="616"/>
      <c r="BB13" s="617"/>
      <c r="BC13" s="555"/>
      <c r="BD13" s="545"/>
      <c r="BE13" s="609"/>
      <c r="BF13" s="610"/>
      <c r="BG13" s="611"/>
      <c r="BH13" s="609"/>
      <c r="BI13" s="610"/>
      <c r="BJ13" s="612"/>
      <c r="BK13" s="613"/>
      <c r="BL13" s="614"/>
      <c r="BM13" s="615"/>
      <c r="BN13" s="616"/>
      <c r="BO13" s="615"/>
      <c r="BP13" s="616"/>
      <c r="BQ13" s="615"/>
      <c r="BR13" s="616"/>
      <c r="BS13" s="615"/>
      <c r="BT13" s="616"/>
      <c r="BU13" s="615"/>
      <c r="BV13" s="616"/>
      <c r="BW13" s="615"/>
      <c r="BX13" s="616"/>
      <c r="BY13" s="615"/>
      <c r="BZ13" s="616"/>
      <c r="CA13" s="615"/>
      <c r="CB13" s="616"/>
      <c r="CC13" s="615"/>
      <c r="CD13" s="616"/>
      <c r="CE13" s="615"/>
      <c r="CF13" s="616"/>
      <c r="CG13" s="615"/>
      <c r="CH13" s="616"/>
      <c r="CI13" s="615"/>
      <c r="CJ13" s="616"/>
      <c r="CK13" s="615"/>
      <c r="CL13" s="616"/>
      <c r="CM13" s="615"/>
      <c r="CN13" s="616"/>
      <c r="CO13" s="615"/>
      <c r="CP13" s="616"/>
      <c r="CQ13" s="615"/>
      <c r="CR13" s="616"/>
      <c r="CS13" s="615"/>
      <c r="CT13" s="616"/>
      <c r="CU13" s="615"/>
      <c r="CV13" s="616"/>
      <c r="CW13" s="615"/>
      <c r="CX13" s="616"/>
      <c r="CY13" s="615"/>
      <c r="CZ13" s="616"/>
      <c r="DA13" s="615"/>
      <c r="DB13" s="616"/>
      <c r="DC13" s="615"/>
      <c r="DD13" s="616"/>
      <c r="DE13" s="617"/>
      <c r="DF13" s="555"/>
      <c r="DG13" s="545"/>
      <c r="DH13" s="609"/>
      <c r="DI13" s="610"/>
      <c r="DJ13" s="611"/>
      <c r="DK13" s="609"/>
      <c r="DL13" s="610"/>
      <c r="DM13" s="612"/>
      <c r="DN13" s="613"/>
      <c r="DO13" s="614"/>
      <c r="DP13" s="615"/>
      <c r="DQ13" s="616"/>
      <c r="DR13" s="615"/>
      <c r="DS13" s="616"/>
      <c r="DT13" s="615"/>
      <c r="DU13" s="616"/>
      <c r="DV13" s="615"/>
      <c r="DW13" s="616"/>
      <c r="DX13" s="615"/>
      <c r="DY13" s="616"/>
      <c r="DZ13" s="615"/>
      <c r="EA13" s="616"/>
      <c r="EB13" s="615"/>
      <c r="EC13" s="616"/>
      <c r="ED13" s="615"/>
      <c r="EE13" s="616"/>
      <c r="EF13" s="615"/>
      <c r="EG13" s="616"/>
      <c r="EH13" s="615"/>
      <c r="EI13" s="616"/>
      <c r="EJ13" s="615"/>
      <c r="EK13" s="616"/>
      <c r="EL13" s="615"/>
      <c r="EM13" s="616"/>
      <c r="EN13" s="615"/>
      <c r="EO13" s="616"/>
      <c r="EP13" s="615"/>
      <c r="EQ13" s="616"/>
      <c r="ER13" s="615"/>
      <c r="ES13" s="616"/>
      <c r="ET13" s="615"/>
      <c r="EU13" s="616"/>
      <c r="EV13" s="615"/>
      <c r="EW13" s="616"/>
      <c r="EX13" s="615"/>
      <c r="EY13" s="616"/>
      <c r="EZ13" s="615"/>
      <c r="FA13" s="616"/>
      <c r="FB13" s="615"/>
      <c r="FC13" s="616"/>
      <c r="FD13" s="615"/>
      <c r="FE13" s="616"/>
      <c r="FF13" s="615"/>
      <c r="FG13" s="616"/>
      <c r="FH13" s="617"/>
      <c r="FI13" s="556"/>
      <c r="FJ13" s="557"/>
      <c r="FK13" s="609"/>
      <c r="FL13" s="610"/>
      <c r="FM13" s="611"/>
      <c r="FN13" s="609"/>
      <c r="FO13" s="610"/>
      <c r="FP13" s="618"/>
      <c r="FQ13" s="614"/>
      <c r="FR13" s="613" t="s">
        <v>671</v>
      </c>
      <c r="FS13" s="619"/>
      <c r="FT13" s="614"/>
      <c r="FU13" s="620" t="s">
        <v>671</v>
      </c>
      <c r="FV13" s="586"/>
      <c r="FW13" s="587"/>
      <c r="FX13" s="588"/>
      <c r="FY13" s="589"/>
      <c r="FZ13" s="590"/>
      <c r="GA13" s="591"/>
      <c r="GB13" s="592"/>
      <c r="GC13" s="593"/>
      <c r="GD13" s="592"/>
      <c r="GE13" s="594"/>
      <c r="GF13" s="492"/>
      <c r="GG13" s="595"/>
      <c r="GH13" s="595"/>
      <c r="GI13" s="595"/>
      <c r="GJ13" s="410"/>
      <c r="GK13" s="621">
        <v>302</v>
      </c>
      <c r="GL13" s="622"/>
      <c r="GM13" s="623" t="s">
        <v>635</v>
      </c>
      <c r="GN13" s="624">
        <v>10.8</v>
      </c>
      <c r="GO13" s="625">
        <v>0</v>
      </c>
      <c r="GP13" s="625">
        <v>1</v>
      </c>
      <c r="GQ13" s="626">
        <v>0</v>
      </c>
      <c r="GR13" s="627">
        <v>10.8</v>
      </c>
      <c r="GS13" s="571"/>
      <c r="GT13" s="410"/>
      <c r="GU13" s="621">
        <v>302</v>
      </c>
      <c r="GV13" s="622"/>
      <c r="GW13" s="628" t="s">
        <v>692</v>
      </c>
      <c r="GX13" s="629">
        <v>10.8</v>
      </c>
      <c r="GY13" s="630"/>
      <c r="GZ13" s="631">
        <v>0.65</v>
      </c>
      <c r="HA13" s="632">
        <v>7.02</v>
      </c>
      <c r="HB13" s="633"/>
      <c r="HC13" s="523"/>
      <c r="HD13" s="792"/>
      <c r="HE13" s="434"/>
      <c r="HF13" s="383"/>
      <c r="HG13" s="383"/>
    </row>
    <row r="14" spans="1:353" ht="20.100000000000001" customHeight="1">
      <c r="A14" s="634"/>
      <c r="B14" s="635"/>
      <c r="C14" s="635"/>
      <c r="D14" s="636" t="s">
        <v>672</v>
      </c>
      <c r="E14" s="635"/>
      <c r="F14" s="635"/>
      <c r="G14" s="637"/>
      <c r="H14" s="638">
        <f>SUM(H10:H13)</f>
        <v>0</v>
      </c>
      <c r="I14" s="728"/>
      <c r="J14" s="638">
        <f>SUM(J10:J13)</f>
        <v>0</v>
      </c>
      <c r="K14" s="728"/>
      <c r="L14" s="638">
        <f>SUM(L10:L13)</f>
        <v>0</v>
      </c>
      <c r="M14" s="728"/>
      <c r="N14" s="638">
        <f>SUM(N10:N13)</f>
        <v>0</v>
      </c>
      <c r="O14" s="728"/>
      <c r="P14" s="638">
        <f>SUM(P10:P13)</f>
        <v>0</v>
      </c>
      <c r="Q14" s="728"/>
      <c r="R14" s="638">
        <f>SUM(R10:R13)</f>
        <v>0</v>
      </c>
      <c r="S14" s="728"/>
      <c r="T14" s="638">
        <f>SUM(T10:T13)</f>
        <v>0</v>
      </c>
      <c r="U14" s="728"/>
      <c r="V14" s="638">
        <f>SUM(V10:V13)</f>
        <v>0</v>
      </c>
      <c r="W14" s="728"/>
      <c r="X14" s="638">
        <f>SUM(X10:X13)</f>
        <v>490</v>
      </c>
      <c r="Y14" s="728"/>
      <c r="Z14" s="638">
        <f>SUM(Z10:Z13)</f>
        <v>545</v>
      </c>
      <c r="AA14" s="728"/>
      <c r="AB14" s="638">
        <f>SUM(AB10:AB13)</f>
        <v>840</v>
      </c>
      <c r="AC14" s="728"/>
      <c r="AD14" s="638">
        <f>SUM(AD10:AD13)</f>
        <v>1119</v>
      </c>
      <c r="AE14" s="728"/>
      <c r="AF14" s="638">
        <f>SUM(AF10:AF13)</f>
        <v>1258</v>
      </c>
      <c r="AG14" s="728"/>
      <c r="AH14" s="638">
        <f>SUM(AH10:AH13)</f>
        <v>1203</v>
      </c>
      <c r="AI14" s="728"/>
      <c r="AJ14" s="638">
        <f>SUM(AJ10:AJ13)</f>
        <v>971</v>
      </c>
      <c r="AK14" s="728"/>
      <c r="AL14" s="638">
        <f>SUM(AL10:AL13)</f>
        <v>642</v>
      </c>
      <c r="AM14" s="728"/>
      <c r="AN14" s="638">
        <f>SUM(AN10:AN13)</f>
        <v>321</v>
      </c>
      <c r="AO14" s="728"/>
      <c r="AP14" s="638">
        <f>SUM(AP10:AP13)</f>
        <v>68</v>
      </c>
      <c r="AQ14" s="728"/>
      <c r="AR14" s="638">
        <f>SUM(AR10:AR13)</f>
        <v>0</v>
      </c>
      <c r="AS14" s="728"/>
      <c r="AT14" s="638">
        <f>SUM(AT10:AT13)</f>
        <v>0</v>
      </c>
      <c r="AU14" s="728"/>
      <c r="AV14" s="638">
        <f>SUM(AV10:AV13)</f>
        <v>0</v>
      </c>
      <c r="AW14" s="728"/>
      <c r="AX14" s="638">
        <f>SUM(AX10:AX13)</f>
        <v>0</v>
      </c>
      <c r="AY14" s="728"/>
      <c r="AZ14" s="638">
        <f>SUM(AZ10:AZ13)</f>
        <v>0</v>
      </c>
      <c r="BA14" s="728"/>
      <c r="BB14" s="640">
        <f>SUM(BB10:BB13)</f>
        <v>0</v>
      </c>
      <c r="BC14" s="641"/>
      <c r="BD14" s="634"/>
      <c r="BE14" s="635"/>
      <c r="BF14" s="635"/>
      <c r="BG14" s="636" t="s">
        <v>672</v>
      </c>
      <c r="BH14" s="635"/>
      <c r="BI14" s="635"/>
      <c r="BJ14" s="637"/>
      <c r="BK14" s="638">
        <f>SUM(BK10:BK13)</f>
        <v>0</v>
      </c>
      <c r="BL14" s="728"/>
      <c r="BM14" s="638">
        <f>SUM(BM10:BM13)</f>
        <v>0</v>
      </c>
      <c r="BN14" s="728"/>
      <c r="BO14" s="638">
        <f>SUM(BO10:BO13)</f>
        <v>0</v>
      </c>
      <c r="BP14" s="728"/>
      <c r="BQ14" s="638">
        <f>SUM(BQ10:BQ13)</f>
        <v>0</v>
      </c>
      <c r="BR14" s="728"/>
      <c r="BS14" s="638">
        <f>SUM(BS10:BS13)</f>
        <v>0</v>
      </c>
      <c r="BT14" s="728"/>
      <c r="BU14" s="638">
        <f>SUM(BU10:BU13)</f>
        <v>0</v>
      </c>
      <c r="BV14" s="728"/>
      <c r="BW14" s="638">
        <f>SUM(BW10:BW13)</f>
        <v>0</v>
      </c>
      <c r="BX14" s="728"/>
      <c r="BY14" s="638">
        <f>SUM(BY10:BY13)</f>
        <v>0</v>
      </c>
      <c r="BZ14" s="728"/>
      <c r="CA14" s="638">
        <f>SUM(CA10:CA13)</f>
        <v>435</v>
      </c>
      <c r="CB14" s="728"/>
      <c r="CC14" s="638">
        <f>SUM(CC10:CC13)</f>
        <v>511</v>
      </c>
      <c r="CD14" s="728"/>
      <c r="CE14" s="638">
        <f>SUM(CE10:CE13)</f>
        <v>857</v>
      </c>
      <c r="CF14" s="728"/>
      <c r="CG14" s="638">
        <f>SUM(CG10:CG13)</f>
        <v>1178</v>
      </c>
      <c r="CH14" s="728"/>
      <c r="CI14" s="638">
        <f>SUM(CI10:CI13)</f>
        <v>1326</v>
      </c>
      <c r="CJ14" s="728"/>
      <c r="CK14" s="638">
        <f>SUM(CK10:CK13)</f>
        <v>1292</v>
      </c>
      <c r="CL14" s="728"/>
      <c r="CM14" s="638">
        <f>SUM(CM10:CM13)</f>
        <v>1094</v>
      </c>
      <c r="CN14" s="728"/>
      <c r="CO14" s="638">
        <f>SUM(CO10:CO13)</f>
        <v>760</v>
      </c>
      <c r="CP14" s="728"/>
      <c r="CQ14" s="638">
        <f>SUM(CQ10:CQ13)</f>
        <v>376</v>
      </c>
      <c r="CR14" s="728"/>
      <c r="CS14" s="638">
        <f>SUM(CS10:CS13)</f>
        <v>80</v>
      </c>
      <c r="CT14" s="728"/>
      <c r="CU14" s="638">
        <f>SUM(CU10:CU13)</f>
        <v>0</v>
      </c>
      <c r="CV14" s="728"/>
      <c r="CW14" s="638">
        <f>SUM(CW10:CW13)</f>
        <v>0</v>
      </c>
      <c r="CX14" s="728"/>
      <c r="CY14" s="638">
        <f>SUM(CY10:CY13)</f>
        <v>0</v>
      </c>
      <c r="CZ14" s="728"/>
      <c r="DA14" s="638">
        <f>SUM(DA10:DA13)</f>
        <v>0</v>
      </c>
      <c r="DB14" s="728"/>
      <c r="DC14" s="638">
        <f>SUM(DC10:DC13)</f>
        <v>0</v>
      </c>
      <c r="DD14" s="728"/>
      <c r="DE14" s="640">
        <f>SUM(DE10:DE13)</f>
        <v>0</v>
      </c>
      <c r="DF14" s="641"/>
      <c r="DG14" s="634"/>
      <c r="DH14" s="635"/>
      <c r="DI14" s="635"/>
      <c r="DJ14" s="636" t="s">
        <v>672</v>
      </c>
      <c r="DK14" s="635"/>
      <c r="DL14" s="635"/>
      <c r="DM14" s="637"/>
      <c r="DN14" s="638">
        <f>SUM(DN10:DN13)</f>
        <v>0</v>
      </c>
      <c r="DO14" s="728"/>
      <c r="DP14" s="638">
        <f>SUM(DP10:DP13)</f>
        <v>0</v>
      </c>
      <c r="DQ14" s="728"/>
      <c r="DR14" s="638">
        <f>SUM(DR10:DR13)</f>
        <v>0</v>
      </c>
      <c r="DS14" s="728"/>
      <c r="DT14" s="638">
        <f>SUM(DT10:DT13)</f>
        <v>0</v>
      </c>
      <c r="DU14" s="728"/>
      <c r="DV14" s="638">
        <f>SUM(DV10:DV13)</f>
        <v>0</v>
      </c>
      <c r="DW14" s="728"/>
      <c r="DX14" s="638">
        <f>SUM(DX10:DX13)</f>
        <v>0</v>
      </c>
      <c r="DY14" s="728"/>
      <c r="DZ14" s="638">
        <f>SUM(DZ10:DZ13)</f>
        <v>0</v>
      </c>
      <c r="EA14" s="728"/>
      <c r="EB14" s="638">
        <f>SUM(EB10:EB13)</f>
        <v>0</v>
      </c>
      <c r="EC14" s="728"/>
      <c r="ED14" s="638">
        <f>SUM(ED10:ED13)</f>
        <v>511</v>
      </c>
      <c r="EE14" s="728"/>
      <c r="EF14" s="638">
        <f>SUM(EF10:EF13)</f>
        <v>1149</v>
      </c>
      <c r="EG14" s="728"/>
      <c r="EH14" s="638">
        <f>SUM(EH10:EH13)</f>
        <v>1731</v>
      </c>
      <c r="EI14" s="728"/>
      <c r="EJ14" s="638">
        <f>SUM(EJ10:EJ13)</f>
        <v>2078</v>
      </c>
      <c r="EK14" s="728"/>
      <c r="EL14" s="638">
        <f>SUM(EL10:EL13)</f>
        <v>2154</v>
      </c>
      <c r="EM14" s="728"/>
      <c r="EN14" s="638">
        <f>SUM(EN10:EN13)</f>
        <v>2010</v>
      </c>
      <c r="EO14" s="728"/>
      <c r="EP14" s="638">
        <f>SUM(EP10:EP13)</f>
        <v>1630</v>
      </c>
      <c r="EQ14" s="728"/>
      <c r="ER14" s="638">
        <f>SUM(ER10:ER13)</f>
        <v>1085</v>
      </c>
      <c r="ES14" s="728"/>
      <c r="ET14" s="638">
        <f>SUM(ET10:ET13)</f>
        <v>439</v>
      </c>
      <c r="EU14" s="728"/>
      <c r="EV14" s="638">
        <f>SUM(EV10:EV13)</f>
        <v>-4</v>
      </c>
      <c r="EW14" s="728"/>
      <c r="EX14" s="638">
        <f>SUM(EX10:EX13)</f>
        <v>0</v>
      </c>
      <c r="EY14" s="728"/>
      <c r="EZ14" s="638">
        <f>SUM(EZ10:EZ13)</f>
        <v>0</v>
      </c>
      <c r="FA14" s="728"/>
      <c r="FB14" s="638">
        <f>SUM(FB10:FB13)</f>
        <v>0</v>
      </c>
      <c r="FC14" s="728"/>
      <c r="FD14" s="638">
        <f>SUM(FD10:FD13)</f>
        <v>0</v>
      </c>
      <c r="FE14" s="728"/>
      <c r="FF14" s="638">
        <f>SUM(FF10:FF13)</f>
        <v>0</v>
      </c>
      <c r="FG14" s="728"/>
      <c r="FH14" s="640">
        <f>SUM(FH10:FH13)</f>
        <v>0</v>
      </c>
      <c r="FI14" s="642"/>
      <c r="FJ14" s="557"/>
      <c r="FK14" s="635"/>
      <c r="FL14" s="635"/>
      <c r="FM14" s="636" t="s">
        <v>672</v>
      </c>
      <c r="FN14" s="635"/>
      <c r="FO14" s="635"/>
      <c r="FP14" s="643"/>
      <c r="FQ14" s="644"/>
      <c r="FR14" s="638">
        <f>SUM(FR10:FR13)</f>
        <v>0</v>
      </c>
      <c r="FS14" s="645"/>
      <c r="FT14" s="644"/>
      <c r="FU14" s="646">
        <f>SUM(FU10:FU13)</f>
        <v>0</v>
      </c>
      <c r="FV14" s="586"/>
      <c r="FW14" s="587"/>
      <c r="FX14" s="588"/>
      <c r="FY14" s="589"/>
      <c r="FZ14" s="590"/>
      <c r="GA14" s="591"/>
      <c r="GB14" s="592"/>
      <c r="GC14" s="593"/>
      <c r="GD14" s="592"/>
      <c r="GE14" s="594"/>
      <c r="GF14" s="647"/>
      <c r="GG14" s="648"/>
      <c r="GH14" s="648"/>
      <c r="GI14" s="648"/>
      <c r="GJ14" s="608"/>
      <c r="GK14" s="621"/>
      <c r="GL14" s="622"/>
      <c r="GM14" s="623"/>
      <c r="GN14" s="624"/>
      <c r="GO14" s="625"/>
      <c r="GP14" s="649"/>
      <c r="GQ14" s="626">
        <v>0</v>
      </c>
      <c r="GR14" s="627">
        <v>0</v>
      </c>
      <c r="GS14" s="608"/>
      <c r="GT14" s="650"/>
      <c r="GU14" s="621"/>
      <c r="GV14" s="622"/>
      <c r="GW14" s="628"/>
      <c r="GX14" s="629"/>
      <c r="GY14" s="630"/>
      <c r="GZ14" s="631"/>
      <c r="HA14" s="632">
        <v>0</v>
      </c>
      <c r="HB14" s="633"/>
      <c r="HC14" s="523"/>
      <c r="HD14" s="1471"/>
      <c r="HE14" s="412"/>
      <c r="HF14" s="412"/>
      <c r="HG14" s="412"/>
    </row>
    <row r="15" spans="1:353" ht="24" customHeight="1">
      <c r="A15" s="525" t="s">
        <v>278</v>
      </c>
      <c r="B15" s="651" t="s">
        <v>263</v>
      </c>
      <c r="C15" s="652" t="s">
        <v>264</v>
      </c>
      <c r="D15" s="653" t="s">
        <v>609</v>
      </c>
      <c r="E15" s="653" t="s">
        <v>280</v>
      </c>
      <c r="F15" s="654" t="s">
        <v>281</v>
      </c>
      <c r="G15" s="655" t="s">
        <v>542</v>
      </c>
      <c r="H15" s="656" t="s">
        <v>673</v>
      </c>
      <c r="I15" s="657" t="s">
        <v>284</v>
      </c>
      <c r="J15" s="656" t="s">
        <v>673</v>
      </c>
      <c r="K15" s="657" t="s">
        <v>284</v>
      </c>
      <c r="L15" s="656" t="s">
        <v>673</v>
      </c>
      <c r="M15" s="657" t="s">
        <v>284</v>
      </c>
      <c r="N15" s="656" t="s">
        <v>673</v>
      </c>
      <c r="O15" s="657" t="s">
        <v>284</v>
      </c>
      <c r="P15" s="656" t="s">
        <v>540</v>
      </c>
      <c r="Q15" s="657" t="s">
        <v>284</v>
      </c>
      <c r="R15" s="656" t="s">
        <v>539</v>
      </c>
      <c r="S15" s="657" t="s">
        <v>284</v>
      </c>
      <c r="T15" s="656" t="s">
        <v>539</v>
      </c>
      <c r="U15" s="657" t="s">
        <v>284</v>
      </c>
      <c r="V15" s="656" t="s">
        <v>673</v>
      </c>
      <c r="W15" s="657" t="s">
        <v>284</v>
      </c>
      <c r="X15" s="656" t="s">
        <v>673</v>
      </c>
      <c r="Y15" s="657" t="s">
        <v>284</v>
      </c>
      <c r="Z15" s="656" t="s">
        <v>673</v>
      </c>
      <c r="AA15" s="657" t="s">
        <v>284</v>
      </c>
      <c r="AB15" s="656" t="s">
        <v>673</v>
      </c>
      <c r="AC15" s="657" t="s">
        <v>284</v>
      </c>
      <c r="AD15" s="656" t="s">
        <v>673</v>
      </c>
      <c r="AE15" s="657" t="s">
        <v>284</v>
      </c>
      <c r="AF15" s="656" t="s">
        <v>540</v>
      </c>
      <c r="AG15" s="657" t="s">
        <v>284</v>
      </c>
      <c r="AH15" s="656" t="s">
        <v>539</v>
      </c>
      <c r="AI15" s="657" t="s">
        <v>284</v>
      </c>
      <c r="AJ15" s="656" t="s">
        <v>673</v>
      </c>
      <c r="AK15" s="657" t="s">
        <v>284</v>
      </c>
      <c r="AL15" s="656" t="s">
        <v>673</v>
      </c>
      <c r="AM15" s="657" t="s">
        <v>284</v>
      </c>
      <c r="AN15" s="656" t="s">
        <v>673</v>
      </c>
      <c r="AO15" s="657" t="s">
        <v>284</v>
      </c>
      <c r="AP15" s="656" t="s">
        <v>673</v>
      </c>
      <c r="AQ15" s="657" t="s">
        <v>284</v>
      </c>
      <c r="AR15" s="656" t="s">
        <v>673</v>
      </c>
      <c r="AS15" s="657" t="s">
        <v>284</v>
      </c>
      <c r="AT15" s="656" t="s">
        <v>540</v>
      </c>
      <c r="AU15" s="657" t="s">
        <v>284</v>
      </c>
      <c r="AV15" s="656" t="s">
        <v>539</v>
      </c>
      <c r="AW15" s="657" t="s">
        <v>284</v>
      </c>
      <c r="AX15" s="656" t="s">
        <v>673</v>
      </c>
      <c r="AY15" s="657" t="s">
        <v>284</v>
      </c>
      <c r="AZ15" s="656" t="s">
        <v>673</v>
      </c>
      <c r="BA15" s="657" t="s">
        <v>284</v>
      </c>
      <c r="BB15" s="658" t="s">
        <v>286</v>
      </c>
      <c r="BC15" s="659"/>
      <c r="BD15" s="525" t="s">
        <v>278</v>
      </c>
      <c r="BE15" s="651" t="s">
        <v>263</v>
      </c>
      <c r="BF15" s="652" t="s">
        <v>264</v>
      </c>
      <c r="BG15" s="653" t="s">
        <v>667</v>
      </c>
      <c r="BH15" s="653" t="s">
        <v>280</v>
      </c>
      <c r="BI15" s="654" t="s">
        <v>281</v>
      </c>
      <c r="BJ15" s="655" t="s">
        <v>674</v>
      </c>
      <c r="BK15" s="656" t="s">
        <v>673</v>
      </c>
      <c r="BL15" s="657" t="s">
        <v>284</v>
      </c>
      <c r="BM15" s="656" t="s">
        <v>540</v>
      </c>
      <c r="BN15" s="657" t="s">
        <v>284</v>
      </c>
      <c r="BO15" s="656" t="s">
        <v>539</v>
      </c>
      <c r="BP15" s="657" t="s">
        <v>284</v>
      </c>
      <c r="BQ15" s="656" t="s">
        <v>673</v>
      </c>
      <c r="BR15" s="657" t="s">
        <v>284</v>
      </c>
      <c r="BS15" s="656" t="s">
        <v>673</v>
      </c>
      <c r="BT15" s="657" t="s">
        <v>284</v>
      </c>
      <c r="BU15" s="656" t="s">
        <v>540</v>
      </c>
      <c r="BV15" s="657" t="s">
        <v>284</v>
      </c>
      <c r="BW15" s="656" t="s">
        <v>540</v>
      </c>
      <c r="BX15" s="657" t="s">
        <v>284</v>
      </c>
      <c r="BY15" s="656" t="s">
        <v>539</v>
      </c>
      <c r="BZ15" s="657" t="s">
        <v>284</v>
      </c>
      <c r="CA15" s="656" t="s">
        <v>673</v>
      </c>
      <c r="CB15" s="657" t="s">
        <v>284</v>
      </c>
      <c r="CC15" s="656" t="s">
        <v>673</v>
      </c>
      <c r="CD15" s="657" t="s">
        <v>284</v>
      </c>
      <c r="CE15" s="656" t="s">
        <v>675</v>
      </c>
      <c r="CF15" s="657" t="s">
        <v>284</v>
      </c>
      <c r="CG15" s="656" t="s">
        <v>673</v>
      </c>
      <c r="CH15" s="657" t="s">
        <v>284</v>
      </c>
      <c r="CI15" s="656" t="s">
        <v>539</v>
      </c>
      <c r="CJ15" s="657" t="s">
        <v>284</v>
      </c>
      <c r="CK15" s="656" t="s">
        <v>539</v>
      </c>
      <c r="CL15" s="657" t="s">
        <v>284</v>
      </c>
      <c r="CM15" s="656" t="s">
        <v>540</v>
      </c>
      <c r="CN15" s="657" t="s">
        <v>284</v>
      </c>
      <c r="CO15" s="656" t="s">
        <v>673</v>
      </c>
      <c r="CP15" s="657" t="s">
        <v>284</v>
      </c>
      <c r="CQ15" s="656" t="s">
        <v>540</v>
      </c>
      <c r="CR15" s="657" t="s">
        <v>284</v>
      </c>
      <c r="CS15" s="656" t="s">
        <v>673</v>
      </c>
      <c r="CT15" s="657" t="s">
        <v>284</v>
      </c>
      <c r="CU15" s="656" t="s">
        <v>540</v>
      </c>
      <c r="CV15" s="657" t="s">
        <v>284</v>
      </c>
      <c r="CW15" s="656" t="s">
        <v>673</v>
      </c>
      <c r="CX15" s="657" t="s">
        <v>284</v>
      </c>
      <c r="CY15" s="656" t="s">
        <v>673</v>
      </c>
      <c r="CZ15" s="657" t="s">
        <v>284</v>
      </c>
      <c r="DA15" s="656" t="s">
        <v>673</v>
      </c>
      <c r="DB15" s="657" t="s">
        <v>284</v>
      </c>
      <c r="DC15" s="656" t="s">
        <v>539</v>
      </c>
      <c r="DD15" s="657" t="s">
        <v>284</v>
      </c>
      <c r="DE15" s="658" t="s">
        <v>286</v>
      </c>
      <c r="DF15" s="659"/>
      <c r="DG15" s="525" t="s">
        <v>278</v>
      </c>
      <c r="DH15" s="660" t="s">
        <v>263</v>
      </c>
      <c r="DI15" s="661" t="s">
        <v>264</v>
      </c>
      <c r="DJ15" s="662" t="s">
        <v>541</v>
      </c>
      <c r="DK15" s="662" t="s">
        <v>280</v>
      </c>
      <c r="DL15" s="663" t="s">
        <v>281</v>
      </c>
      <c r="DM15" s="655" t="s">
        <v>676</v>
      </c>
      <c r="DN15" s="656" t="s">
        <v>673</v>
      </c>
      <c r="DO15" s="657" t="s">
        <v>284</v>
      </c>
      <c r="DP15" s="656" t="s">
        <v>673</v>
      </c>
      <c r="DQ15" s="657" t="s">
        <v>284</v>
      </c>
      <c r="DR15" s="656" t="s">
        <v>539</v>
      </c>
      <c r="DS15" s="657" t="s">
        <v>284</v>
      </c>
      <c r="DT15" s="656" t="s">
        <v>673</v>
      </c>
      <c r="DU15" s="657" t="s">
        <v>284</v>
      </c>
      <c r="DV15" s="656" t="s">
        <v>673</v>
      </c>
      <c r="DW15" s="657" t="s">
        <v>284</v>
      </c>
      <c r="DX15" s="656" t="s">
        <v>673</v>
      </c>
      <c r="DY15" s="657" t="s">
        <v>284</v>
      </c>
      <c r="DZ15" s="656" t="s">
        <v>673</v>
      </c>
      <c r="EA15" s="657" t="s">
        <v>284</v>
      </c>
      <c r="EB15" s="656" t="s">
        <v>673</v>
      </c>
      <c r="EC15" s="657" t="s">
        <v>284</v>
      </c>
      <c r="ED15" s="656" t="s">
        <v>540</v>
      </c>
      <c r="EE15" s="657" t="s">
        <v>284</v>
      </c>
      <c r="EF15" s="656" t="s">
        <v>673</v>
      </c>
      <c r="EG15" s="657" t="s">
        <v>284</v>
      </c>
      <c r="EH15" s="656" t="s">
        <v>673</v>
      </c>
      <c r="EI15" s="657" t="s">
        <v>284</v>
      </c>
      <c r="EJ15" s="656" t="s">
        <v>673</v>
      </c>
      <c r="EK15" s="657" t="s">
        <v>284</v>
      </c>
      <c r="EL15" s="656" t="s">
        <v>539</v>
      </c>
      <c r="EM15" s="657" t="s">
        <v>284</v>
      </c>
      <c r="EN15" s="656" t="s">
        <v>673</v>
      </c>
      <c r="EO15" s="657" t="s">
        <v>284</v>
      </c>
      <c r="EP15" s="656" t="s">
        <v>540</v>
      </c>
      <c r="EQ15" s="657" t="s">
        <v>284</v>
      </c>
      <c r="ER15" s="656" t="s">
        <v>539</v>
      </c>
      <c r="ES15" s="657" t="s">
        <v>284</v>
      </c>
      <c r="ET15" s="656" t="s">
        <v>540</v>
      </c>
      <c r="EU15" s="657" t="s">
        <v>284</v>
      </c>
      <c r="EV15" s="656" t="s">
        <v>673</v>
      </c>
      <c r="EW15" s="657" t="s">
        <v>284</v>
      </c>
      <c r="EX15" s="656" t="s">
        <v>539</v>
      </c>
      <c r="EY15" s="657" t="s">
        <v>284</v>
      </c>
      <c r="EZ15" s="656" t="s">
        <v>673</v>
      </c>
      <c r="FA15" s="657" t="s">
        <v>284</v>
      </c>
      <c r="FB15" s="656" t="s">
        <v>540</v>
      </c>
      <c r="FC15" s="657" t="s">
        <v>284</v>
      </c>
      <c r="FD15" s="656" t="s">
        <v>540</v>
      </c>
      <c r="FE15" s="657" t="s">
        <v>284</v>
      </c>
      <c r="FF15" s="656" t="s">
        <v>539</v>
      </c>
      <c r="FG15" s="657" t="s">
        <v>284</v>
      </c>
      <c r="FH15" s="658" t="s">
        <v>286</v>
      </c>
      <c r="FI15" s="664"/>
      <c r="FJ15" s="535" t="s">
        <v>278</v>
      </c>
      <c r="FK15" s="651" t="s">
        <v>263</v>
      </c>
      <c r="FL15" s="652" t="s">
        <v>264</v>
      </c>
      <c r="FM15" s="653" t="s">
        <v>667</v>
      </c>
      <c r="FN15" s="653" t="s">
        <v>280</v>
      </c>
      <c r="FO15" s="654" t="s">
        <v>281</v>
      </c>
      <c r="FP15" s="665" t="s">
        <v>272</v>
      </c>
      <c r="FQ15" s="666" t="s">
        <v>284</v>
      </c>
      <c r="FR15" s="656" t="s">
        <v>286</v>
      </c>
      <c r="FS15" s="667" t="s">
        <v>272</v>
      </c>
      <c r="FT15" s="666" t="s">
        <v>284</v>
      </c>
      <c r="FU15" s="668" t="s">
        <v>286</v>
      </c>
      <c r="FV15" s="586"/>
      <c r="FW15" s="587"/>
      <c r="FX15" s="588"/>
      <c r="FY15" s="589"/>
      <c r="FZ15" s="590"/>
      <c r="GA15" s="591"/>
      <c r="GB15" s="592"/>
      <c r="GC15" s="593"/>
      <c r="GD15" s="592"/>
      <c r="GE15" s="594"/>
      <c r="GF15" s="669"/>
      <c r="GG15" s="670"/>
      <c r="GH15" s="670"/>
      <c r="GI15" s="670"/>
      <c r="GJ15" s="522"/>
      <c r="GK15" s="621"/>
      <c r="GL15" s="622"/>
      <c r="GM15" s="623"/>
      <c r="GN15" s="624"/>
      <c r="GO15" s="625"/>
      <c r="GP15" s="649"/>
      <c r="GQ15" s="626">
        <v>0</v>
      </c>
      <c r="GR15" s="627">
        <v>0</v>
      </c>
      <c r="GS15" s="522"/>
      <c r="GT15" s="670"/>
      <c r="GU15" s="621"/>
      <c r="GV15" s="622"/>
      <c r="GW15" s="628"/>
      <c r="GX15" s="629"/>
      <c r="GY15" s="630"/>
      <c r="GZ15" s="631"/>
      <c r="HA15" s="632">
        <v>0</v>
      </c>
      <c r="HB15" s="633"/>
      <c r="HC15" s="671"/>
      <c r="HD15" s="659"/>
      <c r="HE15" s="412"/>
      <c r="HF15" s="412"/>
      <c r="HG15" s="412"/>
    </row>
    <row r="16" spans="1:353" ht="20.100000000000001" customHeight="1">
      <c r="A16" s="545"/>
      <c r="B16" s="547" t="s">
        <v>215</v>
      </c>
      <c r="C16" s="672" t="s">
        <v>74</v>
      </c>
      <c r="D16" s="548">
        <v>25.6</v>
      </c>
      <c r="E16" s="673">
        <v>1.02</v>
      </c>
      <c r="F16" s="674"/>
      <c r="G16" s="675">
        <v>0</v>
      </c>
      <c r="H16" s="552">
        <f>ROUND(25.6*1.02*0,0)</f>
        <v>0</v>
      </c>
      <c r="I16" s="676">
        <v>0</v>
      </c>
      <c r="J16" s="552">
        <f>ROUND(25.6*1.02*0,0)</f>
        <v>0</v>
      </c>
      <c r="K16" s="676">
        <v>0</v>
      </c>
      <c r="L16" s="552">
        <f>ROUND(25.6*1.02*0,0)</f>
        <v>0</v>
      </c>
      <c r="M16" s="676">
        <v>0</v>
      </c>
      <c r="N16" s="552">
        <f>ROUND(25.6*1.02*0,0)</f>
        <v>0</v>
      </c>
      <c r="O16" s="676">
        <v>0</v>
      </c>
      <c r="P16" s="552">
        <f>ROUND(25.6*1.02*0,0)</f>
        <v>0</v>
      </c>
      <c r="Q16" s="676">
        <v>0</v>
      </c>
      <c r="R16" s="552">
        <f>ROUND(25.6*1.02*0,0)</f>
        <v>0</v>
      </c>
      <c r="S16" s="676">
        <v>0</v>
      </c>
      <c r="T16" s="552">
        <f>ROUND(25.6*1.02*0,0)</f>
        <v>0</v>
      </c>
      <c r="U16" s="676">
        <v>0</v>
      </c>
      <c r="V16" s="552">
        <f>ROUND(25.6*1.02*0,0)</f>
        <v>0</v>
      </c>
      <c r="W16" s="676">
        <v>0</v>
      </c>
      <c r="X16" s="552">
        <f>ROUND(25.6*1.02*0,0)</f>
        <v>0</v>
      </c>
      <c r="Y16" s="676">
        <v>1.1000000000000001</v>
      </c>
      <c r="Z16" s="552">
        <f>ROUND(25.6*1.02*1.1,0)</f>
        <v>29</v>
      </c>
      <c r="AA16" s="676">
        <v>3.9</v>
      </c>
      <c r="AB16" s="552">
        <f>ROUND(25.6*1.02*3.9,0)</f>
        <v>102</v>
      </c>
      <c r="AC16" s="676">
        <v>6.8</v>
      </c>
      <c r="AD16" s="552">
        <f>ROUND(25.6*1.02*6.8,0)</f>
        <v>178</v>
      </c>
      <c r="AE16" s="676">
        <v>9.5</v>
      </c>
      <c r="AF16" s="552">
        <f>ROUND(25.6*1.02*9.5,0)</f>
        <v>248</v>
      </c>
      <c r="AG16" s="676">
        <v>11.6</v>
      </c>
      <c r="AH16" s="552">
        <f>ROUND(25.6*1.02*11.6,0)</f>
        <v>303</v>
      </c>
      <c r="AI16" s="676">
        <v>12.7</v>
      </c>
      <c r="AJ16" s="552">
        <f>ROUND(25.6*1.02*12.7,0)</f>
        <v>332</v>
      </c>
      <c r="AK16" s="676">
        <v>12.5</v>
      </c>
      <c r="AL16" s="552">
        <f>ROUND(25.6*1.02*12.5,0)</f>
        <v>326</v>
      </c>
      <c r="AM16" s="676">
        <v>11</v>
      </c>
      <c r="AN16" s="552">
        <f>ROUND(25.6*1.02*11,0)</f>
        <v>287</v>
      </c>
      <c r="AO16" s="676">
        <v>8.6999999999999993</v>
      </c>
      <c r="AP16" s="552">
        <f>ROUND(25.6*1.02*8.7,0)</f>
        <v>227</v>
      </c>
      <c r="AQ16" s="676">
        <v>0</v>
      </c>
      <c r="AR16" s="552">
        <f>ROUND(25.6*1.02*0,0)</f>
        <v>0</v>
      </c>
      <c r="AS16" s="676">
        <v>0</v>
      </c>
      <c r="AT16" s="552">
        <f>ROUND(25.6*1.02*0,0)</f>
        <v>0</v>
      </c>
      <c r="AU16" s="676">
        <v>0</v>
      </c>
      <c r="AV16" s="552">
        <f>ROUND(25.6*1.02*0,0)</f>
        <v>0</v>
      </c>
      <c r="AW16" s="676">
        <v>0</v>
      </c>
      <c r="AX16" s="552">
        <f>ROUND(25.6*1.02*0,0)</f>
        <v>0</v>
      </c>
      <c r="AY16" s="676">
        <v>0</v>
      </c>
      <c r="AZ16" s="552">
        <f>ROUND(25.6*1.02*0,0)</f>
        <v>0</v>
      </c>
      <c r="BA16" s="676">
        <v>0</v>
      </c>
      <c r="BB16" s="677">
        <f>ROUND(25.6*1.02*0,0)</f>
        <v>0</v>
      </c>
      <c r="BC16" s="555"/>
      <c r="BD16" s="545"/>
      <c r="BE16" s="547" t="s">
        <v>215</v>
      </c>
      <c r="BF16" s="672" t="s">
        <v>74</v>
      </c>
      <c r="BG16" s="548">
        <v>25.6</v>
      </c>
      <c r="BH16" s="673">
        <v>1.02</v>
      </c>
      <c r="BI16" s="674"/>
      <c r="BJ16" s="675">
        <v>0</v>
      </c>
      <c r="BK16" s="552">
        <f>ROUND(25.6*1.02*0,0)</f>
        <v>0</v>
      </c>
      <c r="BL16" s="676">
        <v>0</v>
      </c>
      <c r="BM16" s="552">
        <f>ROUND(25.6*1.02*0,0)</f>
        <v>0</v>
      </c>
      <c r="BN16" s="676">
        <v>0</v>
      </c>
      <c r="BO16" s="552">
        <f>ROUND(25.6*1.02*0,0)</f>
        <v>0</v>
      </c>
      <c r="BP16" s="676">
        <v>0</v>
      </c>
      <c r="BQ16" s="552">
        <f>ROUND(25.6*1.02*0,0)</f>
        <v>0</v>
      </c>
      <c r="BR16" s="676">
        <v>0</v>
      </c>
      <c r="BS16" s="552">
        <f>ROUND(25.6*1.02*0,0)</f>
        <v>0</v>
      </c>
      <c r="BT16" s="676">
        <v>0</v>
      </c>
      <c r="BU16" s="552">
        <f>ROUND(25.6*1.02*0,0)</f>
        <v>0</v>
      </c>
      <c r="BV16" s="676">
        <v>0</v>
      </c>
      <c r="BW16" s="552">
        <f>ROUND(25.6*1.02*0,0)</f>
        <v>0</v>
      </c>
      <c r="BX16" s="676">
        <v>0</v>
      </c>
      <c r="BY16" s="552">
        <f>ROUND(25.6*1.02*0,0)</f>
        <v>0</v>
      </c>
      <c r="BZ16" s="676">
        <v>0</v>
      </c>
      <c r="CA16" s="552">
        <f>ROUND(25.6*1.02*0,0)</f>
        <v>0</v>
      </c>
      <c r="CB16" s="676">
        <v>1.4</v>
      </c>
      <c r="CC16" s="552">
        <f>ROUND(25.6*1.02*1.4,0)</f>
        <v>37</v>
      </c>
      <c r="CD16" s="676">
        <v>4.5</v>
      </c>
      <c r="CE16" s="552">
        <f>ROUND(25.6*1.02*4.5,0)</f>
        <v>118</v>
      </c>
      <c r="CF16" s="676">
        <v>7.7</v>
      </c>
      <c r="CG16" s="552">
        <f>ROUND(25.6*1.02*7.7,0)</f>
        <v>201</v>
      </c>
      <c r="CH16" s="676">
        <v>10.6</v>
      </c>
      <c r="CI16" s="552">
        <f>ROUND(25.6*1.02*10.6,0)</f>
        <v>277</v>
      </c>
      <c r="CJ16" s="676">
        <v>12.8</v>
      </c>
      <c r="CK16" s="552">
        <f>ROUND(25.6*1.02*12.8,0)</f>
        <v>334</v>
      </c>
      <c r="CL16" s="676">
        <v>14</v>
      </c>
      <c r="CM16" s="552">
        <f>ROUND(25.6*1.02*14,0)</f>
        <v>366</v>
      </c>
      <c r="CN16" s="676">
        <v>14</v>
      </c>
      <c r="CO16" s="552">
        <f>ROUND(25.6*1.02*14,0)</f>
        <v>366</v>
      </c>
      <c r="CP16" s="676">
        <v>12.7</v>
      </c>
      <c r="CQ16" s="552">
        <f>ROUND(25.6*1.02*12.7,0)</f>
        <v>332</v>
      </c>
      <c r="CR16" s="676">
        <v>10.3</v>
      </c>
      <c r="CS16" s="552">
        <f>ROUND(25.6*1.02*10.3,0)</f>
        <v>269</v>
      </c>
      <c r="CT16" s="676">
        <v>0</v>
      </c>
      <c r="CU16" s="552">
        <f>ROUND(25.6*1.02*0,0)</f>
        <v>0</v>
      </c>
      <c r="CV16" s="676">
        <v>0</v>
      </c>
      <c r="CW16" s="552">
        <f>ROUND(25.6*1.02*0,0)</f>
        <v>0</v>
      </c>
      <c r="CX16" s="676">
        <v>0</v>
      </c>
      <c r="CY16" s="552">
        <f>ROUND(25.6*1.02*0,0)</f>
        <v>0</v>
      </c>
      <c r="CZ16" s="676">
        <v>0</v>
      </c>
      <c r="DA16" s="552">
        <f>ROUND(25.6*1.02*0,0)</f>
        <v>0</v>
      </c>
      <c r="DB16" s="676">
        <v>0</v>
      </c>
      <c r="DC16" s="552">
        <f>ROUND(25.6*1.02*0,0)</f>
        <v>0</v>
      </c>
      <c r="DD16" s="676">
        <v>0</v>
      </c>
      <c r="DE16" s="677">
        <f>ROUND(25.6*1.02*0,0)</f>
        <v>0</v>
      </c>
      <c r="DF16" s="555"/>
      <c r="DG16" s="545"/>
      <c r="DH16" s="547" t="s">
        <v>215</v>
      </c>
      <c r="DI16" s="672" t="s">
        <v>74</v>
      </c>
      <c r="DJ16" s="548">
        <v>25.6</v>
      </c>
      <c r="DK16" s="673">
        <v>1.02</v>
      </c>
      <c r="DL16" s="674"/>
      <c r="DM16" s="675">
        <v>0</v>
      </c>
      <c r="DN16" s="552">
        <f>ROUND(25.6*1.02*0,0)</f>
        <v>0</v>
      </c>
      <c r="DO16" s="676">
        <v>0</v>
      </c>
      <c r="DP16" s="552">
        <f>ROUND(25.6*1.02*0,0)</f>
        <v>0</v>
      </c>
      <c r="DQ16" s="676">
        <v>0</v>
      </c>
      <c r="DR16" s="552">
        <f>ROUND(25.6*1.02*0,0)</f>
        <v>0</v>
      </c>
      <c r="DS16" s="676">
        <v>0</v>
      </c>
      <c r="DT16" s="552">
        <f>ROUND(25.6*1.02*0,0)</f>
        <v>0</v>
      </c>
      <c r="DU16" s="676">
        <v>0</v>
      </c>
      <c r="DV16" s="552">
        <f>ROUND(25.6*1.02*0,0)</f>
        <v>0</v>
      </c>
      <c r="DW16" s="676">
        <v>0</v>
      </c>
      <c r="DX16" s="552">
        <f>ROUND(25.6*1.02*0,0)</f>
        <v>0</v>
      </c>
      <c r="DY16" s="676">
        <v>0</v>
      </c>
      <c r="DZ16" s="552">
        <f>ROUND(25.6*1.02*0,0)</f>
        <v>0</v>
      </c>
      <c r="EA16" s="676">
        <v>0</v>
      </c>
      <c r="EB16" s="552">
        <f>ROUND(25.6*1.02*0,0)</f>
        <v>0</v>
      </c>
      <c r="EC16" s="676">
        <v>0</v>
      </c>
      <c r="ED16" s="552">
        <f>ROUND(25.6*1.02*0,0)</f>
        <v>0</v>
      </c>
      <c r="EE16" s="676">
        <v>0</v>
      </c>
      <c r="EF16" s="552">
        <f>ROUND(25.6*1.02*0,0)</f>
        <v>0</v>
      </c>
      <c r="EG16" s="676">
        <v>2.8</v>
      </c>
      <c r="EH16" s="552">
        <f>ROUND(25.6*1.02*2.8,0)</f>
        <v>73</v>
      </c>
      <c r="EI16" s="676">
        <v>7.1</v>
      </c>
      <c r="EJ16" s="552">
        <f>ROUND(25.6*1.02*7.1,0)</f>
        <v>185</v>
      </c>
      <c r="EK16" s="676">
        <v>10.8</v>
      </c>
      <c r="EL16" s="552">
        <f>ROUND(25.6*1.02*10.8,0)</f>
        <v>282</v>
      </c>
      <c r="EM16" s="676">
        <v>13.2</v>
      </c>
      <c r="EN16" s="552">
        <f>ROUND(25.6*1.02*13.2,0)</f>
        <v>345</v>
      </c>
      <c r="EO16" s="676">
        <v>14.2</v>
      </c>
      <c r="EP16" s="552">
        <f>ROUND(25.6*1.02*14.2,0)</f>
        <v>371</v>
      </c>
      <c r="EQ16" s="676">
        <v>13.4</v>
      </c>
      <c r="ER16" s="552">
        <f>ROUND(25.6*1.02*13.4,0)</f>
        <v>350</v>
      </c>
      <c r="ES16" s="676">
        <v>10.9</v>
      </c>
      <c r="ET16" s="552">
        <f>ROUND(25.6*1.02*10.9,0)</f>
        <v>285</v>
      </c>
      <c r="EU16" s="676">
        <v>6.9</v>
      </c>
      <c r="EV16" s="552">
        <f>ROUND(25.6*1.02*6.9,0)</f>
        <v>180</v>
      </c>
      <c r="EW16" s="676">
        <v>0</v>
      </c>
      <c r="EX16" s="552">
        <f>ROUND(25.6*1.02*0,0)</f>
        <v>0</v>
      </c>
      <c r="EY16" s="676">
        <v>0</v>
      </c>
      <c r="EZ16" s="552">
        <f>ROUND(25.6*1.02*0,0)</f>
        <v>0</v>
      </c>
      <c r="FA16" s="676">
        <v>0</v>
      </c>
      <c r="FB16" s="552">
        <f>ROUND(25.6*1.02*0,0)</f>
        <v>0</v>
      </c>
      <c r="FC16" s="676">
        <v>0</v>
      </c>
      <c r="FD16" s="552">
        <f>ROUND(25.6*1.02*0,0)</f>
        <v>0</v>
      </c>
      <c r="FE16" s="676">
        <v>0</v>
      </c>
      <c r="FF16" s="552">
        <f>ROUND(25.6*1.02*0,0)</f>
        <v>0</v>
      </c>
      <c r="FG16" s="676">
        <v>0</v>
      </c>
      <c r="FH16" s="677">
        <f>ROUND(25.6*1.02*0,0)</f>
        <v>0</v>
      </c>
      <c r="FI16" s="556"/>
      <c r="FJ16" s="557"/>
      <c r="FK16" s="547" t="s">
        <v>215</v>
      </c>
      <c r="FL16" s="672" t="s">
        <v>74</v>
      </c>
      <c r="FM16" s="548">
        <v>25.6</v>
      </c>
      <c r="FN16" s="673">
        <v>1.02</v>
      </c>
      <c r="FO16" s="674"/>
      <c r="FP16" s="678">
        <v>9</v>
      </c>
      <c r="FQ16" s="679">
        <v>23.5</v>
      </c>
      <c r="FR16" s="552">
        <f>ROUND(25.6*1.02*23.5,0)</f>
        <v>614</v>
      </c>
      <c r="FS16" s="680">
        <v>9</v>
      </c>
      <c r="FT16" s="679">
        <v>23.9</v>
      </c>
      <c r="FU16" s="560">
        <f>ROUND(25.6*1.02*23.9,0)</f>
        <v>624</v>
      </c>
      <c r="FV16" s="586"/>
      <c r="FW16" s="587"/>
      <c r="FX16" s="588"/>
      <c r="FY16" s="589"/>
      <c r="FZ16" s="590"/>
      <c r="GA16" s="591"/>
      <c r="GB16" s="592"/>
      <c r="GC16" s="593"/>
      <c r="GD16" s="592"/>
      <c r="GE16" s="594"/>
      <c r="GF16" s="681"/>
      <c r="GG16" s="670"/>
      <c r="GH16" s="670"/>
      <c r="GI16" s="670"/>
      <c r="GJ16" s="410"/>
      <c r="GK16" s="621"/>
      <c r="GL16" s="622"/>
      <c r="GM16" s="623"/>
      <c r="GN16" s="624"/>
      <c r="GO16" s="625"/>
      <c r="GP16" s="649"/>
      <c r="GQ16" s="626">
        <v>0</v>
      </c>
      <c r="GR16" s="627">
        <v>0</v>
      </c>
      <c r="GS16" s="406"/>
      <c r="GT16" s="682"/>
      <c r="GU16" s="621"/>
      <c r="GV16" s="622"/>
      <c r="GW16" s="628"/>
      <c r="GX16" s="629"/>
      <c r="GY16" s="630"/>
      <c r="GZ16" s="631"/>
      <c r="HA16" s="632">
        <v>0</v>
      </c>
      <c r="HB16" s="633"/>
      <c r="HC16" s="683"/>
      <c r="HD16" s="412"/>
      <c r="HE16" s="412"/>
      <c r="HF16" s="412"/>
      <c r="HG16" s="412"/>
    </row>
    <row r="17" spans="1:218" ht="20.100000000000001" customHeight="1">
      <c r="A17" s="545"/>
      <c r="B17" s="575" t="s">
        <v>220</v>
      </c>
      <c r="C17" s="684" t="s">
        <v>74</v>
      </c>
      <c r="D17" s="576">
        <v>10.8</v>
      </c>
      <c r="E17" s="685" t="s">
        <v>615</v>
      </c>
      <c r="F17" s="686"/>
      <c r="G17" s="687">
        <v>0</v>
      </c>
      <c r="H17" s="580">
        <f>ROUND(10.8*2.4*0,0)</f>
        <v>0</v>
      </c>
      <c r="I17" s="688">
        <v>0</v>
      </c>
      <c r="J17" s="580">
        <f>ROUND(10.8*2.4*0,0)</f>
        <v>0</v>
      </c>
      <c r="K17" s="688">
        <v>0</v>
      </c>
      <c r="L17" s="580">
        <f>ROUND(10.8*2.4*0,0)</f>
        <v>0</v>
      </c>
      <c r="M17" s="688">
        <v>0</v>
      </c>
      <c r="N17" s="580">
        <f>ROUND(10.8*2.4*0,0)</f>
        <v>0</v>
      </c>
      <c r="O17" s="688">
        <v>0</v>
      </c>
      <c r="P17" s="580">
        <f>ROUND(10.8*2.4*0,0)</f>
        <v>0</v>
      </c>
      <c r="Q17" s="688">
        <v>0</v>
      </c>
      <c r="R17" s="580">
        <f>ROUND(10.8*2.4*0,0)</f>
        <v>0</v>
      </c>
      <c r="S17" s="688">
        <v>0</v>
      </c>
      <c r="T17" s="580">
        <f>ROUND(10.8*2.4*0,0)</f>
        <v>0</v>
      </c>
      <c r="U17" s="688">
        <v>0</v>
      </c>
      <c r="V17" s="580">
        <f>ROUND(10.8*2.4*0,0)</f>
        <v>0</v>
      </c>
      <c r="W17" s="688">
        <v>0</v>
      </c>
      <c r="X17" s="580">
        <f>ROUND(10.8*2.4*0,0)</f>
        <v>0</v>
      </c>
      <c r="Y17" s="688">
        <v>1</v>
      </c>
      <c r="Z17" s="580">
        <f>ROUND(10.8*2.4*1,0)</f>
        <v>26</v>
      </c>
      <c r="AA17" s="688">
        <v>2.1</v>
      </c>
      <c r="AB17" s="580">
        <f>ROUND(10.8*2.4*2.1,0)</f>
        <v>54</v>
      </c>
      <c r="AC17" s="688">
        <v>2.8</v>
      </c>
      <c r="AD17" s="580">
        <f>ROUND(10.8*2.4*2.8,0)</f>
        <v>73</v>
      </c>
      <c r="AE17" s="688">
        <v>3.6</v>
      </c>
      <c r="AF17" s="580">
        <f>ROUND(10.8*2.4*3.6,0)</f>
        <v>93</v>
      </c>
      <c r="AG17" s="688">
        <v>3.7</v>
      </c>
      <c r="AH17" s="580">
        <f>ROUND(10.8*2.4*3.7,0)</f>
        <v>96</v>
      </c>
      <c r="AI17" s="688">
        <v>3.6</v>
      </c>
      <c r="AJ17" s="580">
        <f>ROUND(10.8*2.4*3.6,0)</f>
        <v>93</v>
      </c>
      <c r="AK17" s="688">
        <v>3</v>
      </c>
      <c r="AL17" s="580">
        <f>ROUND(10.8*2.4*3,0)</f>
        <v>78</v>
      </c>
      <c r="AM17" s="688">
        <v>1.8</v>
      </c>
      <c r="AN17" s="580">
        <f>ROUND(10.8*2.4*1.8,0)</f>
        <v>47</v>
      </c>
      <c r="AO17" s="688">
        <v>0.60000000000000098</v>
      </c>
      <c r="AP17" s="580">
        <f>ROUND(10.8*2.4*0.600000000000001,0)</f>
        <v>16</v>
      </c>
      <c r="AQ17" s="688">
        <v>0</v>
      </c>
      <c r="AR17" s="580">
        <f>ROUND(10.8*2.4*0,0)</f>
        <v>0</v>
      </c>
      <c r="AS17" s="688">
        <v>0</v>
      </c>
      <c r="AT17" s="580">
        <f>ROUND(10.8*2.4*0,0)</f>
        <v>0</v>
      </c>
      <c r="AU17" s="688">
        <v>0</v>
      </c>
      <c r="AV17" s="580">
        <f>ROUND(10.8*2.4*0,0)</f>
        <v>0</v>
      </c>
      <c r="AW17" s="688">
        <v>0</v>
      </c>
      <c r="AX17" s="580">
        <f>ROUND(10.8*2.4*0,0)</f>
        <v>0</v>
      </c>
      <c r="AY17" s="688">
        <v>0</v>
      </c>
      <c r="AZ17" s="580">
        <f>ROUND(10.8*2.4*0,0)</f>
        <v>0</v>
      </c>
      <c r="BA17" s="688">
        <v>0</v>
      </c>
      <c r="BB17" s="582">
        <f>ROUND(10.8*2.4*0,0)</f>
        <v>0</v>
      </c>
      <c r="BC17" s="555"/>
      <c r="BD17" s="545"/>
      <c r="BE17" s="575" t="s">
        <v>220</v>
      </c>
      <c r="BF17" s="684" t="s">
        <v>74</v>
      </c>
      <c r="BG17" s="576">
        <v>10.8</v>
      </c>
      <c r="BH17" s="685" t="s">
        <v>615</v>
      </c>
      <c r="BI17" s="686"/>
      <c r="BJ17" s="687">
        <v>0</v>
      </c>
      <c r="BK17" s="580">
        <f>ROUND(10.8*2.4*0,0)</f>
        <v>0</v>
      </c>
      <c r="BL17" s="688">
        <v>0</v>
      </c>
      <c r="BM17" s="580">
        <f>ROUND(10.8*2.4*0,0)</f>
        <v>0</v>
      </c>
      <c r="BN17" s="688">
        <v>0</v>
      </c>
      <c r="BO17" s="580">
        <f>ROUND(10.8*2.4*0,0)</f>
        <v>0</v>
      </c>
      <c r="BP17" s="688">
        <v>0</v>
      </c>
      <c r="BQ17" s="580">
        <f>ROUND(10.8*2.4*0,0)</f>
        <v>0</v>
      </c>
      <c r="BR17" s="688">
        <v>0</v>
      </c>
      <c r="BS17" s="580">
        <f>ROUND(10.8*2.4*0,0)</f>
        <v>0</v>
      </c>
      <c r="BT17" s="688">
        <v>0</v>
      </c>
      <c r="BU17" s="580">
        <f>ROUND(10.8*2.4*0,0)</f>
        <v>0</v>
      </c>
      <c r="BV17" s="688">
        <v>0</v>
      </c>
      <c r="BW17" s="580">
        <f>ROUND(10.8*2.4*0,0)</f>
        <v>0</v>
      </c>
      <c r="BX17" s="688">
        <v>0</v>
      </c>
      <c r="BY17" s="580">
        <f>ROUND(10.8*2.4*0,0)</f>
        <v>0</v>
      </c>
      <c r="BZ17" s="688">
        <v>0.60000000000000098</v>
      </c>
      <c r="CA17" s="580">
        <f>ROUND(10.8*2.4*0.600000000000001,0)</f>
        <v>16</v>
      </c>
      <c r="CB17" s="688">
        <v>2.1</v>
      </c>
      <c r="CC17" s="580">
        <f>ROUND(10.8*2.4*2.1,0)</f>
        <v>54</v>
      </c>
      <c r="CD17" s="688">
        <v>2.9</v>
      </c>
      <c r="CE17" s="580">
        <f>ROUND(10.8*2.4*2.9,0)</f>
        <v>75</v>
      </c>
      <c r="CF17" s="688">
        <v>3.6</v>
      </c>
      <c r="CG17" s="580">
        <f>ROUND(10.8*2.4*3.6,0)</f>
        <v>93</v>
      </c>
      <c r="CH17" s="688">
        <v>4.2</v>
      </c>
      <c r="CI17" s="580">
        <f>ROUND(10.8*2.4*4.2,0)</f>
        <v>109</v>
      </c>
      <c r="CJ17" s="688">
        <v>4.5</v>
      </c>
      <c r="CK17" s="580">
        <f>ROUND(10.8*2.4*4.5,0)</f>
        <v>117</v>
      </c>
      <c r="CL17" s="688">
        <v>4.2</v>
      </c>
      <c r="CM17" s="580">
        <f>ROUND(10.8*2.4*4.2,0)</f>
        <v>109</v>
      </c>
      <c r="CN17" s="688">
        <v>3.9</v>
      </c>
      <c r="CO17" s="580">
        <f>ROUND(10.8*2.4*3.9,0)</f>
        <v>101</v>
      </c>
      <c r="CP17" s="688">
        <v>2.9</v>
      </c>
      <c r="CQ17" s="580">
        <f>ROUND(10.8*2.4*2.9,0)</f>
        <v>75</v>
      </c>
      <c r="CR17" s="688">
        <v>1.4</v>
      </c>
      <c r="CS17" s="580">
        <f>ROUND(10.8*2.4*1.4,0)</f>
        <v>36</v>
      </c>
      <c r="CT17" s="688">
        <v>0</v>
      </c>
      <c r="CU17" s="580">
        <f>ROUND(10.8*2.4*0,0)</f>
        <v>0</v>
      </c>
      <c r="CV17" s="688">
        <v>0</v>
      </c>
      <c r="CW17" s="580">
        <f>ROUND(10.8*2.4*0,0)</f>
        <v>0</v>
      </c>
      <c r="CX17" s="688">
        <v>0</v>
      </c>
      <c r="CY17" s="580">
        <f>ROUND(10.8*2.4*0,0)</f>
        <v>0</v>
      </c>
      <c r="CZ17" s="688">
        <v>0</v>
      </c>
      <c r="DA17" s="580">
        <f>ROUND(10.8*2.4*0,0)</f>
        <v>0</v>
      </c>
      <c r="DB17" s="688">
        <v>0</v>
      </c>
      <c r="DC17" s="580">
        <f>ROUND(10.8*2.4*0,0)</f>
        <v>0</v>
      </c>
      <c r="DD17" s="688">
        <v>0</v>
      </c>
      <c r="DE17" s="582">
        <f>ROUND(10.8*2.4*0,0)</f>
        <v>0</v>
      </c>
      <c r="DF17" s="555"/>
      <c r="DG17" s="545"/>
      <c r="DH17" s="575" t="s">
        <v>220</v>
      </c>
      <c r="DI17" s="684" t="s">
        <v>74</v>
      </c>
      <c r="DJ17" s="576">
        <v>10.8</v>
      </c>
      <c r="DK17" s="685" t="s">
        <v>615</v>
      </c>
      <c r="DL17" s="686"/>
      <c r="DM17" s="687">
        <v>0</v>
      </c>
      <c r="DN17" s="580">
        <f>ROUND(10.8*2.4*0,0)</f>
        <v>0</v>
      </c>
      <c r="DO17" s="688">
        <v>0</v>
      </c>
      <c r="DP17" s="580">
        <f>ROUND(10.8*2.4*0,0)</f>
        <v>0</v>
      </c>
      <c r="DQ17" s="688">
        <v>0</v>
      </c>
      <c r="DR17" s="580">
        <f>ROUND(10.8*2.4*0,0)</f>
        <v>0</v>
      </c>
      <c r="DS17" s="688">
        <v>0</v>
      </c>
      <c r="DT17" s="580">
        <f>ROUND(10.8*2.4*0,0)</f>
        <v>0</v>
      </c>
      <c r="DU17" s="688">
        <v>0</v>
      </c>
      <c r="DV17" s="580">
        <f>ROUND(10.8*2.4*0,0)</f>
        <v>0</v>
      </c>
      <c r="DW17" s="688">
        <v>0</v>
      </c>
      <c r="DX17" s="580">
        <f>ROUND(10.8*2.4*0,0)</f>
        <v>0</v>
      </c>
      <c r="DY17" s="688">
        <v>0</v>
      </c>
      <c r="DZ17" s="580">
        <f>ROUND(10.8*2.4*0,0)</f>
        <v>0</v>
      </c>
      <c r="EA17" s="688">
        <v>0</v>
      </c>
      <c r="EB17" s="580">
        <f>ROUND(10.8*2.4*0,0)</f>
        <v>0</v>
      </c>
      <c r="EC17" s="688">
        <v>0</v>
      </c>
      <c r="ED17" s="580">
        <f>ROUND(10.8*2.4*0,0)</f>
        <v>0</v>
      </c>
      <c r="EE17" s="688">
        <v>0</v>
      </c>
      <c r="EF17" s="580">
        <f>ROUND(10.8*2.4*0,0)</f>
        <v>0</v>
      </c>
      <c r="EG17" s="688">
        <v>0</v>
      </c>
      <c r="EH17" s="580">
        <f>ROUND(10.8*2.4*0,0)</f>
        <v>0</v>
      </c>
      <c r="EI17" s="688">
        <v>0</v>
      </c>
      <c r="EJ17" s="580">
        <f>ROUND(10.8*2.4*0,0)</f>
        <v>0</v>
      </c>
      <c r="EK17" s="688">
        <v>0</v>
      </c>
      <c r="EL17" s="580">
        <f>ROUND(10.8*2.4*0,0)</f>
        <v>0</v>
      </c>
      <c r="EM17" s="688">
        <v>0</v>
      </c>
      <c r="EN17" s="580">
        <f>ROUND(10.8*2.4*0,0)</f>
        <v>0</v>
      </c>
      <c r="EO17" s="688">
        <v>0</v>
      </c>
      <c r="EP17" s="580">
        <f>ROUND(10.8*2.4*0,0)</f>
        <v>0</v>
      </c>
      <c r="EQ17" s="688">
        <v>0</v>
      </c>
      <c r="ER17" s="580">
        <f>ROUND(10.8*2.4*0,0)</f>
        <v>0</v>
      </c>
      <c r="ES17" s="688">
        <v>0</v>
      </c>
      <c r="ET17" s="580">
        <f>ROUND(10.8*2.4*0,0)</f>
        <v>0</v>
      </c>
      <c r="EU17" s="688">
        <v>0</v>
      </c>
      <c r="EV17" s="580">
        <f>ROUND(10.8*2.4*0,0)</f>
        <v>0</v>
      </c>
      <c r="EW17" s="688">
        <v>0</v>
      </c>
      <c r="EX17" s="580">
        <f>ROUND(10.8*2.4*0,0)</f>
        <v>0</v>
      </c>
      <c r="EY17" s="688">
        <v>0</v>
      </c>
      <c r="EZ17" s="580">
        <f>ROUND(10.8*2.4*0,0)</f>
        <v>0</v>
      </c>
      <c r="FA17" s="688">
        <v>0</v>
      </c>
      <c r="FB17" s="580">
        <f>ROUND(10.8*2.4*0,0)</f>
        <v>0</v>
      </c>
      <c r="FC17" s="688">
        <v>0</v>
      </c>
      <c r="FD17" s="580">
        <f>ROUND(10.8*2.4*0,0)</f>
        <v>0</v>
      </c>
      <c r="FE17" s="688">
        <v>0</v>
      </c>
      <c r="FF17" s="580">
        <f>ROUND(10.8*2.4*0,0)</f>
        <v>0</v>
      </c>
      <c r="FG17" s="688">
        <v>0</v>
      </c>
      <c r="FH17" s="582">
        <f>ROUND(10.8*2.4*0,0)</f>
        <v>0</v>
      </c>
      <c r="FI17" s="556"/>
      <c r="FJ17" s="557"/>
      <c r="FK17" s="575" t="s">
        <v>220</v>
      </c>
      <c r="FL17" s="684" t="s">
        <v>74</v>
      </c>
      <c r="FM17" s="576">
        <v>10.8</v>
      </c>
      <c r="FN17" s="685" t="s">
        <v>615</v>
      </c>
      <c r="FO17" s="686"/>
      <c r="FP17" s="689">
        <v>9</v>
      </c>
      <c r="FQ17" s="690">
        <v>23.5</v>
      </c>
      <c r="FR17" s="580">
        <f>ROUND(10.8*2.4*23.5,0)</f>
        <v>609</v>
      </c>
      <c r="FS17" s="691">
        <v>9</v>
      </c>
      <c r="FT17" s="690">
        <v>23.9</v>
      </c>
      <c r="FU17" s="585">
        <f>ROUND(10.8*2.4*23.9,0)</f>
        <v>619</v>
      </c>
      <c r="FV17" s="586"/>
      <c r="FW17" s="587"/>
      <c r="FX17" s="588"/>
      <c r="FY17" s="589"/>
      <c r="FZ17" s="590"/>
      <c r="GA17" s="591"/>
      <c r="GB17" s="592"/>
      <c r="GC17" s="593"/>
      <c r="GD17" s="592"/>
      <c r="GE17" s="594"/>
      <c r="GF17" s="681"/>
      <c r="GG17" s="595"/>
      <c r="GH17" s="595"/>
      <c r="GI17" s="595"/>
      <c r="GJ17" s="573"/>
      <c r="GK17" s="621"/>
      <c r="GL17" s="622"/>
      <c r="GM17" s="623"/>
      <c r="GN17" s="624"/>
      <c r="GO17" s="625"/>
      <c r="GP17" s="649"/>
      <c r="GQ17" s="626">
        <v>0</v>
      </c>
      <c r="GR17" s="627">
        <v>0</v>
      </c>
      <c r="GS17" s="692"/>
      <c r="GT17" s="682"/>
      <c r="GU17" s="621"/>
      <c r="GV17" s="622"/>
      <c r="GW17" s="628"/>
      <c r="GX17" s="629"/>
      <c r="GY17" s="630"/>
      <c r="GZ17" s="631"/>
      <c r="HA17" s="632">
        <v>0</v>
      </c>
      <c r="HB17" s="633"/>
      <c r="HC17" s="523"/>
      <c r="HD17" s="412"/>
      <c r="HE17" s="412"/>
      <c r="HF17" s="412"/>
      <c r="HG17" s="412"/>
    </row>
    <row r="18" spans="1:218" ht="20.100000000000001" customHeight="1">
      <c r="A18" s="545"/>
      <c r="B18" s="693" t="s">
        <v>237</v>
      </c>
      <c r="C18" s="684"/>
      <c r="D18" s="576">
        <v>25.48</v>
      </c>
      <c r="E18" s="685">
        <v>2.35</v>
      </c>
      <c r="F18" s="686"/>
      <c r="G18" s="687">
        <v>0</v>
      </c>
      <c r="H18" s="580">
        <f>ROUND(25.48*2.35*0,0)</f>
        <v>0</v>
      </c>
      <c r="I18" s="688">
        <v>0</v>
      </c>
      <c r="J18" s="580">
        <f>ROUND(25.48*2.35*0,0)</f>
        <v>0</v>
      </c>
      <c r="K18" s="688">
        <v>0</v>
      </c>
      <c r="L18" s="580">
        <f>ROUND(25.48*2.35*0,0)</f>
        <v>0</v>
      </c>
      <c r="M18" s="688">
        <v>0</v>
      </c>
      <c r="N18" s="580">
        <f>ROUND(25.48*2.35*0,0)</f>
        <v>0</v>
      </c>
      <c r="O18" s="688">
        <v>0</v>
      </c>
      <c r="P18" s="580">
        <f>ROUND(25.48*2.35*0,0)</f>
        <v>0</v>
      </c>
      <c r="Q18" s="688">
        <v>0</v>
      </c>
      <c r="R18" s="580">
        <f>ROUND(25.48*2.35*0,0)</f>
        <v>0</v>
      </c>
      <c r="S18" s="688">
        <v>0</v>
      </c>
      <c r="T18" s="580">
        <f>ROUND(25.48*2.35*0,0)</f>
        <v>0</v>
      </c>
      <c r="U18" s="688">
        <v>0</v>
      </c>
      <c r="V18" s="580">
        <f>ROUND(25.48*2.35*0,0)</f>
        <v>0</v>
      </c>
      <c r="W18" s="688">
        <v>0</v>
      </c>
      <c r="X18" s="580">
        <f>ROUND(25.48*2.35*0,0)</f>
        <v>0</v>
      </c>
      <c r="Y18" s="688">
        <v>0.3</v>
      </c>
      <c r="Z18" s="580">
        <f>ROUND(25.48*2.35*0.3,0)</f>
        <v>18</v>
      </c>
      <c r="AA18" s="688">
        <v>0.6</v>
      </c>
      <c r="AB18" s="580">
        <f>ROUND(25.48*2.35*0.6,0)</f>
        <v>36</v>
      </c>
      <c r="AC18" s="688">
        <v>0.8</v>
      </c>
      <c r="AD18" s="580">
        <f>ROUND(25.48*2.35*0.8,0)</f>
        <v>48</v>
      </c>
      <c r="AE18" s="688">
        <v>1.1000000000000001</v>
      </c>
      <c r="AF18" s="580">
        <f>ROUND(25.48*2.35*1.1,0)</f>
        <v>66</v>
      </c>
      <c r="AG18" s="688">
        <v>1.1000000000000001</v>
      </c>
      <c r="AH18" s="580">
        <f>ROUND(25.48*2.35*1.1,0)</f>
        <v>66</v>
      </c>
      <c r="AI18" s="688">
        <v>1.1000000000000001</v>
      </c>
      <c r="AJ18" s="580">
        <f>ROUND(25.48*2.35*1.1,0)</f>
        <v>66</v>
      </c>
      <c r="AK18" s="688">
        <v>0.9</v>
      </c>
      <c r="AL18" s="580">
        <f>ROUND(25.48*2.35*0.9,0)</f>
        <v>54</v>
      </c>
      <c r="AM18" s="688">
        <v>0.5</v>
      </c>
      <c r="AN18" s="580">
        <f>ROUND(25.48*2.35*0.5,0)</f>
        <v>30</v>
      </c>
      <c r="AO18" s="688">
        <v>0.2</v>
      </c>
      <c r="AP18" s="580">
        <f>ROUND(25.48*2.35*0.2,0)</f>
        <v>12</v>
      </c>
      <c r="AQ18" s="688">
        <v>0</v>
      </c>
      <c r="AR18" s="580">
        <f>ROUND(25.48*2.35*0,0)</f>
        <v>0</v>
      </c>
      <c r="AS18" s="688">
        <v>0</v>
      </c>
      <c r="AT18" s="580">
        <f>ROUND(25.48*2.35*0,0)</f>
        <v>0</v>
      </c>
      <c r="AU18" s="688">
        <v>0</v>
      </c>
      <c r="AV18" s="580">
        <f>ROUND(25.48*2.35*0,0)</f>
        <v>0</v>
      </c>
      <c r="AW18" s="688">
        <v>0</v>
      </c>
      <c r="AX18" s="580">
        <f>ROUND(25.48*2.35*0,0)</f>
        <v>0</v>
      </c>
      <c r="AY18" s="688">
        <v>0</v>
      </c>
      <c r="AZ18" s="580">
        <f>ROUND(25.48*2.35*0,0)</f>
        <v>0</v>
      </c>
      <c r="BA18" s="688">
        <v>0</v>
      </c>
      <c r="BB18" s="582">
        <f>ROUND(25.48*2.35*0,0)</f>
        <v>0</v>
      </c>
      <c r="BC18" s="555"/>
      <c r="BD18" s="545"/>
      <c r="BE18" s="693" t="s">
        <v>237</v>
      </c>
      <c r="BF18" s="684"/>
      <c r="BG18" s="576">
        <v>25.48</v>
      </c>
      <c r="BH18" s="685">
        <v>2.35</v>
      </c>
      <c r="BI18" s="686"/>
      <c r="BJ18" s="687">
        <v>0</v>
      </c>
      <c r="BK18" s="580">
        <f>ROUND(25.48*2.35*0,0)</f>
        <v>0</v>
      </c>
      <c r="BL18" s="688">
        <v>0</v>
      </c>
      <c r="BM18" s="580">
        <f>ROUND(25.48*2.35*0,0)</f>
        <v>0</v>
      </c>
      <c r="BN18" s="688">
        <v>0</v>
      </c>
      <c r="BO18" s="580">
        <f>ROUND(25.48*2.35*0,0)</f>
        <v>0</v>
      </c>
      <c r="BP18" s="688">
        <v>0</v>
      </c>
      <c r="BQ18" s="580">
        <f>ROUND(25.48*2.35*0,0)</f>
        <v>0</v>
      </c>
      <c r="BR18" s="688">
        <v>0</v>
      </c>
      <c r="BS18" s="580">
        <f>ROUND(25.48*2.35*0,0)</f>
        <v>0</v>
      </c>
      <c r="BT18" s="688">
        <v>0</v>
      </c>
      <c r="BU18" s="580">
        <f>ROUND(25.48*2.35*0,0)</f>
        <v>0</v>
      </c>
      <c r="BV18" s="688">
        <v>0</v>
      </c>
      <c r="BW18" s="580">
        <f>ROUND(25.48*2.35*0,0)</f>
        <v>0</v>
      </c>
      <c r="BX18" s="688">
        <v>0</v>
      </c>
      <c r="BY18" s="580">
        <f>ROUND(25.48*2.35*0,0)</f>
        <v>0</v>
      </c>
      <c r="BZ18" s="688">
        <v>0.2</v>
      </c>
      <c r="CA18" s="580">
        <f>ROUND(25.48*2.35*0.2,0)</f>
        <v>12</v>
      </c>
      <c r="CB18" s="688">
        <v>0.6</v>
      </c>
      <c r="CC18" s="580">
        <f>ROUND(25.48*2.35*0.6,0)</f>
        <v>36</v>
      </c>
      <c r="CD18" s="688">
        <v>0.9</v>
      </c>
      <c r="CE18" s="580">
        <f>ROUND(25.48*2.35*0.9,0)</f>
        <v>54</v>
      </c>
      <c r="CF18" s="688">
        <v>1.1000000000000001</v>
      </c>
      <c r="CG18" s="580">
        <f>ROUND(25.48*2.35*1.1,0)</f>
        <v>66</v>
      </c>
      <c r="CH18" s="688">
        <v>1.3</v>
      </c>
      <c r="CI18" s="580">
        <f>ROUND(25.48*2.35*1.3,0)</f>
        <v>78</v>
      </c>
      <c r="CJ18" s="688">
        <v>1.3</v>
      </c>
      <c r="CK18" s="580">
        <f>ROUND(25.48*2.35*1.3,0)</f>
        <v>78</v>
      </c>
      <c r="CL18" s="688">
        <v>1.3</v>
      </c>
      <c r="CM18" s="580">
        <f>ROUND(25.48*2.35*1.3,0)</f>
        <v>78</v>
      </c>
      <c r="CN18" s="688">
        <v>1.2</v>
      </c>
      <c r="CO18" s="580">
        <f>ROUND(25.48*2.35*1.2,0)</f>
        <v>72</v>
      </c>
      <c r="CP18" s="688">
        <v>0.9</v>
      </c>
      <c r="CQ18" s="580">
        <f>ROUND(25.48*2.35*0.9,0)</f>
        <v>54</v>
      </c>
      <c r="CR18" s="688">
        <v>0.4</v>
      </c>
      <c r="CS18" s="580">
        <f>ROUND(25.48*2.35*0.4,0)</f>
        <v>24</v>
      </c>
      <c r="CT18" s="688">
        <v>0</v>
      </c>
      <c r="CU18" s="580">
        <f>ROUND(25.48*2.35*0,0)</f>
        <v>0</v>
      </c>
      <c r="CV18" s="688">
        <v>0</v>
      </c>
      <c r="CW18" s="580">
        <f>ROUND(25.48*2.35*0,0)</f>
        <v>0</v>
      </c>
      <c r="CX18" s="688">
        <v>0</v>
      </c>
      <c r="CY18" s="580">
        <f>ROUND(25.48*2.35*0,0)</f>
        <v>0</v>
      </c>
      <c r="CZ18" s="688">
        <v>0</v>
      </c>
      <c r="DA18" s="580">
        <f>ROUND(25.48*2.35*0,0)</f>
        <v>0</v>
      </c>
      <c r="DB18" s="688">
        <v>0</v>
      </c>
      <c r="DC18" s="580">
        <f>ROUND(25.48*2.35*0,0)</f>
        <v>0</v>
      </c>
      <c r="DD18" s="688">
        <v>0</v>
      </c>
      <c r="DE18" s="582">
        <f>ROUND(25.48*2.35*0,0)</f>
        <v>0</v>
      </c>
      <c r="DF18" s="555"/>
      <c r="DG18" s="545"/>
      <c r="DH18" s="693" t="s">
        <v>237</v>
      </c>
      <c r="DI18" s="684"/>
      <c r="DJ18" s="576">
        <v>25.48</v>
      </c>
      <c r="DK18" s="685">
        <v>2.35</v>
      </c>
      <c r="DL18" s="686"/>
      <c r="DM18" s="687">
        <v>0</v>
      </c>
      <c r="DN18" s="580">
        <f>ROUND(25.48*2.35*0,0)</f>
        <v>0</v>
      </c>
      <c r="DO18" s="688">
        <v>0</v>
      </c>
      <c r="DP18" s="580">
        <f>ROUND(25.48*2.35*0,0)</f>
        <v>0</v>
      </c>
      <c r="DQ18" s="688">
        <v>0</v>
      </c>
      <c r="DR18" s="580">
        <f>ROUND(25.48*2.35*0,0)</f>
        <v>0</v>
      </c>
      <c r="DS18" s="688">
        <v>0</v>
      </c>
      <c r="DT18" s="580">
        <f>ROUND(25.48*2.35*0,0)</f>
        <v>0</v>
      </c>
      <c r="DU18" s="688">
        <v>0</v>
      </c>
      <c r="DV18" s="580">
        <f>ROUND(25.48*2.35*0,0)</f>
        <v>0</v>
      </c>
      <c r="DW18" s="688">
        <v>0</v>
      </c>
      <c r="DX18" s="580">
        <f>ROUND(25.48*2.35*0,0)</f>
        <v>0</v>
      </c>
      <c r="DY18" s="688">
        <v>0</v>
      </c>
      <c r="DZ18" s="580">
        <f>ROUND(25.48*2.35*0,0)</f>
        <v>0</v>
      </c>
      <c r="EA18" s="688">
        <v>0</v>
      </c>
      <c r="EB18" s="580">
        <f>ROUND(25.48*2.35*0,0)</f>
        <v>0</v>
      </c>
      <c r="EC18" s="688">
        <v>0</v>
      </c>
      <c r="ED18" s="580">
        <f>ROUND(25.48*2.35*0,0)</f>
        <v>0</v>
      </c>
      <c r="EE18" s="688">
        <v>0</v>
      </c>
      <c r="EF18" s="580">
        <f>ROUND(25.48*2.35*0,0)</f>
        <v>0</v>
      </c>
      <c r="EG18" s="688">
        <v>0</v>
      </c>
      <c r="EH18" s="580">
        <f>ROUND(25.48*2.35*0,0)</f>
        <v>0</v>
      </c>
      <c r="EI18" s="688">
        <v>0</v>
      </c>
      <c r="EJ18" s="580">
        <f>ROUND(25.48*2.35*0,0)</f>
        <v>0</v>
      </c>
      <c r="EK18" s="688">
        <v>0</v>
      </c>
      <c r="EL18" s="580">
        <f>ROUND(25.48*2.35*0,0)</f>
        <v>0</v>
      </c>
      <c r="EM18" s="688">
        <v>0</v>
      </c>
      <c r="EN18" s="580">
        <f>ROUND(25.48*2.35*0,0)</f>
        <v>0</v>
      </c>
      <c r="EO18" s="688">
        <v>0</v>
      </c>
      <c r="EP18" s="580">
        <f>ROUND(25.48*2.35*0,0)</f>
        <v>0</v>
      </c>
      <c r="EQ18" s="688">
        <v>0</v>
      </c>
      <c r="ER18" s="580">
        <f>ROUND(25.48*2.35*0,0)</f>
        <v>0</v>
      </c>
      <c r="ES18" s="688">
        <v>0</v>
      </c>
      <c r="ET18" s="580">
        <f>ROUND(25.48*2.35*0,0)</f>
        <v>0</v>
      </c>
      <c r="EU18" s="688">
        <v>0</v>
      </c>
      <c r="EV18" s="580">
        <f>ROUND(25.48*2.35*0,0)</f>
        <v>0</v>
      </c>
      <c r="EW18" s="688">
        <v>0</v>
      </c>
      <c r="EX18" s="580">
        <f>ROUND(25.48*2.35*0,0)</f>
        <v>0</v>
      </c>
      <c r="EY18" s="688">
        <v>0</v>
      </c>
      <c r="EZ18" s="580">
        <f>ROUND(25.48*2.35*0,0)</f>
        <v>0</v>
      </c>
      <c r="FA18" s="688">
        <v>0</v>
      </c>
      <c r="FB18" s="580">
        <f>ROUND(25.48*2.35*0,0)</f>
        <v>0</v>
      </c>
      <c r="FC18" s="688">
        <v>0</v>
      </c>
      <c r="FD18" s="580">
        <f>ROUND(25.48*2.35*0,0)</f>
        <v>0</v>
      </c>
      <c r="FE18" s="688">
        <v>0</v>
      </c>
      <c r="FF18" s="580">
        <f>ROUND(25.48*2.35*0,0)</f>
        <v>0</v>
      </c>
      <c r="FG18" s="688">
        <v>0</v>
      </c>
      <c r="FH18" s="582">
        <f>ROUND(25.48*2.35*0,0)</f>
        <v>0</v>
      </c>
      <c r="FI18" s="556"/>
      <c r="FJ18" s="557"/>
      <c r="FK18" s="693" t="s">
        <v>237</v>
      </c>
      <c r="FL18" s="684"/>
      <c r="FM18" s="576">
        <v>25.48</v>
      </c>
      <c r="FN18" s="685">
        <v>2.35</v>
      </c>
      <c r="FO18" s="686"/>
      <c r="FP18" s="689">
        <v>9</v>
      </c>
      <c r="FQ18" s="690">
        <v>7</v>
      </c>
      <c r="FR18" s="580">
        <f>ROUND(25.48*2.35*7,0)</f>
        <v>419</v>
      </c>
      <c r="FS18" s="691">
        <v>9</v>
      </c>
      <c r="FT18" s="690">
        <v>7.2</v>
      </c>
      <c r="FU18" s="585">
        <f>ROUND(25.48*2.35*7.2,0)</f>
        <v>431</v>
      </c>
      <c r="FV18" s="586"/>
      <c r="FW18" s="587"/>
      <c r="FX18" s="588"/>
      <c r="FY18" s="589"/>
      <c r="FZ18" s="590"/>
      <c r="GA18" s="591"/>
      <c r="GB18" s="592"/>
      <c r="GC18" s="593"/>
      <c r="GD18" s="592"/>
      <c r="GE18" s="594"/>
      <c r="GF18" s="681"/>
      <c r="GG18" s="595"/>
      <c r="GH18" s="595"/>
      <c r="GI18" s="595"/>
      <c r="GJ18" s="406"/>
      <c r="GK18" s="621"/>
      <c r="GL18" s="622"/>
      <c r="GM18" s="623"/>
      <c r="GN18" s="624"/>
      <c r="GO18" s="625"/>
      <c r="GP18" s="649"/>
      <c r="GQ18" s="626">
        <v>0</v>
      </c>
      <c r="GR18" s="627">
        <v>0</v>
      </c>
      <c r="GS18" s="406"/>
      <c r="GT18" s="410"/>
      <c r="GU18" s="621"/>
      <c r="GV18" s="622"/>
      <c r="GW18" s="628"/>
      <c r="GX18" s="629"/>
      <c r="GY18" s="630"/>
      <c r="GZ18" s="631"/>
      <c r="HA18" s="632">
        <v>0</v>
      </c>
      <c r="HB18" s="633"/>
      <c r="HC18" s="572"/>
      <c r="HD18" s="555"/>
      <c r="HE18" s="412"/>
      <c r="HF18" s="412"/>
      <c r="HG18" s="412"/>
    </row>
    <row r="19" spans="1:218" ht="20.100000000000001" customHeight="1">
      <c r="A19" s="545"/>
      <c r="B19" s="693" t="s">
        <v>227</v>
      </c>
      <c r="C19" s="684"/>
      <c r="D19" s="576">
        <v>115.57</v>
      </c>
      <c r="E19" s="685">
        <v>0.47</v>
      </c>
      <c r="F19" s="686"/>
      <c r="G19" s="687">
        <v>0</v>
      </c>
      <c r="H19" s="580">
        <f>ROUND(115.57*0.47*0,0)</f>
        <v>0</v>
      </c>
      <c r="I19" s="688">
        <v>0</v>
      </c>
      <c r="J19" s="580">
        <f>ROUND(115.57*0.47*0,0)</f>
        <v>0</v>
      </c>
      <c r="K19" s="688">
        <v>0</v>
      </c>
      <c r="L19" s="580">
        <f>ROUND(115.57*0.47*0,0)</f>
        <v>0</v>
      </c>
      <c r="M19" s="688">
        <v>0</v>
      </c>
      <c r="N19" s="580">
        <f>ROUND(115.57*0.47*0,0)</f>
        <v>0</v>
      </c>
      <c r="O19" s="688">
        <v>0</v>
      </c>
      <c r="P19" s="580">
        <f>ROUND(115.57*0.47*0,0)</f>
        <v>0</v>
      </c>
      <c r="Q19" s="688">
        <v>0</v>
      </c>
      <c r="R19" s="580">
        <f>ROUND(115.57*0.47*0,0)</f>
        <v>0</v>
      </c>
      <c r="S19" s="688">
        <v>0</v>
      </c>
      <c r="T19" s="580">
        <f>ROUND(115.57*0.47*0,0)</f>
        <v>0</v>
      </c>
      <c r="U19" s="688">
        <v>0</v>
      </c>
      <c r="V19" s="580">
        <f>ROUND(115.57*0.47*0,0)</f>
        <v>0</v>
      </c>
      <c r="W19" s="688">
        <v>0</v>
      </c>
      <c r="X19" s="580">
        <f>ROUND(115.57*0.47*0,0)</f>
        <v>0</v>
      </c>
      <c r="Y19" s="688">
        <v>0</v>
      </c>
      <c r="Z19" s="580">
        <f>ROUND(115.57*0.47*0,0)</f>
        <v>0</v>
      </c>
      <c r="AA19" s="688">
        <v>0</v>
      </c>
      <c r="AB19" s="580">
        <f>ROUND(115.57*0.47*0,0)</f>
        <v>0</v>
      </c>
      <c r="AC19" s="688">
        <v>0</v>
      </c>
      <c r="AD19" s="580">
        <f>ROUND(115.57*0.47*0,0)</f>
        <v>0</v>
      </c>
      <c r="AE19" s="688">
        <v>0.1</v>
      </c>
      <c r="AF19" s="580">
        <f>ROUND(115.57*0.47*0.1,0)</f>
        <v>5</v>
      </c>
      <c r="AG19" s="688">
        <v>0.7</v>
      </c>
      <c r="AH19" s="580">
        <f>ROUND(115.57*0.47*0.7,0)</f>
        <v>38</v>
      </c>
      <c r="AI19" s="688">
        <v>1.6</v>
      </c>
      <c r="AJ19" s="580">
        <f>ROUND(115.57*0.47*1.6,0)</f>
        <v>87</v>
      </c>
      <c r="AK19" s="688">
        <v>2.5</v>
      </c>
      <c r="AL19" s="580">
        <f>ROUND(115.57*0.47*2.5,0)</f>
        <v>136</v>
      </c>
      <c r="AM19" s="688">
        <v>3.5</v>
      </c>
      <c r="AN19" s="580">
        <f>ROUND(115.57*0.47*3.5,0)</f>
        <v>190</v>
      </c>
      <c r="AO19" s="688">
        <v>4.4000000000000004</v>
      </c>
      <c r="AP19" s="580">
        <f>ROUND(115.57*0.47*4.4,0)</f>
        <v>239</v>
      </c>
      <c r="AQ19" s="688">
        <v>0</v>
      </c>
      <c r="AR19" s="580">
        <f>ROUND(115.57*0.47*0,0)</f>
        <v>0</v>
      </c>
      <c r="AS19" s="688">
        <v>0</v>
      </c>
      <c r="AT19" s="580">
        <f>ROUND(115.57*0.47*0,0)</f>
        <v>0</v>
      </c>
      <c r="AU19" s="688">
        <v>0</v>
      </c>
      <c r="AV19" s="580">
        <f>ROUND(115.57*0.47*0,0)</f>
        <v>0</v>
      </c>
      <c r="AW19" s="688">
        <v>0</v>
      </c>
      <c r="AX19" s="580">
        <f>ROUND(115.57*0.47*0,0)</f>
        <v>0</v>
      </c>
      <c r="AY19" s="688">
        <v>0</v>
      </c>
      <c r="AZ19" s="580">
        <f>ROUND(115.57*0.47*0,0)</f>
        <v>0</v>
      </c>
      <c r="BA19" s="688">
        <v>0</v>
      </c>
      <c r="BB19" s="582">
        <f>ROUND(115.57*0.47*0,0)</f>
        <v>0</v>
      </c>
      <c r="BC19" s="555"/>
      <c r="BD19" s="545"/>
      <c r="BE19" s="693" t="s">
        <v>227</v>
      </c>
      <c r="BF19" s="684"/>
      <c r="BG19" s="576">
        <v>115.57</v>
      </c>
      <c r="BH19" s="685">
        <v>0.47</v>
      </c>
      <c r="BI19" s="686"/>
      <c r="BJ19" s="687">
        <v>0</v>
      </c>
      <c r="BK19" s="580">
        <f>ROUND(115.57*0.47*0,0)</f>
        <v>0</v>
      </c>
      <c r="BL19" s="688">
        <v>0</v>
      </c>
      <c r="BM19" s="580">
        <f>ROUND(115.57*0.47*0,0)</f>
        <v>0</v>
      </c>
      <c r="BN19" s="688">
        <v>0</v>
      </c>
      <c r="BO19" s="580">
        <f>ROUND(115.57*0.47*0,0)</f>
        <v>0</v>
      </c>
      <c r="BP19" s="688">
        <v>0</v>
      </c>
      <c r="BQ19" s="580">
        <f>ROUND(115.57*0.47*0,0)</f>
        <v>0</v>
      </c>
      <c r="BR19" s="688">
        <v>0</v>
      </c>
      <c r="BS19" s="580">
        <f>ROUND(115.57*0.47*0,0)</f>
        <v>0</v>
      </c>
      <c r="BT19" s="688">
        <v>0</v>
      </c>
      <c r="BU19" s="580">
        <f>ROUND(115.57*0.47*0,0)</f>
        <v>0</v>
      </c>
      <c r="BV19" s="688">
        <v>0</v>
      </c>
      <c r="BW19" s="580">
        <f>ROUND(115.57*0.47*0,0)</f>
        <v>0</v>
      </c>
      <c r="BX19" s="688">
        <v>0</v>
      </c>
      <c r="BY19" s="580">
        <f>ROUND(115.57*0.47*0,0)</f>
        <v>0</v>
      </c>
      <c r="BZ19" s="688">
        <v>0</v>
      </c>
      <c r="CA19" s="580">
        <f>ROUND(115.57*0.47*0,0)</f>
        <v>0</v>
      </c>
      <c r="CB19" s="688">
        <v>0</v>
      </c>
      <c r="CC19" s="580">
        <f>ROUND(115.57*0.47*0,0)</f>
        <v>0</v>
      </c>
      <c r="CD19" s="688">
        <v>0</v>
      </c>
      <c r="CE19" s="580">
        <f>ROUND(115.57*0.47*0,0)</f>
        <v>0</v>
      </c>
      <c r="CF19" s="688">
        <v>0</v>
      </c>
      <c r="CG19" s="580">
        <f>ROUND(115.57*0.47*0,0)</f>
        <v>0</v>
      </c>
      <c r="CH19" s="688">
        <v>0.1</v>
      </c>
      <c r="CI19" s="580">
        <f>ROUND(115.57*0.47*0.1,0)</f>
        <v>5</v>
      </c>
      <c r="CJ19" s="688">
        <v>0.9</v>
      </c>
      <c r="CK19" s="580">
        <f>ROUND(115.57*0.47*0.9,0)</f>
        <v>49</v>
      </c>
      <c r="CL19" s="688">
        <v>1.8</v>
      </c>
      <c r="CM19" s="580">
        <f>ROUND(115.57*0.47*1.8,0)</f>
        <v>98</v>
      </c>
      <c r="CN19" s="688">
        <v>2.9</v>
      </c>
      <c r="CO19" s="580">
        <f>ROUND(115.57*0.47*2.9,0)</f>
        <v>158</v>
      </c>
      <c r="CP19" s="688">
        <v>4</v>
      </c>
      <c r="CQ19" s="580">
        <f>ROUND(115.57*0.47*4,0)</f>
        <v>217</v>
      </c>
      <c r="CR19" s="688">
        <v>4.9000000000000004</v>
      </c>
      <c r="CS19" s="580">
        <f>ROUND(115.57*0.47*4.9,0)</f>
        <v>266</v>
      </c>
      <c r="CT19" s="688">
        <v>0</v>
      </c>
      <c r="CU19" s="580">
        <f>ROUND(115.57*0.47*0,0)</f>
        <v>0</v>
      </c>
      <c r="CV19" s="688">
        <v>0</v>
      </c>
      <c r="CW19" s="580">
        <f>ROUND(115.57*0.47*0,0)</f>
        <v>0</v>
      </c>
      <c r="CX19" s="688">
        <v>0</v>
      </c>
      <c r="CY19" s="580">
        <f>ROUND(115.57*0.47*0,0)</f>
        <v>0</v>
      </c>
      <c r="CZ19" s="688">
        <v>0</v>
      </c>
      <c r="DA19" s="580">
        <f>ROUND(115.57*0.47*0,0)</f>
        <v>0</v>
      </c>
      <c r="DB19" s="688">
        <v>0</v>
      </c>
      <c r="DC19" s="580">
        <f>ROUND(115.57*0.47*0,0)</f>
        <v>0</v>
      </c>
      <c r="DD19" s="688">
        <v>0</v>
      </c>
      <c r="DE19" s="582">
        <f>ROUND(115.57*0.47*0,0)</f>
        <v>0</v>
      </c>
      <c r="DF19" s="555"/>
      <c r="DG19" s="545"/>
      <c r="DH19" s="693" t="s">
        <v>227</v>
      </c>
      <c r="DI19" s="684"/>
      <c r="DJ19" s="576">
        <v>115.57</v>
      </c>
      <c r="DK19" s="685">
        <v>0.47</v>
      </c>
      <c r="DL19" s="686"/>
      <c r="DM19" s="687">
        <v>0</v>
      </c>
      <c r="DN19" s="580">
        <f>ROUND(115.57*0.47*0,0)</f>
        <v>0</v>
      </c>
      <c r="DO19" s="688">
        <v>0</v>
      </c>
      <c r="DP19" s="580">
        <f>ROUND(115.57*0.47*0,0)</f>
        <v>0</v>
      </c>
      <c r="DQ19" s="688">
        <v>0</v>
      </c>
      <c r="DR19" s="580">
        <f>ROUND(115.57*0.47*0,0)</f>
        <v>0</v>
      </c>
      <c r="DS19" s="688">
        <v>0</v>
      </c>
      <c r="DT19" s="580">
        <f>ROUND(115.57*0.47*0,0)</f>
        <v>0</v>
      </c>
      <c r="DU19" s="688">
        <v>0</v>
      </c>
      <c r="DV19" s="580">
        <f>ROUND(115.57*0.47*0,0)</f>
        <v>0</v>
      </c>
      <c r="DW19" s="688">
        <v>0</v>
      </c>
      <c r="DX19" s="580">
        <f>ROUND(115.57*0.47*0,0)</f>
        <v>0</v>
      </c>
      <c r="DY19" s="688">
        <v>0</v>
      </c>
      <c r="DZ19" s="580">
        <f>ROUND(115.57*0.47*0,0)</f>
        <v>0</v>
      </c>
      <c r="EA19" s="688">
        <v>0</v>
      </c>
      <c r="EB19" s="580">
        <f>ROUND(115.57*0.47*0,0)</f>
        <v>0</v>
      </c>
      <c r="EC19" s="688">
        <v>0</v>
      </c>
      <c r="ED19" s="580">
        <f>ROUND(115.57*0.47*0,0)</f>
        <v>0</v>
      </c>
      <c r="EE19" s="688">
        <v>0</v>
      </c>
      <c r="EF19" s="580">
        <f>ROUND(115.57*0.47*0,0)</f>
        <v>0</v>
      </c>
      <c r="EG19" s="688">
        <v>0</v>
      </c>
      <c r="EH19" s="580">
        <f>ROUND(115.57*0.47*0,0)</f>
        <v>0</v>
      </c>
      <c r="EI19" s="688">
        <v>0</v>
      </c>
      <c r="EJ19" s="580">
        <f>ROUND(115.57*0.47*0,0)</f>
        <v>0</v>
      </c>
      <c r="EK19" s="688">
        <v>0</v>
      </c>
      <c r="EL19" s="580">
        <f>ROUND(115.57*0.47*0,0)</f>
        <v>0</v>
      </c>
      <c r="EM19" s="688">
        <v>0</v>
      </c>
      <c r="EN19" s="580">
        <f>ROUND(115.57*0.47*0,0)</f>
        <v>0</v>
      </c>
      <c r="EO19" s="688">
        <v>0</v>
      </c>
      <c r="EP19" s="580">
        <f>ROUND(115.57*0.47*0,0)</f>
        <v>0</v>
      </c>
      <c r="EQ19" s="688">
        <v>0</v>
      </c>
      <c r="ER19" s="580">
        <f>ROUND(115.57*0.47*0,0)</f>
        <v>0</v>
      </c>
      <c r="ES19" s="688">
        <v>1.3</v>
      </c>
      <c r="ET19" s="580">
        <f>ROUND(115.57*0.47*1.3,0)</f>
        <v>71</v>
      </c>
      <c r="EU19" s="688">
        <v>2.5</v>
      </c>
      <c r="EV19" s="580">
        <f>ROUND(115.57*0.47*2.5,0)</f>
        <v>136</v>
      </c>
      <c r="EW19" s="688">
        <v>0</v>
      </c>
      <c r="EX19" s="580">
        <f>ROUND(115.57*0.47*0,0)</f>
        <v>0</v>
      </c>
      <c r="EY19" s="688">
        <v>0</v>
      </c>
      <c r="EZ19" s="580">
        <f>ROUND(115.57*0.47*0,0)</f>
        <v>0</v>
      </c>
      <c r="FA19" s="688">
        <v>0</v>
      </c>
      <c r="FB19" s="580">
        <f>ROUND(115.57*0.47*0,0)</f>
        <v>0</v>
      </c>
      <c r="FC19" s="688">
        <v>0</v>
      </c>
      <c r="FD19" s="580">
        <f>ROUND(115.57*0.47*0,0)</f>
        <v>0</v>
      </c>
      <c r="FE19" s="688">
        <v>0</v>
      </c>
      <c r="FF19" s="580">
        <f>ROUND(115.57*0.47*0,0)</f>
        <v>0</v>
      </c>
      <c r="FG19" s="688">
        <v>0</v>
      </c>
      <c r="FH19" s="582">
        <f>ROUND(115.57*0.47*0,0)</f>
        <v>0</v>
      </c>
      <c r="FI19" s="556"/>
      <c r="FJ19" s="557"/>
      <c r="FK19" s="693" t="s">
        <v>227</v>
      </c>
      <c r="FL19" s="684"/>
      <c r="FM19" s="576">
        <v>115.57</v>
      </c>
      <c r="FN19" s="685">
        <v>0.47</v>
      </c>
      <c r="FO19" s="686"/>
      <c r="FP19" s="689">
        <v>9</v>
      </c>
      <c r="FQ19" s="690">
        <v>23.5</v>
      </c>
      <c r="FR19" s="580">
        <f>ROUND(115.57*0.47*23.5,0)</f>
        <v>1276</v>
      </c>
      <c r="FS19" s="691">
        <v>9</v>
      </c>
      <c r="FT19" s="690">
        <v>23.9</v>
      </c>
      <c r="FU19" s="585">
        <f>ROUND(115.57*0.47*23.9,0)</f>
        <v>1298</v>
      </c>
      <c r="FV19" s="586"/>
      <c r="FW19" s="587"/>
      <c r="FX19" s="588"/>
      <c r="FY19" s="589"/>
      <c r="FZ19" s="590"/>
      <c r="GA19" s="591"/>
      <c r="GB19" s="592"/>
      <c r="GC19" s="593"/>
      <c r="GD19" s="592"/>
      <c r="GE19" s="594"/>
      <c r="GF19" s="681"/>
      <c r="GG19" s="595"/>
      <c r="GH19" s="595"/>
      <c r="GI19" s="595"/>
      <c r="GJ19" s="406"/>
      <c r="GK19" s="621"/>
      <c r="GL19" s="622"/>
      <c r="GM19" s="623"/>
      <c r="GN19" s="624"/>
      <c r="GO19" s="625"/>
      <c r="GP19" s="649"/>
      <c r="GQ19" s="626">
        <v>0</v>
      </c>
      <c r="GR19" s="627">
        <v>0</v>
      </c>
      <c r="GS19" s="406"/>
      <c r="GT19" s="650"/>
      <c r="GU19" s="621"/>
      <c r="GV19" s="622"/>
      <c r="GW19" s="628"/>
      <c r="GX19" s="629"/>
      <c r="GY19" s="630"/>
      <c r="GZ19" s="631"/>
      <c r="HA19" s="632">
        <v>0</v>
      </c>
      <c r="HB19" s="633"/>
      <c r="HC19" s="522"/>
      <c r="HD19" s="555"/>
      <c r="HE19" s="412"/>
      <c r="HF19" s="412"/>
      <c r="HG19" s="412"/>
    </row>
    <row r="20" spans="1:218" ht="20.100000000000001" customHeight="1">
      <c r="A20" s="545"/>
      <c r="B20" s="693"/>
      <c r="C20" s="684"/>
      <c r="D20" s="576"/>
      <c r="E20" s="685"/>
      <c r="F20" s="686"/>
      <c r="G20" s="687"/>
      <c r="H20" s="580"/>
      <c r="I20" s="688"/>
      <c r="J20" s="580"/>
      <c r="K20" s="688"/>
      <c r="L20" s="580"/>
      <c r="M20" s="688"/>
      <c r="N20" s="580"/>
      <c r="O20" s="688"/>
      <c r="P20" s="580"/>
      <c r="Q20" s="688"/>
      <c r="R20" s="580"/>
      <c r="S20" s="688"/>
      <c r="T20" s="580"/>
      <c r="U20" s="688"/>
      <c r="V20" s="580"/>
      <c r="W20" s="688"/>
      <c r="X20" s="580"/>
      <c r="Y20" s="688"/>
      <c r="Z20" s="580"/>
      <c r="AA20" s="688"/>
      <c r="AB20" s="580"/>
      <c r="AC20" s="688"/>
      <c r="AD20" s="580"/>
      <c r="AE20" s="688"/>
      <c r="AF20" s="580"/>
      <c r="AG20" s="688"/>
      <c r="AH20" s="580"/>
      <c r="AI20" s="688"/>
      <c r="AJ20" s="580"/>
      <c r="AK20" s="688"/>
      <c r="AL20" s="580"/>
      <c r="AM20" s="688"/>
      <c r="AN20" s="580"/>
      <c r="AO20" s="688"/>
      <c r="AP20" s="580"/>
      <c r="AQ20" s="688"/>
      <c r="AR20" s="580"/>
      <c r="AS20" s="688"/>
      <c r="AT20" s="580"/>
      <c r="AU20" s="688"/>
      <c r="AV20" s="580"/>
      <c r="AW20" s="688"/>
      <c r="AX20" s="580"/>
      <c r="AY20" s="688"/>
      <c r="AZ20" s="580"/>
      <c r="BA20" s="688"/>
      <c r="BB20" s="582"/>
      <c r="BC20" s="555"/>
      <c r="BD20" s="545"/>
      <c r="BE20" s="693"/>
      <c r="BF20" s="684"/>
      <c r="BG20" s="576"/>
      <c r="BH20" s="685"/>
      <c r="BI20" s="686"/>
      <c r="BJ20" s="687"/>
      <c r="BK20" s="580"/>
      <c r="BL20" s="688"/>
      <c r="BM20" s="580"/>
      <c r="BN20" s="688"/>
      <c r="BO20" s="580"/>
      <c r="BP20" s="688"/>
      <c r="BQ20" s="580"/>
      <c r="BR20" s="688"/>
      <c r="BS20" s="580"/>
      <c r="BT20" s="688"/>
      <c r="BU20" s="580"/>
      <c r="BV20" s="688"/>
      <c r="BW20" s="580"/>
      <c r="BX20" s="688"/>
      <c r="BY20" s="580"/>
      <c r="BZ20" s="688"/>
      <c r="CA20" s="580"/>
      <c r="CB20" s="688"/>
      <c r="CC20" s="580"/>
      <c r="CD20" s="688"/>
      <c r="CE20" s="580"/>
      <c r="CF20" s="688"/>
      <c r="CG20" s="580"/>
      <c r="CH20" s="688"/>
      <c r="CI20" s="580"/>
      <c r="CJ20" s="688"/>
      <c r="CK20" s="580"/>
      <c r="CL20" s="688"/>
      <c r="CM20" s="580"/>
      <c r="CN20" s="688"/>
      <c r="CO20" s="580"/>
      <c r="CP20" s="688"/>
      <c r="CQ20" s="580"/>
      <c r="CR20" s="688"/>
      <c r="CS20" s="580"/>
      <c r="CT20" s="688"/>
      <c r="CU20" s="580"/>
      <c r="CV20" s="688"/>
      <c r="CW20" s="580"/>
      <c r="CX20" s="688"/>
      <c r="CY20" s="580"/>
      <c r="CZ20" s="688"/>
      <c r="DA20" s="580"/>
      <c r="DB20" s="688"/>
      <c r="DC20" s="580"/>
      <c r="DD20" s="688"/>
      <c r="DE20" s="582"/>
      <c r="DF20" s="555"/>
      <c r="DG20" s="545"/>
      <c r="DH20" s="693"/>
      <c r="DI20" s="684"/>
      <c r="DJ20" s="576"/>
      <c r="DK20" s="685"/>
      <c r="DL20" s="686"/>
      <c r="DM20" s="687"/>
      <c r="DN20" s="580"/>
      <c r="DO20" s="688"/>
      <c r="DP20" s="580"/>
      <c r="DQ20" s="688"/>
      <c r="DR20" s="580"/>
      <c r="DS20" s="688"/>
      <c r="DT20" s="580"/>
      <c r="DU20" s="688"/>
      <c r="DV20" s="580"/>
      <c r="DW20" s="688"/>
      <c r="DX20" s="580"/>
      <c r="DY20" s="688"/>
      <c r="DZ20" s="580"/>
      <c r="EA20" s="688"/>
      <c r="EB20" s="580"/>
      <c r="EC20" s="688"/>
      <c r="ED20" s="580"/>
      <c r="EE20" s="688"/>
      <c r="EF20" s="580"/>
      <c r="EG20" s="688"/>
      <c r="EH20" s="580"/>
      <c r="EI20" s="688"/>
      <c r="EJ20" s="580"/>
      <c r="EK20" s="688"/>
      <c r="EL20" s="580"/>
      <c r="EM20" s="688"/>
      <c r="EN20" s="580"/>
      <c r="EO20" s="688"/>
      <c r="EP20" s="580"/>
      <c r="EQ20" s="688"/>
      <c r="ER20" s="580"/>
      <c r="ES20" s="688"/>
      <c r="ET20" s="580"/>
      <c r="EU20" s="688"/>
      <c r="EV20" s="580"/>
      <c r="EW20" s="688"/>
      <c r="EX20" s="580"/>
      <c r="EY20" s="688"/>
      <c r="EZ20" s="580"/>
      <c r="FA20" s="688"/>
      <c r="FB20" s="580"/>
      <c r="FC20" s="688"/>
      <c r="FD20" s="580"/>
      <c r="FE20" s="688"/>
      <c r="FF20" s="580"/>
      <c r="FG20" s="688"/>
      <c r="FH20" s="582"/>
      <c r="FI20" s="556"/>
      <c r="FJ20" s="557"/>
      <c r="FK20" s="693"/>
      <c r="FL20" s="684"/>
      <c r="FM20" s="576"/>
      <c r="FN20" s="685"/>
      <c r="FO20" s="686"/>
      <c r="FP20" s="689"/>
      <c r="FQ20" s="690"/>
      <c r="FR20" s="580"/>
      <c r="FS20" s="691"/>
      <c r="FT20" s="690"/>
      <c r="FU20" s="585"/>
      <c r="FV20" s="586"/>
      <c r="FW20" s="587"/>
      <c r="FX20" s="588"/>
      <c r="FY20" s="589"/>
      <c r="FZ20" s="590"/>
      <c r="GA20" s="591"/>
      <c r="GB20" s="592"/>
      <c r="GC20" s="593"/>
      <c r="GD20" s="592"/>
      <c r="GE20" s="594"/>
      <c r="GF20" s="681"/>
      <c r="GG20" s="595"/>
      <c r="GH20" s="595"/>
      <c r="GI20" s="595"/>
      <c r="GJ20" s="406"/>
      <c r="GK20" s="621"/>
      <c r="GL20" s="622"/>
      <c r="GM20" s="623"/>
      <c r="GN20" s="624"/>
      <c r="GO20" s="625"/>
      <c r="GP20" s="649"/>
      <c r="GQ20" s="626">
        <v>0</v>
      </c>
      <c r="GR20" s="627">
        <v>0</v>
      </c>
      <c r="GS20" s="410"/>
      <c r="GT20" s="650"/>
      <c r="GU20" s="621"/>
      <c r="GV20" s="622"/>
      <c r="GW20" s="628"/>
      <c r="GX20" s="629"/>
      <c r="GY20" s="630"/>
      <c r="GZ20" s="631"/>
      <c r="HA20" s="632">
        <v>0</v>
      </c>
      <c r="HB20" s="633"/>
      <c r="HC20" s="406"/>
      <c r="HD20" s="555"/>
      <c r="HE20" s="412"/>
      <c r="HF20" s="412"/>
      <c r="HG20" s="412"/>
    </row>
    <row r="21" spans="1:218" ht="20.100000000000001" customHeight="1">
      <c r="A21" s="545"/>
      <c r="B21" s="693"/>
      <c r="C21" s="684"/>
      <c r="D21" s="576"/>
      <c r="E21" s="685"/>
      <c r="F21" s="686"/>
      <c r="G21" s="687"/>
      <c r="H21" s="580"/>
      <c r="I21" s="688"/>
      <c r="J21" s="580"/>
      <c r="K21" s="688"/>
      <c r="L21" s="580"/>
      <c r="M21" s="688"/>
      <c r="N21" s="580"/>
      <c r="O21" s="688"/>
      <c r="P21" s="580"/>
      <c r="Q21" s="688"/>
      <c r="R21" s="580"/>
      <c r="S21" s="688"/>
      <c r="T21" s="580"/>
      <c r="U21" s="688"/>
      <c r="V21" s="580"/>
      <c r="W21" s="688"/>
      <c r="X21" s="580"/>
      <c r="Y21" s="688"/>
      <c r="Z21" s="580"/>
      <c r="AA21" s="688"/>
      <c r="AB21" s="580"/>
      <c r="AC21" s="688"/>
      <c r="AD21" s="580"/>
      <c r="AE21" s="688"/>
      <c r="AF21" s="580"/>
      <c r="AG21" s="688"/>
      <c r="AH21" s="580"/>
      <c r="AI21" s="688"/>
      <c r="AJ21" s="580"/>
      <c r="AK21" s="688"/>
      <c r="AL21" s="580"/>
      <c r="AM21" s="688"/>
      <c r="AN21" s="580"/>
      <c r="AO21" s="688"/>
      <c r="AP21" s="580"/>
      <c r="AQ21" s="688"/>
      <c r="AR21" s="580"/>
      <c r="AS21" s="688"/>
      <c r="AT21" s="580"/>
      <c r="AU21" s="688"/>
      <c r="AV21" s="580"/>
      <c r="AW21" s="688"/>
      <c r="AX21" s="580"/>
      <c r="AY21" s="688"/>
      <c r="AZ21" s="580"/>
      <c r="BA21" s="688"/>
      <c r="BB21" s="582"/>
      <c r="BC21" s="555"/>
      <c r="BD21" s="545"/>
      <c r="BE21" s="693"/>
      <c r="BF21" s="684"/>
      <c r="BG21" s="576"/>
      <c r="BH21" s="685"/>
      <c r="BI21" s="686"/>
      <c r="BJ21" s="687"/>
      <c r="BK21" s="580"/>
      <c r="BL21" s="688"/>
      <c r="BM21" s="580"/>
      <c r="BN21" s="688"/>
      <c r="BO21" s="580"/>
      <c r="BP21" s="688"/>
      <c r="BQ21" s="580"/>
      <c r="BR21" s="688"/>
      <c r="BS21" s="580"/>
      <c r="BT21" s="688"/>
      <c r="BU21" s="580"/>
      <c r="BV21" s="688"/>
      <c r="BW21" s="580"/>
      <c r="BX21" s="688"/>
      <c r="BY21" s="580"/>
      <c r="BZ21" s="688"/>
      <c r="CA21" s="580"/>
      <c r="CB21" s="688"/>
      <c r="CC21" s="580"/>
      <c r="CD21" s="688"/>
      <c r="CE21" s="580"/>
      <c r="CF21" s="688"/>
      <c r="CG21" s="580"/>
      <c r="CH21" s="688"/>
      <c r="CI21" s="580"/>
      <c r="CJ21" s="688"/>
      <c r="CK21" s="580"/>
      <c r="CL21" s="688"/>
      <c r="CM21" s="580"/>
      <c r="CN21" s="688"/>
      <c r="CO21" s="580"/>
      <c r="CP21" s="688"/>
      <c r="CQ21" s="580"/>
      <c r="CR21" s="688"/>
      <c r="CS21" s="580"/>
      <c r="CT21" s="688"/>
      <c r="CU21" s="580"/>
      <c r="CV21" s="688"/>
      <c r="CW21" s="580"/>
      <c r="CX21" s="688"/>
      <c r="CY21" s="580"/>
      <c r="CZ21" s="688"/>
      <c r="DA21" s="580"/>
      <c r="DB21" s="688"/>
      <c r="DC21" s="580"/>
      <c r="DD21" s="688"/>
      <c r="DE21" s="582"/>
      <c r="DF21" s="555"/>
      <c r="DG21" s="545"/>
      <c r="DH21" s="693"/>
      <c r="DI21" s="684"/>
      <c r="DJ21" s="576"/>
      <c r="DK21" s="685"/>
      <c r="DL21" s="686"/>
      <c r="DM21" s="687"/>
      <c r="DN21" s="580"/>
      <c r="DO21" s="688"/>
      <c r="DP21" s="580"/>
      <c r="DQ21" s="688"/>
      <c r="DR21" s="580"/>
      <c r="DS21" s="688"/>
      <c r="DT21" s="580"/>
      <c r="DU21" s="688"/>
      <c r="DV21" s="580"/>
      <c r="DW21" s="688"/>
      <c r="DX21" s="580"/>
      <c r="DY21" s="688"/>
      <c r="DZ21" s="580"/>
      <c r="EA21" s="688"/>
      <c r="EB21" s="580"/>
      <c r="EC21" s="688"/>
      <c r="ED21" s="580"/>
      <c r="EE21" s="688"/>
      <c r="EF21" s="580"/>
      <c r="EG21" s="688"/>
      <c r="EH21" s="580"/>
      <c r="EI21" s="688"/>
      <c r="EJ21" s="580"/>
      <c r="EK21" s="688"/>
      <c r="EL21" s="580"/>
      <c r="EM21" s="688"/>
      <c r="EN21" s="580"/>
      <c r="EO21" s="688"/>
      <c r="EP21" s="580"/>
      <c r="EQ21" s="688"/>
      <c r="ER21" s="580"/>
      <c r="ES21" s="688"/>
      <c r="ET21" s="580"/>
      <c r="EU21" s="688"/>
      <c r="EV21" s="580"/>
      <c r="EW21" s="688"/>
      <c r="EX21" s="580"/>
      <c r="EY21" s="688"/>
      <c r="EZ21" s="580"/>
      <c r="FA21" s="688"/>
      <c r="FB21" s="580"/>
      <c r="FC21" s="688"/>
      <c r="FD21" s="580"/>
      <c r="FE21" s="688"/>
      <c r="FF21" s="580"/>
      <c r="FG21" s="688"/>
      <c r="FH21" s="582"/>
      <c r="FI21" s="556"/>
      <c r="FJ21" s="557"/>
      <c r="FK21" s="693"/>
      <c r="FL21" s="684"/>
      <c r="FM21" s="576"/>
      <c r="FN21" s="685"/>
      <c r="FO21" s="686"/>
      <c r="FP21" s="689"/>
      <c r="FQ21" s="690"/>
      <c r="FR21" s="580"/>
      <c r="FS21" s="691"/>
      <c r="FT21" s="690"/>
      <c r="FU21" s="585"/>
      <c r="FV21" s="586"/>
      <c r="FW21" s="587"/>
      <c r="FX21" s="588"/>
      <c r="FY21" s="589"/>
      <c r="FZ21" s="590"/>
      <c r="GA21" s="591"/>
      <c r="GB21" s="592"/>
      <c r="GC21" s="593"/>
      <c r="GD21" s="592"/>
      <c r="GE21" s="594"/>
      <c r="GF21" s="681"/>
      <c r="GG21" s="595"/>
      <c r="GH21" s="595"/>
      <c r="GI21" s="595"/>
      <c r="GJ21" s="406"/>
      <c r="GK21" s="694" t="s">
        <v>471</v>
      </c>
      <c r="GL21" s="695"/>
      <c r="GM21" s="696"/>
      <c r="GN21" s="631">
        <v>10.8</v>
      </c>
      <c r="GO21" s="697"/>
      <c r="GP21" s="698"/>
      <c r="GQ21" s="626">
        <v>0</v>
      </c>
      <c r="GR21" s="627">
        <v>10.8</v>
      </c>
      <c r="GS21" s="571"/>
      <c r="GT21" s="670"/>
      <c r="GU21" s="694" t="s">
        <v>472</v>
      </c>
      <c r="GV21" s="695"/>
      <c r="GW21" s="696"/>
      <c r="GX21" s="699">
        <v>10.8</v>
      </c>
      <c r="GY21" s="700"/>
      <c r="GZ21" s="697"/>
      <c r="HA21" s="701">
        <v>7.02</v>
      </c>
      <c r="HB21" s="702"/>
      <c r="HC21" s="703"/>
      <c r="HD21" s="555"/>
      <c r="HE21" s="608"/>
      <c r="HF21" s="608"/>
      <c r="HG21" s="412"/>
    </row>
    <row r="22" spans="1:218" ht="20.100000000000001" customHeight="1">
      <c r="A22" s="545"/>
      <c r="B22" s="693"/>
      <c r="C22" s="684"/>
      <c r="D22" s="576"/>
      <c r="E22" s="685"/>
      <c r="F22" s="686"/>
      <c r="G22" s="687"/>
      <c r="H22" s="580"/>
      <c r="I22" s="688"/>
      <c r="J22" s="580"/>
      <c r="K22" s="688"/>
      <c r="L22" s="580"/>
      <c r="M22" s="688"/>
      <c r="N22" s="580"/>
      <c r="O22" s="688"/>
      <c r="P22" s="580"/>
      <c r="Q22" s="688"/>
      <c r="R22" s="580"/>
      <c r="S22" s="688"/>
      <c r="T22" s="580"/>
      <c r="U22" s="688"/>
      <c r="V22" s="580"/>
      <c r="W22" s="688"/>
      <c r="X22" s="580"/>
      <c r="Y22" s="688"/>
      <c r="Z22" s="580"/>
      <c r="AA22" s="688"/>
      <c r="AB22" s="580"/>
      <c r="AC22" s="688"/>
      <c r="AD22" s="580"/>
      <c r="AE22" s="688"/>
      <c r="AF22" s="580"/>
      <c r="AG22" s="688"/>
      <c r="AH22" s="580"/>
      <c r="AI22" s="688"/>
      <c r="AJ22" s="580"/>
      <c r="AK22" s="688"/>
      <c r="AL22" s="580"/>
      <c r="AM22" s="688"/>
      <c r="AN22" s="580"/>
      <c r="AO22" s="688"/>
      <c r="AP22" s="580"/>
      <c r="AQ22" s="688"/>
      <c r="AR22" s="580"/>
      <c r="AS22" s="688"/>
      <c r="AT22" s="580"/>
      <c r="AU22" s="688"/>
      <c r="AV22" s="580"/>
      <c r="AW22" s="688"/>
      <c r="AX22" s="580"/>
      <c r="AY22" s="688"/>
      <c r="AZ22" s="580"/>
      <c r="BA22" s="688"/>
      <c r="BB22" s="582"/>
      <c r="BC22" s="555"/>
      <c r="BD22" s="545"/>
      <c r="BE22" s="693"/>
      <c r="BF22" s="684"/>
      <c r="BG22" s="576"/>
      <c r="BH22" s="685"/>
      <c r="BI22" s="686"/>
      <c r="BJ22" s="687"/>
      <c r="BK22" s="580"/>
      <c r="BL22" s="688"/>
      <c r="BM22" s="580"/>
      <c r="BN22" s="688"/>
      <c r="BO22" s="580"/>
      <c r="BP22" s="688"/>
      <c r="BQ22" s="580"/>
      <c r="BR22" s="688"/>
      <c r="BS22" s="580"/>
      <c r="BT22" s="688"/>
      <c r="BU22" s="580"/>
      <c r="BV22" s="688"/>
      <c r="BW22" s="580"/>
      <c r="BX22" s="688"/>
      <c r="BY22" s="580"/>
      <c r="BZ22" s="688"/>
      <c r="CA22" s="580"/>
      <c r="CB22" s="688"/>
      <c r="CC22" s="580"/>
      <c r="CD22" s="688"/>
      <c r="CE22" s="580"/>
      <c r="CF22" s="688"/>
      <c r="CG22" s="580"/>
      <c r="CH22" s="688"/>
      <c r="CI22" s="580"/>
      <c r="CJ22" s="688"/>
      <c r="CK22" s="580"/>
      <c r="CL22" s="688"/>
      <c r="CM22" s="580"/>
      <c r="CN22" s="688"/>
      <c r="CO22" s="580"/>
      <c r="CP22" s="688"/>
      <c r="CQ22" s="580"/>
      <c r="CR22" s="688"/>
      <c r="CS22" s="580"/>
      <c r="CT22" s="688"/>
      <c r="CU22" s="580"/>
      <c r="CV22" s="688"/>
      <c r="CW22" s="580"/>
      <c r="CX22" s="688"/>
      <c r="CY22" s="580"/>
      <c r="CZ22" s="688"/>
      <c r="DA22" s="580"/>
      <c r="DB22" s="688"/>
      <c r="DC22" s="580"/>
      <c r="DD22" s="688"/>
      <c r="DE22" s="582"/>
      <c r="DF22" s="555"/>
      <c r="DG22" s="545"/>
      <c r="DH22" s="693"/>
      <c r="DI22" s="684"/>
      <c r="DJ22" s="576"/>
      <c r="DK22" s="685"/>
      <c r="DL22" s="686"/>
      <c r="DM22" s="687"/>
      <c r="DN22" s="580"/>
      <c r="DO22" s="688"/>
      <c r="DP22" s="580"/>
      <c r="DQ22" s="688"/>
      <c r="DR22" s="580"/>
      <c r="DS22" s="688"/>
      <c r="DT22" s="580"/>
      <c r="DU22" s="688"/>
      <c r="DV22" s="580"/>
      <c r="DW22" s="688"/>
      <c r="DX22" s="580"/>
      <c r="DY22" s="688"/>
      <c r="DZ22" s="580"/>
      <c r="EA22" s="688"/>
      <c r="EB22" s="580"/>
      <c r="EC22" s="688"/>
      <c r="ED22" s="580"/>
      <c r="EE22" s="688"/>
      <c r="EF22" s="580"/>
      <c r="EG22" s="688"/>
      <c r="EH22" s="580"/>
      <c r="EI22" s="688"/>
      <c r="EJ22" s="580"/>
      <c r="EK22" s="688"/>
      <c r="EL22" s="580"/>
      <c r="EM22" s="688"/>
      <c r="EN22" s="580"/>
      <c r="EO22" s="688"/>
      <c r="EP22" s="580"/>
      <c r="EQ22" s="688"/>
      <c r="ER22" s="580"/>
      <c r="ES22" s="688"/>
      <c r="ET22" s="580"/>
      <c r="EU22" s="688"/>
      <c r="EV22" s="580"/>
      <c r="EW22" s="688"/>
      <c r="EX22" s="580"/>
      <c r="EY22" s="688"/>
      <c r="EZ22" s="580"/>
      <c r="FA22" s="688"/>
      <c r="FB22" s="580"/>
      <c r="FC22" s="688"/>
      <c r="FD22" s="580"/>
      <c r="FE22" s="688"/>
      <c r="FF22" s="580"/>
      <c r="FG22" s="688"/>
      <c r="FH22" s="582"/>
      <c r="FI22" s="556"/>
      <c r="FJ22" s="557"/>
      <c r="FK22" s="693"/>
      <c r="FL22" s="684"/>
      <c r="FM22" s="576"/>
      <c r="FN22" s="685"/>
      <c r="FO22" s="686"/>
      <c r="FP22" s="689"/>
      <c r="FQ22" s="690"/>
      <c r="FR22" s="580"/>
      <c r="FS22" s="691"/>
      <c r="FT22" s="690"/>
      <c r="FU22" s="585"/>
      <c r="FV22" s="586"/>
      <c r="FW22" s="587"/>
      <c r="FX22" s="588"/>
      <c r="FY22" s="589"/>
      <c r="FZ22" s="590"/>
      <c r="GA22" s="591"/>
      <c r="GB22" s="592"/>
      <c r="GC22" s="593"/>
      <c r="GD22" s="592"/>
      <c r="GE22" s="594"/>
      <c r="GF22" s="681"/>
      <c r="GG22" s="595"/>
      <c r="GH22" s="595"/>
      <c r="GI22" s="595"/>
      <c r="GJ22" s="523"/>
      <c r="GK22" s="704" t="s">
        <v>473</v>
      </c>
      <c r="GL22" s="705"/>
      <c r="GM22" s="705"/>
      <c r="GN22" s="706"/>
      <c r="GO22" s="626">
        <v>0</v>
      </c>
      <c r="GP22" s="626">
        <v>1</v>
      </c>
      <c r="GQ22" s="707"/>
      <c r="GR22" s="708"/>
      <c r="GS22" s="571"/>
      <c r="GT22" s="670"/>
      <c r="GU22" s="704" t="s">
        <v>473</v>
      </c>
      <c r="GV22" s="705"/>
      <c r="GW22" s="705"/>
      <c r="GX22" s="705"/>
      <c r="GY22" s="706"/>
      <c r="GZ22" s="626">
        <v>0.65</v>
      </c>
      <c r="HA22" s="709"/>
      <c r="HB22" s="710"/>
      <c r="HC22" s="410"/>
      <c r="HD22" s="555"/>
      <c r="HE22" s="412"/>
      <c r="HF22" s="412"/>
      <c r="HG22" s="412"/>
    </row>
    <row r="23" spans="1:218" ht="20.100000000000001" customHeight="1">
      <c r="A23" s="545"/>
      <c r="B23" s="693"/>
      <c r="C23" s="684"/>
      <c r="D23" s="576"/>
      <c r="E23" s="685"/>
      <c r="F23" s="686"/>
      <c r="G23" s="687"/>
      <c r="H23" s="580"/>
      <c r="I23" s="688"/>
      <c r="J23" s="580"/>
      <c r="K23" s="688"/>
      <c r="L23" s="580"/>
      <c r="M23" s="688"/>
      <c r="N23" s="580"/>
      <c r="O23" s="688"/>
      <c r="P23" s="580"/>
      <c r="Q23" s="688"/>
      <c r="R23" s="580"/>
      <c r="S23" s="688"/>
      <c r="T23" s="580"/>
      <c r="U23" s="688"/>
      <c r="V23" s="580"/>
      <c r="W23" s="688"/>
      <c r="X23" s="580"/>
      <c r="Y23" s="688"/>
      <c r="Z23" s="580"/>
      <c r="AA23" s="688"/>
      <c r="AB23" s="580"/>
      <c r="AC23" s="688"/>
      <c r="AD23" s="580"/>
      <c r="AE23" s="688"/>
      <c r="AF23" s="580"/>
      <c r="AG23" s="688"/>
      <c r="AH23" s="580"/>
      <c r="AI23" s="688"/>
      <c r="AJ23" s="580"/>
      <c r="AK23" s="688"/>
      <c r="AL23" s="580"/>
      <c r="AM23" s="688"/>
      <c r="AN23" s="580"/>
      <c r="AO23" s="688"/>
      <c r="AP23" s="580"/>
      <c r="AQ23" s="688"/>
      <c r="AR23" s="580"/>
      <c r="AS23" s="688"/>
      <c r="AT23" s="580"/>
      <c r="AU23" s="688"/>
      <c r="AV23" s="580"/>
      <c r="AW23" s="688"/>
      <c r="AX23" s="580"/>
      <c r="AY23" s="688"/>
      <c r="AZ23" s="580"/>
      <c r="BA23" s="688"/>
      <c r="BB23" s="582"/>
      <c r="BC23" s="555"/>
      <c r="BD23" s="545"/>
      <c r="BE23" s="693"/>
      <c r="BF23" s="684"/>
      <c r="BG23" s="576"/>
      <c r="BH23" s="685"/>
      <c r="BI23" s="686"/>
      <c r="BJ23" s="687"/>
      <c r="BK23" s="580"/>
      <c r="BL23" s="688"/>
      <c r="BM23" s="580"/>
      <c r="BN23" s="688"/>
      <c r="BO23" s="580"/>
      <c r="BP23" s="688"/>
      <c r="BQ23" s="580"/>
      <c r="BR23" s="688"/>
      <c r="BS23" s="580"/>
      <c r="BT23" s="688"/>
      <c r="BU23" s="580"/>
      <c r="BV23" s="688"/>
      <c r="BW23" s="580"/>
      <c r="BX23" s="688"/>
      <c r="BY23" s="580"/>
      <c r="BZ23" s="688"/>
      <c r="CA23" s="580"/>
      <c r="CB23" s="688"/>
      <c r="CC23" s="580"/>
      <c r="CD23" s="688"/>
      <c r="CE23" s="580"/>
      <c r="CF23" s="688"/>
      <c r="CG23" s="580"/>
      <c r="CH23" s="688"/>
      <c r="CI23" s="580"/>
      <c r="CJ23" s="688"/>
      <c r="CK23" s="580"/>
      <c r="CL23" s="688"/>
      <c r="CM23" s="580"/>
      <c r="CN23" s="688"/>
      <c r="CO23" s="580"/>
      <c r="CP23" s="688"/>
      <c r="CQ23" s="580"/>
      <c r="CR23" s="688"/>
      <c r="CS23" s="580"/>
      <c r="CT23" s="688"/>
      <c r="CU23" s="580"/>
      <c r="CV23" s="688"/>
      <c r="CW23" s="580"/>
      <c r="CX23" s="688"/>
      <c r="CY23" s="580"/>
      <c r="CZ23" s="688"/>
      <c r="DA23" s="580"/>
      <c r="DB23" s="688"/>
      <c r="DC23" s="580"/>
      <c r="DD23" s="688"/>
      <c r="DE23" s="582"/>
      <c r="DF23" s="555"/>
      <c r="DG23" s="545"/>
      <c r="DH23" s="693"/>
      <c r="DI23" s="684"/>
      <c r="DJ23" s="576"/>
      <c r="DK23" s="685"/>
      <c r="DL23" s="686"/>
      <c r="DM23" s="687"/>
      <c r="DN23" s="580"/>
      <c r="DO23" s="688"/>
      <c r="DP23" s="580"/>
      <c r="DQ23" s="688"/>
      <c r="DR23" s="580"/>
      <c r="DS23" s="688"/>
      <c r="DT23" s="580"/>
      <c r="DU23" s="688"/>
      <c r="DV23" s="580"/>
      <c r="DW23" s="688"/>
      <c r="DX23" s="580"/>
      <c r="DY23" s="688"/>
      <c r="DZ23" s="580"/>
      <c r="EA23" s="688"/>
      <c r="EB23" s="580"/>
      <c r="EC23" s="688"/>
      <c r="ED23" s="580"/>
      <c r="EE23" s="688"/>
      <c r="EF23" s="580"/>
      <c r="EG23" s="688"/>
      <c r="EH23" s="580"/>
      <c r="EI23" s="688"/>
      <c r="EJ23" s="580"/>
      <c r="EK23" s="688"/>
      <c r="EL23" s="580"/>
      <c r="EM23" s="688"/>
      <c r="EN23" s="580"/>
      <c r="EO23" s="688"/>
      <c r="EP23" s="580"/>
      <c r="EQ23" s="688"/>
      <c r="ER23" s="580"/>
      <c r="ES23" s="688"/>
      <c r="ET23" s="580"/>
      <c r="EU23" s="688"/>
      <c r="EV23" s="580"/>
      <c r="EW23" s="688"/>
      <c r="EX23" s="580"/>
      <c r="EY23" s="688"/>
      <c r="EZ23" s="580"/>
      <c r="FA23" s="688"/>
      <c r="FB23" s="580"/>
      <c r="FC23" s="688"/>
      <c r="FD23" s="580"/>
      <c r="FE23" s="688"/>
      <c r="FF23" s="580"/>
      <c r="FG23" s="688"/>
      <c r="FH23" s="582"/>
      <c r="FI23" s="556"/>
      <c r="FJ23" s="557"/>
      <c r="FK23" s="693"/>
      <c r="FL23" s="684"/>
      <c r="FM23" s="576"/>
      <c r="FN23" s="685"/>
      <c r="FO23" s="686"/>
      <c r="FP23" s="689"/>
      <c r="FQ23" s="690"/>
      <c r="FR23" s="580"/>
      <c r="FS23" s="691"/>
      <c r="FT23" s="690"/>
      <c r="FU23" s="585"/>
      <c r="FV23" s="586"/>
      <c r="FW23" s="587"/>
      <c r="FX23" s="588"/>
      <c r="FY23" s="589"/>
      <c r="FZ23" s="590"/>
      <c r="GA23" s="591"/>
      <c r="GB23" s="592"/>
      <c r="GC23" s="593"/>
      <c r="GD23" s="592"/>
      <c r="GE23" s="594"/>
      <c r="GF23" s="681"/>
      <c r="GG23" s="595"/>
      <c r="GH23" s="595"/>
      <c r="GI23" s="595"/>
      <c r="GJ23" s="608"/>
      <c r="GK23" s="573" t="s">
        <v>474</v>
      </c>
      <c r="GL23" s="602"/>
      <c r="GM23" s="711"/>
      <c r="GN23" s="712">
        <v>115.57</v>
      </c>
      <c r="GO23" s="493" t="s">
        <v>475</v>
      </c>
      <c r="GP23" s="712"/>
      <c r="GQ23" s="602"/>
      <c r="GR23" s="608"/>
      <c r="GS23" s="571"/>
      <c r="GT23" s="670"/>
      <c r="GU23" s="602"/>
      <c r="GV23" s="523"/>
      <c r="GW23" s="602"/>
      <c r="GX23" s="602"/>
      <c r="GY23" s="713"/>
      <c r="GZ23" s="714"/>
      <c r="HA23" s="410"/>
      <c r="HB23" s="714" t="s">
        <v>476</v>
      </c>
      <c r="HC23" s="608"/>
      <c r="HD23" s="555"/>
      <c r="HE23" s="410"/>
      <c r="HF23" s="410"/>
      <c r="HG23" s="412"/>
    </row>
    <row r="24" spans="1:218" ht="20.100000000000001" customHeight="1">
      <c r="A24" s="545"/>
      <c r="B24" s="693"/>
      <c r="C24" s="684"/>
      <c r="D24" s="576"/>
      <c r="E24" s="685"/>
      <c r="F24" s="686"/>
      <c r="G24" s="687"/>
      <c r="H24" s="580"/>
      <c r="I24" s="688"/>
      <c r="J24" s="580"/>
      <c r="K24" s="688"/>
      <c r="L24" s="580"/>
      <c r="M24" s="688"/>
      <c r="N24" s="580"/>
      <c r="O24" s="688"/>
      <c r="P24" s="580"/>
      <c r="Q24" s="688"/>
      <c r="R24" s="580"/>
      <c r="S24" s="688"/>
      <c r="T24" s="580"/>
      <c r="U24" s="688"/>
      <c r="V24" s="580"/>
      <c r="W24" s="688"/>
      <c r="X24" s="580"/>
      <c r="Y24" s="688"/>
      <c r="Z24" s="580"/>
      <c r="AA24" s="688"/>
      <c r="AB24" s="580"/>
      <c r="AC24" s="688"/>
      <c r="AD24" s="580"/>
      <c r="AE24" s="688"/>
      <c r="AF24" s="580"/>
      <c r="AG24" s="688"/>
      <c r="AH24" s="580"/>
      <c r="AI24" s="688"/>
      <c r="AJ24" s="580"/>
      <c r="AK24" s="688"/>
      <c r="AL24" s="580"/>
      <c r="AM24" s="688"/>
      <c r="AN24" s="580"/>
      <c r="AO24" s="688"/>
      <c r="AP24" s="580"/>
      <c r="AQ24" s="688"/>
      <c r="AR24" s="580"/>
      <c r="AS24" s="688"/>
      <c r="AT24" s="580"/>
      <c r="AU24" s="688"/>
      <c r="AV24" s="580"/>
      <c r="AW24" s="688"/>
      <c r="AX24" s="580"/>
      <c r="AY24" s="688"/>
      <c r="AZ24" s="580"/>
      <c r="BA24" s="688"/>
      <c r="BB24" s="582"/>
      <c r="BC24" s="555"/>
      <c r="BD24" s="545"/>
      <c r="BE24" s="693"/>
      <c r="BF24" s="684"/>
      <c r="BG24" s="576"/>
      <c r="BH24" s="685"/>
      <c r="BI24" s="686"/>
      <c r="BJ24" s="687"/>
      <c r="BK24" s="580"/>
      <c r="BL24" s="688"/>
      <c r="BM24" s="580"/>
      <c r="BN24" s="688"/>
      <c r="BO24" s="580"/>
      <c r="BP24" s="688"/>
      <c r="BQ24" s="580"/>
      <c r="BR24" s="688"/>
      <c r="BS24" s="580"/>
      <c r="BT24" s="688"/>
      <c r="BU24" s="580"/>
      <c r="BV24" s="688"/>
      <c r="BW24" s="580"/>
      <c r="BX24" s="688"/>
      <c r="BY24" s="580"/>
      <c r="BZ24" s="688"/>
      <c r="CA24" s="580"/>
      <c r="CB24" s="688"/>
      <c r="CC24" s="580"/>
      <c r="CD24" s="688"/>
      <c r="CE24" s="580"/>
      <c r="CF24" s="688"/>
      <c r="CG24" s="580"/>
      <c r="CH24" s="688"/>
      <c r="CI24" s="580"/>
      <c r="CJ24" s="688"/>
      <c r="CK24" s="580"/>
      <c r="CL24" s="688"/>
      <c r="CM24" s="580"/>
      <c r="CN24" s="688"/>
      <c r="CO24" s="580"/>
      <c r="CP24" s="688"/>
      <c r="CQ24" s="580"/>
      <c r="CR24" s="688"/>
      <c r="CS24" s="580"/>
      <c r="CT24" s="688"/>
      <c r="CU24" s="580"/>
      <c r="CV24" s="688"/>
      <c r="CW24" s="580"/>
      <c r="CX24" s="688"/>
      <c r="CY24" s="580"/>
      <c r="CZ24" s="688"/>
      <c r="DA24" s="580"/>
      <c r="DB24" s="688"/>
      <c r="DC24" s="580"/>
      <c r="DD24" s="688"/>
      <c r="DE24" s="582"/>
      <c r="DF24" s="555"/>
      <c r="DG24" s="545"/>
      <c r="DH24" s="693"/>
      <c r="DI24" s="684"/>
      <c r="DJ24" s="576"/>
      <c r="DK24" s="685"/>
      <c r="DL24" s="686"/>
      <c r="DM24" s="687"/>
      <c r="DN24" s="580"/>
      <c r="DO24" s="688"/>
      <c r="DP24" s="580"/>
      <c r="DQ24" s="688"/>
      <c r="DR24" s="580"/>
      <c r="DS24" s="688"/>
      <c r="DT24" s="580"/>
      <c r="DU24" s="688"/>
      <c r="DV24" s="580"/>
      <c r="DW24" s="688"/>
      <c r="DX24" s="580"/>
      <c r="DY24" s="688"/>
      <c r="DZ24" s="580"/>
      <c r="EA24" s="688"/>
      <c r="EB24" s="580"/>
      <c r="EC24" s="688"/>
      <c r="ED24" s="580"/>
      <c r="EE24" s="688"/>
      <c r="EF24" s="580"/>
      <c r="EG24" s="688"/>
      <c r="EH24" s="580"/>
      <c r="EI24" s="688"/>
      <c r="EJ24" s="580"/>
      <c r="EK24" s="688"/>
      <c r="EL24" s="580"/>
      <c r="EM24" s="688"/>
      <c r="EN24" s="580"/>
      <c r="EO24" s="688"/>
      <c r="EP24" s="580"/>
      <c r="EQ24" s="688"/>
      <c r="ER24" s="580"/>
      <c r="ES24" s="688"/>
      <c r="ET24" s="580"/>
      <c r="EU24" s="688"/>
      <c r="EV24" s="580"/>
      <c r="EW24" s="688"/>
      <c r="EX24" s="580"/>
      <c r="EY24" s="688"/>
      <c r="EZ24" s="580"/>
      <c r="FA24" s="688"/>
      <c r="FB24" s="580"/>
      <c r="FC24" s="688"/>
      <c r="FD24" s="580"/>
      <c r="FE24" s="688"/>
      <c r="FF24" s="580"/>
      <c r="FG24" s="688"/>
      <c r="FH24" s="582"/>
      <c r="FI24" s="556"/>
      <c r="FJ24" s="557"/>
      <c r="FK24" s="693"/>
      <c r="FL24" s="684"/>
      <c r="FM24" s="576"/>
      <c r="FN24" s="685"/>
      <c r="FO24" s="686"/>
      <c r="FP24" s="689"/>
      <c r="FQ24" s="690"/>
      <c r="FR24" s="580"/>
      <c r="FS24" s="691"/>
      <c r="FT24" s="690"/>
      <c r="FU24" s="585"/>
      <c r="FV24" s="586"/>
      <c r="FW24" s="587"/>
      <c r="FX24" s="588"/>
      <c r="FY24" s="589"/>
      <c r="FZ24" s="590"/>
      <c r="GA24" s="591"/>
      <c r="GB24" s="592"/>
      <c r="GC24" s="593"/>
      <c r="GD24" s="592"/>
      <c r="GE24" s="594"/>
      <c r="GF24" s="681"/>
      <c r="GG24" s="595"/>
      <c r="GH24" s="595"/>
      <c r="GI24" s="595"/>
      <c r="GJ24" s="608"/>
      <c r="GK24" s="573" t="s">
        <v>477</v>
      </c>
      <c r="GL24" s="602"/>
      <c r="GM24" s="711"/>
      <c r="GN24" s="712">
        <v>0.09</v>
      </c>
      <c r="GO24" s="712"/>
      <c r="GP24" s="712"/>
      <c r="GQ24" s="602"/>
      <c r="GR24" s="608"/>
      <c r="GS24" s="602"/>
      <c r="GT24" s="670"/>
      <c r="GU24" s="573" t="s">
        <v>638</v>
      </c>
      <c r="GV24" s="602"/>
      <c r="GW24" s="602"/>
      <c r="GX24" s="410"/>
      <c r="GY24" s="715">
        <v>550</v>
      </c>
      <c r="GZ24" s="573" t="s">
        <v>479</v>
      </c>
      <c r="HA24" s="523"/>
      <c r="HB24" s="523"/>
      <c r="HC24" s="608"/>
      <c r="HD24" s="555"/>
      <c r="HE24" s="716"/>
      <c r="HF24" s="412"/>
      <c r="HG24" s="523"/>
      <c r="HH24" s="555"/>
      <c r="HI24" s="412"/>
      <c r="HJ24" s="412"/>
    </row>
    <row r="25" spans="1:218" ht="20.100000000000001" customHeight="1">
      <c r="A25" s="545"/>
      <c r="B25" s="717"/>
      <c r="C25" s="718"/>
      <c r="D25" s="611"/>
      <c r="E25" s="719"/>
      <c r="F25" s="720"/>
      <c r="G25" s="721"/>
      <c r="H25" s="615"/>
      <c r="I25" s="722"/>
      <c r="J25" s="615"/>
      <c r="K25" s="722"/>
      <c r="L25" s="615"/>
      <c r="M25" s="722"/>
      <c r="N25" s="615"/>
      <c r="O25" s="722"/>
      <c r="P25" s="615"/>
      <c r="Q25" s="722"/>
      <c r="R25" s="615"/>
      <c r="S25" s="722"/>
      <c r="T25" s="615"/>
      <c r="U25" s="722"/>
      <c r="V25" s="615"/>
      <c r="W25" s="722"/>
      <c r="X25" s="615"/>
      <c r="Y25" s="722"/>
      <c r="Z25" s="615"/>
      <c r="AA25" s="722"/>
      <c r="AB25" s="615"/>
      <c r="AC25" s="722"/>
      <c r="AD25" s="615"/>
      <c r="AE25" s="722"/>
      <c r="AF25" s="615"/>
      <c r="AG25" s="722"/>
      <c r="AH25" s="615"/>
      <c r="AI25" s="722"/>
      <c r="AJ25" s="615"/>
      <c r="AK25" s="722"/>
      <c r="AL25" s="615"/>
      <c r="AM25" s="722"/>
      <c r="AN25" s="615"/>
      <c r="AO25" s="722"/>
      <c r="AP25" s="615"/>
      <c r="AQ25" s="722"/>
      <c r="AR25" s="615"/>
      <c r="AS25" s="722"/>
      <c r="AT25" s="615"/>
      <c r="AU25" s="722"/>
      <c r="AV25" s="615"/>
      <c r="AW25" s="722"/>
      <c r="AX25" s="615"/>
      <c r="AY25" s="722"/>
      <c r="AZ25" s="615"/>
      <c r="BA25" s="722"/>
      <c r="BB25" s="617"/>
      <c r="BC25" s="555"/>
      <c r="BD25" s="545"/>
      <c r="BE25" s="717"/>
      <c r="BF25" s="718"/>
      <c r="BG25" s="611"/>
      <c r="BH25" s="719"/>
      <c r="BI25" s="720"/>
      <c r="BJ25" s="721"/>
      <c r="BK25" s="615"/>
      <c r="BL25" s="722"/>
      <c r="BM25" s="615"/>
      <c r="BN25" s="722"/>
      <c r="BO25" s="615"/>
      <c r="BP25" s="722"/>
      <c r="BQ25" s="615"/>
      <c r="BR25" s="722"/>
      <c r="BS25" s="615"/>
      <c r="BT25" s="722"/>
      <c r="BU25" s="615"/>
      <c r="BV25" s="722"/>
      <c r="BW25" s="615"/>
      <c r="BX25" s="722"/>
      <c r="BY25" s="615"/>
      <c r="BZ25" s="722"/>
      <c r="CA25" s="615"/>
      <c r="CB25" s="722"/>
      <c r="CC25" s="615"/>
      <c r="CD25" s="722"/>
      <c r="CE25" s="615"/>
      <c r="CF25" s="722"/>
      <c r="CG25" s="615"/>
      <c r="CH25" s="722"/>
      <c r="CI25" s="615"/>
      <c r="CJ25" s="722"/>
      <c r="CK25" s="615"/>
      <c r="CL25" s="722"/>
      <c r="CM25" s="615"/>
      <c r="CN25" s="722"/>
      <c r="CO25" s="615"/>
      <c r="CP25" s="722"/>
      <c r="CQ25" s="615"/>
      <c r="CR25" s="722"/>
      <c r="CS25" s="615"/>
      <c r="CT25" s="722"/>
      <c r="CU25" s="615"/>
      <c r="CV25" s="722"/>
      <c r="CW25" s="615"/>
      <c r="CX25" s="722"/>
      <c r="CY25" s="615"/>
      <c r="CZ25" s="722"/>
      <c r="DA25" s="615"/>
      <c r="DB25" s="722"/>
      <c r="DC25" s="615"/>
      <c r="DD25" s="722"/>
      <c r="DE25" s="617"/>
      <c r="DF25" s="555"/>
      <c r="DG25" s="545"/>
      <c r="DH25" s="717"/>
      <c r="DI25" s="718"/>
      <c r="DJ25" s="611"/>
      <c r="DK25" s="719"/>
      <c r="DL25" s="720"/>
      <c r="DM25" s="721"/>
      <c r="DN25" s="615"/>
      <c r="DO25" s="722"/>
      <c r="DP25" s="615"/>
      <c r="DQ25" s="722"/>
      <c r="DR25" s="615"/>
      <c r="DS25" s="722"/>
      <c r="DT25" s="615"/>
      <c r="DU25" s="722"/>
      <c r="DV25" s="615"/>
      <c r="DW25" s="722"/>
      <c r="DX25" s="615"/>
      <c r="DY25" s="722"/>
      <c r="DZ25" s="615"/>
      <c r="EA25" s="722"/>
      <c r="EB25" s="615"/>
      <c r="EC25" s="722"/>
      <c r="ED25" s="615"/>
      <c r="EE25" s="722"/>
      <c r="EF25" s="615"/>
      <c r="EG25" s="722"/>
      <c r="EH25" s="615"/>
      <c r="EI25" s="722"/>
      <c r="EJ25" s="615"/>
      <c r="EK25" s="722"/>
      <c r="EL25" s="615"/>
      <c r="EM25" s="722"/>
      <c r="EN25" s="615"/>
      <c r="EO25" s="722"/>
      <c r="EP25" s="615"/>
      <c r="EQ25" s="722"/>
      <c r="ER25" s="615"/>
      <c r="ES25" s="722"/>
      <c r="ET25" s="615"/>
      <c r="EU25" s="722"/>
      <c r="EV25" s="615"/>
      <c r="EW25" s="722"/>
      <c r="EX25" s="615"/>
      <c r="EY25" s="722"/>
      <c r="EZ25" s="615"/>
      <c r="FA25" s="722"/>
      <c r="FB25" s="615"/>
      <c r="FC25" s="722"/>
      <c r="FD25" s="615"/>
      <c r="FE25" s="722"/>
      <c r="FF25" s="615"/>
      <c r="FG25" s="722"/>
      <c r="FH25" s="617"/>
      <c r="FI25" s="556"/>
      <c r="FJ25" s="557"/>
      <c r="FK25" s="717"/>
      <c r="FL25" s="718"/>
      <c r="FM25" s="611"/>
      <c r="FN25" s="719"/>
      <c r="FO25" s="720"/>
      <c r="FP25" s="723"/>
      <c r="FQ25" s="724"/>
      <c r="FR25" s="615"/>
      <c r="FS25" s="725"/>
      <c r="FT25" s="724"/>
      <c r="FU25" s="620"/>
      <c r="FV25" s="586"/>
      <c r="FW25" s="587"/>
      <c r="FX25" s="588"/>
      <c r="FY25" s="589"/>
      <c r="FZ25" s="590"/>
      <c r="GA25" s="591"/>
      <c r="GB25" s="592"/>
      <c r="GC25" s="593"/>
      <c r="GD25" s="592"/>
      <c r="GE25" s="594"/>
      <c r="GF25" s="681"/>
      <c r="GG25" s="595"/>
      <c r="GH25" s="595"/>
      <c r="GI25" s="595"/>
      <c r="GJ25" s="493"/>
      <c r="GK25" s="494"/>
      <c r="GL25" s="494"/>
      <c r="GM25" s="494"/>
      <c r="GN25" s="494"/>
      <c r="GO25" s="494"/>
      <c r="GP25" s="494"/>
      <c r="GQ25" s="494"/>
      <c r="GR25" s="494"/>
      <c r="GS25" s="410"/>
      <c r="GT25" s="670"/>
      <c r="GU25" s="573" t="s">
        <v>480</v>
      </c>
      <c r="GV25" s="602"/>
      <c r="GW25" s="602"/>
      <c r="GX25" s="410"/>
      <c r="GY25" s="726">
        <v>1</v>
      </c>
      <c r="GZ25" s="573"/>
      <c r="HA25" s="523"/>
      <c r="HB25" s="523"/>
      <c r="HC25" s="523"/>
      <c r="HD25" s="555"/>
      <c r="HE25" s="555"/>
      <c r="HF25" s="412"/>
      <c r="HG25" s="412"/>
    </row>
    <row r="26" spans="1:218" ht="20.100000000000001" customHeight="1">
      <c r="A26" s="634"/>
      <c r="B26" s="635"/>
      <c r="C26" s="635"/>
      <c r="D26" s="635" t="s">
        <v>612</v>
      </c>
      <c r="E26" s="635"/>
      <c r="F26" s="635"/>
      <c r="G26" s="637"/>
      <c r="H26" s="638">
        <f>SUM(H16:H25)</f>
        <v>0</v>
      </c>
      <c r="I26" s="727"/>
      <c r="J26" s="638">
        <f>SUM(J16:J25)</f>
        <v>0</v>
      </c>
      <c r="K26" s="728"/>
      <c r="L26" s="638">
        <f>SUM(L16:L25)</f>
        <v>0</v>
      </c>
      <c r="M26" s="728"/>
      <c r="N26" s="638">
        <f>SUM(N16:N25)</f>
        <v>0</v>
      </c>
      <c r="O26" s="728"/>
      <c r="P26" s="638">
        <f>SUM(P16:P25)</f>
        <v>0</v>
      </c>
      <c r="Q26" s="728"/>
      <c r="R26" s="638">
        <f>SUM(R16:R25)</f>
        <v>0</v>
      </c>
      <c r="S26" s="728"/>
      <c r="T26" s="638">
        <f>SUM(T16:T25)</f>
        <v>0</v>
      </c>
      <c r="U26" s="728"/>
      <c r="V26" s="638">
        <f>SUM(V16:V25)</f>
        <v>0</v>
      </c>
      <c r="W26" s="728"/>
      <c r="X26" s="638">
        <f>SUM(X16:X25)</f>
        <v>0</v>
      </c>
      <c r="Y26" s="728"/>
      <c r="Z26" s="638">
        <f>SUM(Z16:Z25)</f>
        <v>73</v>
      </c>
      <c r="AA26" s="728"/>
      <c r="AB26" s="638">
        <f>SUM(AB16:AB25)</f>
        <v>192</v>
      </c>
      <c r="AC26" s="728"/>
      <c r="AD26" s="638">
        <f>SUM(AD16:AD25)</f>
        <v>299</v>
      </c>
      <c r="AE26" s="728"/>
      <c r="AF26" s="638">
        <f>SUM(AF16:AF25)</f>
        <v>412</v>
      </c>
      <c r="AG26" s="728"/>
      <c r="AH26" s="638">
        <f>SUM(AH16:AH25)</f>
        <v>503</v>
      </c>
      <c r="AI26" s="728"/>
      <c r="AJ26" s="638">
        <f>SUM(AJ16:AJ25)</f>
        <v>578</v>
      </c>
      <c r="AK26" s="728"/>
      <c r="AL26" s="638">
        <f>SUM(AL16:AL25)</f>
        <v>594</v>
      </c>
      <c r="AM26" s="728"/>
      <c r="AN26" s="638">
        <f>SUM(AN16:AN25)</f>
        <v>554</v>
      </c>
      <c r="AO26" s="728"/>
      <c r="AP26" s="638">
        <f>SUM(AP16:AP25)</f>
        <v>494</v>
      </c>
      <c r="AQ26" s="728"/>
      <c r="AR26" s="638">
        <f>SUM(AR16:AR25)</f>
        <v>0</v>
      </c>
      <c r="AS26" s="728"/>
      <c r="AT26" s="638">
        <f>SUM(AT16:AT25)</f>
        <v>0</v>
      </c>
      <c r="AU26" s="728"/>
      <c r="AV26" s="638">
        <f>SUM(AV16:AV25)</f>
        <v>0</v>
      </c>
      <c r="AW26" s="728"/>
      <c r="AX26" s="638">
        <f>SUM(AX16:AX25)</f>
        <v>0</v>
      </c>
      <c r="AY26" s="728"/>
      <c r="AZ26" s="638">
        <f>SUM(AZ16:AZ25)</f>
        <v>0</v>
      </c>
      <c r="BA26" s="728"/>
      <c r="BB26" s="640">
        <f>SUM(BB16:BB25)</f>
        <v>0</v>
      </c>
      <c r="BC26" s="641"/>
      <c r="BD26" s="634"/>
      <c r="BE26" s="635"/>
      <c r="BF26" s="635"/>
      <c r="BG26" s="635" t="s">
        <v>288</v>
      </c>
      <c r="BH26" s="635"/>
      <c r="BI26" s="635"/>
      <c r="BJ26" s="637"/>
      <c r="BK26" s="638">
        <f>SUM(BK16:BK25)</f>
        <v>0</v>
      </c>
      <c r="BL26" s="727"/>
      <c r="BM26" s="638">
        <f>SUM(BM16:BM25)</f>
        <v>0</v>
      </c>
      <c r="BN26" s="728"/>
      <c r="BO26" s="638">
        <f>SUM(BO16:BO25)</f>
        <v>0</v>
      </c>
      <c r="BP26" s="728"/>
      <c r="BQ26" s="638">
        <f>SUM(BQ16:BQ25)</f>
        <v>0</v>
      </c>
      <c r="BR26" s="728"/>
      <c r="BS26" s="638">
        <f>SUM(BS16:BS25)</f>
        <v>0</v>
      </c>
      <c r="BT26" s="728"/>
      <c r="BU26" s="638">
        <f>SUM(BU16:BU25)</f>
        <v>0</v>
      </c>
      <c r="BV26" s="728"/>
      <c r="BW26" s="638">
        <f>SUM(BW16:BW25)</f>
        <v>0</v>
      </c>
      <c r="BX26" s="728"/>
      <c r="BY26" s="638">
        <f>SUM(BY16:BY25)</f>
        <v>0</v>
      </c>
      <c r="BZ26" s="728"/>
      <c r="CA26" s="638">
        <f>SUM(CA16:CA25)</f>
        <v>28</v>
      </c>
      <c r="CB26" s="728"/>
      <c r="CC26" s="638">
        <f>SUM(CC16:CC25)</f>
        <v>127</v>
      </c>
      <c r="CD26" s="728"/>
      <c r="CE26" s="638">
        <f>SUM(CE16:CE25)</f>
        <v>247</v>
      </c>
      <c r="CF26" s="728"/>
      <c r="CG26" s="638">
        <f>SUM(CG16:CG25)</f>
        <v>360</v>
      </c>
      <c r="CH26" s="728"/>
      <c r="CI26" s="638">
        <f>SUM(CI16:CI25)</f>
        <v>469</v>
      </c>
      <c r="CJ26" s="728"/>
      <c r="CK26" s="638">
        <f>SUM(CK16:CK25)</f>
        <v>578</v>
      </c>
      <c r="CL26" s="728"/>
      <c r="CM26" s="638">
        <f>SUM(CM16:CM25)</f>
        <v>651</v>
      </c>
      <c r="CN26" s="728"/>
      <c r="CO26" s="638">
        <f>SUM(CO16:CO25)</f>
        <v>697</v>
      </c>
      <c r="CP26" s="728"/>
      <c r="CQ26" s="638">
        <f>SUM(CQ16:CQ25)</f>
        <v>678</v>
      </c>
      <c r="CR26" s="728"/>
      <c r="CS26" s="638">
        <f>SUM(CS16:CS25)</f>
        <v>595</v>
      </c>
      <c r="CT26" s="728"/>
      <c r="CU26" s="638">
        <f>SUM(CU16:CU25)</f>
        <v>0</v>
      </c>
      <c r="CV26" s="728"/>
      <c r="CW26" s="638">
        <f>SUM(CW16:CW25)</f>
        <v>0</v>
      </c>
      <c r="CX26" s="728"/>
      <c r="CY26" s="638">
        <f>SUM(CY16:CY25)</f>
        <v>0</v>
      </c>
      <c r="CZ26" s="728"/>
      <c r="DA26" s="638">
        <f>SUM(DA16:DA25)</f>
        <v>0</v>
      </c>
      <c r="DB26" s="728"/>
      <c r="DC26" s="638">
        <f>SUM(DC16:DC25)</f>
        <v>0</v>
      </c>
      <c r="DD26" s="728"/>
      <c r="DE26" s="640">
        <f>SUM(DE16:DE25)</f>
        <v>0</v>
      </c>
      <c r="DF26" s="641"/>
      <c r="DG26" s="634"/>
      <c r="DH26" s="635"/>
      <c r="DI26" s="635"/>
      <c r="DJ26" s="635" t="s">
        <v>677</v>
      </c>
      <c r="DK26" s="635"/>
      <c r="DL26" s="635"/>
      <c r="DM26" s="637"/>
      <c r="DN26" s="638">
        <f>SUM(DN16:DN25)</f>
        <v>0</v>
      </c>
      <c r="DO26" s="727"/>
      <c r="DP26" s="638">
        <f>SUM(DP16:DP25)</f>
        <v>0</v>
      </c>
      <c r="DQ26" s="728"/>
      <c r="DR26" s="638">
        <f>SUM(DR16:DR25)</f>
        <v>0</v>
      </c>
      <c r="DS26" s="728"/>
      <c r="DT26" s="638">
        <f>SUM(DT16:DT25)</f>
        <v>0</v>
      </c>
      <c r="DU26" s="728"/>
      <c r="DV26" s="638">
        <f>SUM(DV16:DV25)</f>
        <v>0</v>
      </c>
      <c r="DW26" s="728"/>
      <c r="DX26" s="638">
        <f>SUM(DX16:DX25)</f>
        <v>0</v>
      </c>
      <c r="DY26" s="728"/>
      <c r="DZ26" s="638">
        <f>SUM(DZ16:DZ25)</f>
        <v>0</v>
      </c>
      <c r="EA26" s="728"/>
      <c r="EB26" s="638">
        <f>SUM(EB16:EB25)</f>
        <v>0</v>
      </c>
      <c r="EC26" s="728"/>
      <c r="ED26" s="638">
        <f>SUM(ED16:ED25)</f>
        <v>0</v>
      </c>
      <c r="EE26" s="728"/>
      <c r="EF26" s="638">
        <f>SUM(EF16:EF25)</f>
        <v>0</v>
      </c>
      <c r="EG26" s="728"/>
      <c r="EH26" s="638">
        <f>SUM(EH16:EH25)</f>
        <v>73</v>
      </c>
      <c r="EI26" s="728"/>
      <c r="EJ26" s="638">
        <f>SUM(EJ16:EJ25)</f>
        <v>185</v>
      </c>
      <c r="EK26" s="728"/>
      <c r="EL26" s="638">
        <f>SUM(EL16:EL25)</f>
        <v>282</v>
      </c>
      <c r="EM26" s="728"/>
      <c r="EN26" s="638">
        <f>SUM(EN16:EN25)</f>
        <v>345</v>
      </c>
      <c r="EO26" s="728"/>
      <c r="EP26" s="638">
        <f>SUM(EP16:EP25)</f>
        <v>371</v>
      </c>
      <c r="EQ26" s="728"/>
      <c r="ER26" s="638">
        <f>SUM(ER16:ER25)</f>
        <v>350</v>
      </c>
      <c r="ES26" s="728"/>
      <c r="ET26" s="638">
        <f>SUM(ET16:ET25)</f>
        <v>356</v>
      </c>
      <c r="EU26" s="728"/>
      <c r="EV26" s="638">
        <f>SUM(EV16:EV25)</f>
        <v>316</v>
      </c>
      <c r="EW26" s="728"/>
      <c r="EX26" s="638">
        <f>SUM(EX16:EX25)</f>
        <v>0</v>
      </c>
      <c r="EY26" s="728"/>
      <c r="EZ26" s="638">
        <f>SUM(EZ16:EZ25)</f>
        <v>0</v>
      </c>
      <c r="FA26" s="728"/>
      <c r="FB26" s="638">
        <f>SUM(FB16:FB25)</f>
        <v>0</v>
      </c>
      <c r="FC26" s="728"/>
      <c r="FD26" s="638">
        <f>SUM(FD16:FD25)</f>
        <v>0</v>
      </c>
      <c r="FE26" s="728"/>
      <c r="FF26" s="638">
        <f>SUM(FF16:FF25)</f>
        <v>0</v>
      </c>
      <c r="FG26" s="728"/>
      <c r="FH26" s="640">
        <f>SUM(FH16:FH25)</f>
        <v>0</v>
      </c>
      <c r="FI26" s="642"/>
      <c r="FJ26" s="557"/>
      <c r="FK26" s="635"/>
      <c r="FL26" s="635"/>
      <c r="FM26" s="635" t="s">
        <v>612</v>
      </c>
      <c r="FN26" s="635"/>
      <c r="FO26" s="635"/>
      <c r="FP26" s="643"/>
      <c r="FQ26" s="644"/>
      <c r="FR26" s="638">
        <f>SUM(FR16:FR25)</f>
        <v>2918</v>
      </c>
      <c r="FS26" s="729"/>
      <c r="FT26" s="644"/>
      <c r="FU26" s="646">
        <f>SUM(FU16:FU25)</f>
        <v>2972</v>
      </c>
      <c r="FV26" s="586"/>
      <c r="FW26" s="587"/>
      <c r="FX26" s="588"/>
      <c r="FY26" s="589"/>
      <c r="FZ26" s="590"/>
      <c r="GA26" s="591"/>
      <c r="GB26" s="592"/>
      <c r="GC26" s="593"/>
      <c r="GD26" s="592"/>
      <c r="GE26" s="594"/>
      <c r="GF26" s="647"/>
      <c r="GG26" s="648"/>
      <c r="GH26" s="648"/>
      <c r="GI26" s="648"/>
      <c r="GJ26" s="608"/>
      <c r="GK26" s="523" t="s">
        <v>587</v>
      </c>
      <c r="GL26" s="608"/>
      <c r="GM26" s="523"/>
      <c r="GN26" s="608"/>
      <c r="GO26" s="523"/>
      <c r="GP26" s="608"/>
      <c r="GQ26" s="608"/>
      <c r="GR26" s="608"/>
      <c r="GS26" s="572"/>
      <c r="GT26" s="670"/>
      <c r="GU26" s="573" t="s">
        <v>482</v>
      </c>
      <c r="GV26" s="602"/>
      <c r="GW26" s="602"/>
      <c r="GX26" s="410"/>
      <c r="GY26" s="726">
        <v>0.65</v>
      </c>
      <c r="GZ26" s="573"/>
      <c r="HA26" s="523"/>
      <c r="HB26" s="523"/>
      <c r="HC26" s="523"/>
      <c r="HD26" s="641"/>
      <c r="HE26" s="412"/>
      <c r="HF26" s="412"/>
      <c r="HG26" s="573"/>
      <c r="HH26" s="641"/>
      <c r="HI26" s="412"/>
      <c r="HJ26" s="412"/>
    </row>
    <row r="27" spans="1:218" ht="20.100000000000001" customHeight="1">
      <c r="A27" s="1277" t="s">
        <v>687</v>
      </c>
      <c r="B27" s="731"/>
      <c r="C27" s="732"/>
      <c r="D27" s="656"/>
      <c r="E27" s="732"/>
      <c r="F27" s="732"/>
      <c r="G27" s="733" t="s">
        <v>386</v>
      </c>
      <c r="H27" s="656" t="s">
        <v>388</v>
      </c>
      <c r="I27" s="734" t="s">
        <v>387</v>
      </c>
      <c r="J27" s="656" t="s">
        <v>385</v>
      </c>
      <c r="K27" s="735" t="s">
        <v>386</v>
      </c>
      <c r="L27" s="656" t="s">
        <v>388</v>
      </c>
      <c r="M27" s="735" t="s">
        <v>387</v>
      </c>
      <c r="N27" s="656" t="s">
        <v>388</v>
      </c>
      <c r="O27" s="735" t="s">
        <v>387</v>
      </c>
      <c r="P27" s="656" t="s">
        <v>385</v>
      </c>
      <c r="Q27" s="735" t="s">
        <v>387</v>
      </c>
      <c r="R27" s="656" t="s">
        <v>388</v>
      </c>
      <c r="S27" s="735" t="s">
        <v>387</v>
      </c>
      <c r="T27" s="656" t="s">
        <v>385</v>
      </c>
      <c r="U27" s="735" t="s">
        <v>386</v>
      </c>
      <c r="V27" s="656" t="s">
        <v>385</v>
      </c>
      <c r="W27" s="735" t="s">
        <v>386</v>
      </c>
      <c r="X27" s="656" t="s">
        <v>388</v>
      </c>
      <c r="Y27" s="735" t="s">
        <v>387</v>
      </c>
      <c r="Z27" s="656" t="s">
        <v>388</v>
      </c>
      <c r="AA27" s="735" t="s">
        <v>386</v>
      </c>
      <c r="AB27" s="656" t="s">
        <v>388</v>
      </c>
      <c r="AC27" s="735" t="s">
        <v>387</v>
      </c>
      <c r="AD27" s="656" t="s">
        <v>388</v>
      </c>
      <c r="AE27" s="735" t="s">
        <v>386</v>
      </c>
      <c r="AF27" s="656" t="s">
        <v>385</v>
      </c>
      <c r="AG27" s="735" t="s">
        <v>386</v>
      </c>
      <c r="AH27" s="656" t="s">
        <v>388</v>
      </c>
      <c r="AI27" s="735" t="s">
        <v>386</v>
      </c>
      <c r="AJ27" s="656" t="s">
        <v>388</v>
      </c>
      <c r="AK27" s="735" t="s">
        <v>387</v>
      </c>
      <c r="AL27" s="656" t="s">
        <v>388</v>
      </c>
      <c r="AM27" s="735" t="s">
        <v>387</v>
      </c>
      <c r="AN27" s="656" t="s">
        <v>385</v>
      </c>
      <c r="AO27" s="735" t="s">
        <v>387</v>
      </c>
      <c r="AP27" s="656" t="s">
        <v>388</v>
      </c>
      <c r="AQ27" s="735" t="s">
        <v>386</v>
      </c>
      <c r="AR27" s="656" t="s">
        <v>388</v>
      </c>
      <c r="AS27" s="735" t="s">
        <v>387</v>
      </c>
      <c r="AT27" s="656" t="s">
        <v>388</v>
      </c>
      <c r="AU27" s="735" t="s">
        <v>387</v>
      </c>
      <c r="AV27" s="656" t="s">
        <v>388</v>
      </c>
      <c r="AW27" s="735" t="s">
        <v>386</v>
      </c>
      <c r="AX27" s="656" t="s">
        <v>385</v>
      </c>
      <c r="AY27" s="735" t="s">
        <v>386</v>
      </c>
      <c r="AZ27" s="656" t="s">
        <v>385</v>
      </c>
      <c r="BA27" s="735" t="s">
        <v>386</v>
      </c>
      <c r="BB27" s="658" t="s">
        <v>385</v>
      </c>
      <c r="BC27" s="716"/>
      <c r="BD27" s="1277" t="s">
        <v>389</v>
      </c>
      <c r="BE27" s="731"/>
      <c r="BF27" s="732"/>
      <c r="BG27" s="656"/>
      <c r="BH27" s="732"/>
      <c r="BI27" s="732"/>
      <c r="BJ27" s="733" t="s">
        <v>387</v>
      </c>
      <c r="BK27" s="656" t="s">
        <v>385</v>
      </c>
      <c r="BL27" s="734" t="s">
        <v>386</v>
      </c>
      <c r="BM27" s="656" t="s">
        <v>385</v>
      </c>
      <c r="BN27" s="735" t="s">
        <v>386</v>
      </c>
      <c r="BO27" s="656" t="s">
        <v>385</v>
      </c>
      <c r="BP27" s="735" t="s">
        <v>386</v>
      </c>
      <c r="BQ27" s="656" t="s">
        <v>385</v>
      </c>
      <c r="BR27" s="735" t="s">
        <v>386</v>
      </c>
      <c r="BS27" s="656" t="s">
        <v>385</v>
      </c>
      <c r="BT27" s="735" t="s">
        <v>387</v>
      </c>
      <c r="BU27" s="656" t="s">
        <v>385</v>
      </c>
      <c r="BV27" s="735" t="s">
        <v>386</v>
      </c>
      <c r="BW27" s="656" t="s">
        <v>388</v>
      </c>
      <c r="BX27" s="735" t="s">
        <v>386</v>
      </c>
      <c r="BY27" s="656" t="s">
        <v>385</v>
      </c>
      <c r="BZ27" s="735" t="s">
        <v>387</v>
      </c>
      <c r="CA27" s="656" t="s">
        <v>388</v>
      </c>
      <c r="CB27" s="735" t="s">
        <v>386</v>
      </c>
      <c r="CC27" s="656" t="s">
        <v>385</v>
      </c>
      <c r="CD27" s="735" t="s">
        <v>387</v>
      </c>
      <c r="CE27" s="656" t="s">
        <v>385</v>
      </c>
      <c r="CF27" s="735" t="s">
        <v>387</v>
      </c>
      <c r="CG27" s="656" t="s">
        <v>385</v>
      </c>
      <c r="CH27" s="735" t="s">
        <v>387</v>
      </c>
      <c r="CI27" s="656" t="s">
        <v>388</v>
      </c>
      <c r="CJ27" s="735" t="s">
        <v>387</v>
      </c>
      <c r="CK27" s="656" t="s">
        <v>385</v>
      </c>
      <c r="CL27" s="735" t="s">
        <v>387</v>
      </c>
      <c r="CM27" s="656" t="s">
        <v>388</v>
      </c>
      <c r="CN27" s="735" t="s">
        <v>387</v>
      </c>
      <c r="CO27" s="656" t="s">
        <v>385</v>
      </c>
      <c r="CP27" s="735" t="s">
        <v>386</v>
      </c>
      <c r="CQ27" s="656" t="s">
        <v>388</v>
      </c>
      <c r="CR27" s="735" t="s">
        <v>387</v>
      </c>
      <c r="CS27" s="656" t="s">
        <v>385</v>
      </c>
      <c r="CT27" s="735" t="s">
        <v>386</v>
      </c>
      <c r="CU27" s="656" t="s">
        <v>385</v>
      </c>
      <c r="CV27" s="735" t="s">
        <v>386</v>
      </c>
      <c r="CW27" s="656" t="s">
        <v>385</v>
      </c>
      <c r="CX27" s="735" t="s">
        <v>387</v>
      </c>
      <c r="CY27" s="656" t="s">
        <v>388</v>
      </c>
      <c r="CZ27" s="735" t="s">
        <v>387</v>
      </c>
      <c r="DA27" s="656" t="s">
        <v>385</v>
      </c>
      <c r="DB27" s="735" t="s">
        <v>387</v>
      </c>
      <c r="DC27" s="656" t="s">
        <v>388</v>
      </c>
      <c r="DD27" s="735" t="s">
        <v>387</v>
      </c>
      <c r="DE27" s="658" t="s">
        <v>385</v>
      </c>
      <c r="DF27" s="716"/>
      <c r="DG27" s="1277" t="s">
        <v>383</v>
      </c>
      <c r="DH27" s="736"/>
      <c r="DI27" s="737"/>
      <c r="DJ27" s="738"/>
      <c r="DK27" s="737"/>
      <c r="DL27" s="737"/>
      <c r="DM27" s="733" t="s">
        <v>387</v>
      </c>
      <c r="DN27" s="656" t="s">
        <v>388</v>
      </c>
      <c r="DO27" s="734" t="s">
        <v>387</v>
      </c>
      <c r="DP27" s="656" t="s">
        <v>388</v>
      </c>
      <c r="DQ27" s="735" t="s">
        <v>387</v>
      </c>
      <c r="DR27" s="656" t="s">
        <v>388</v>
      </c>
      <c r="DS27" s="735" t="s">
        <v>386</v>
      </c>
      <c r="DT27" s="656" t="s">
        <v>385</v>
      </c>
      <c r="DU27" s="735" t="s">
        <v>386</v>
      </c>
      <c r="DV27" s="656" t="s">
        <v>388</v>
      </c>
      <c r="DW27" s="735" t="s">
        <v>386</v>
      </c>
      <c r="DX27" s="656" t="s">
        <v>388</v>
      </c>
      <c r="DY27" s="735" t="s">
        <v>387</v>
      </c>
      <c r="DZ27" s="656" t="s">
        <v>388</v>
      </c>
      <c r="EA27" s="735" t="s">
        <v>387</v>
      </c>
      <c r="EB27" s="656" t="s">
        <v>385</v>
      </c>
      <c r="EC27" s="735" t="s">
        <v>387</v>
      </c>
      <c r="ED27" s="656" t="s">
        <v>388</v>
      </c>
      <c r="EE27" s="735" t="s">
        <v>386</v>
      </c>
      <c r="EF27" s="656" t="s">
        <v>388</v>
      </c>
      <c r="EG27" s="735" t="s">
        <v>387</v>
      </c>
      <c r="EH27" s="656" t="s">
        <v>388</v>
      </c>
      <c r="EI27" s="735" t="s">
        <v>387</v>
      </c>
      <c r="EJ27" s="656" t="s">
        <v>388</v>
      </c>
      <c r="EK27" s="735" t="s">
        <v>386</v>
      </c>
      <c r="EL27" s="656" t="s">
        <v>385</v>
      </c>
      <c r="EM27" s="735" t="s">
        <v>386</v>
      </c>
      <c r="EN27" s="656" t="s">
        <v>385</v>
      </c>
      <c r="EO27" s="735" t="s">
        <v>386</v>
      </c>
      <c r="EP27" s="656" t="s">
        <v>385</v>
      </c>
      <c r="EQ27" s="735" t="s">
        <v>386</v>
      </c>
      <c r="ER27" s="656" t="s">
        <v>385</v>
      </c>
      <c r="ES27" s="735" t="s">
        <v>386</v>
      </c>
      <c r="ET27" s="656" t="s">
        <v>388</v>
      </c>
      <c r="EU27" s="735" t="s">
        <v>386</v>
      </c>
      <c r="EV27" s="656" t="s">
        <v>385</v>
      </c>
      <c r="EW27" s="735" t="s">
        <v>387</v>
      </c>
      <c r="EX27" s="656" t="s">
        <v>385</v>
      </c>
      <c r="EY27" s="735" t="s">
        <v>386</v>
      </c>
      <c r="EZ27" s="656" t="s">
        <v>388</v>
      </c>
      <c r="FA27" s="735" t="s">
        <v>387</v>
      </c>
      <c r="FB27" s="656" t="s">
        <v>385</v>
      </c>
      <c r="FC27" s="735" t="s">
        <v>386</v>
      </c>
      <c r="FD27" s="656" t="s">
        <v>388</v>
      </c>
      <c r="FE27" s="735" t="s">
        <v>386</v>
      </c>
      <c r="FF27" s="656" t="s">
        <v>388</v>
      </c>
      <c r="FG27" s="735" t="s">
        <v>386</v>
      </c>
      <c r="FH27" s="658" t="s">
        <v>388</v>
      </c>
      <c r="FI27" s="739"/>
      <c r="FJ27" s="535" t="s">
        <v>383</v>
      </c>
      <c r="FK27" s="736"/>
      <c r="FL27" s="737"/>
      <c r="FM27" s="738"/>
      <c r="FN27" s="737"/>
      <c r="FO27" s="737"/>
      <c r="FP27" s="740" t="s">
        <v>407</v>
      </c>
      <c r="FQ27" s="666" t="s">
        <v>386</v>
      </c>
      <c r="FR27" s="656" t="s">
        <v>391</v>
      </c>
      <c r="FS27" s="741" t="s">
        <v>390</v>
      </c>
      <c r="FT27" s="666" t="s">
        <v>387</v>
      </c>
      <c r="FU27" s="668" t="s">
        <v>391</v>
      </c>
      <c r="FV27" s="586"/>
      <c r="FW27" s="587"/>
      <c r="FX27" s="588"/>
      <c r="FY27" s="589"/>
      <c r="FZ27" s="590"/>
      <c r="GA27" s="591"/>
      <c r="GB27" s="592"/>
      <c r="GC27" s="593"/>
      <c r="GD27" s="592"/>
      <c r="GE27" s="594"/>
      <c r="GF27" s="742"/>
      <c r="GG27" s="743"/>
      <c r="GH27" s="743"/>
      <c r="GI27" s="743"/>
      <c r="GJ27" s="608"/>
      <c r="GK27" s="523" t="s">
        <v>639</v>
      </c>
      <c r="GL27" s="608"/>
      <c r="GM27" s="608"/>
      <c r="GN27" s="608"/>
      <c r="GO27" s="410"/>
      <c r="GP27" s="744">
        <v>23.1</v>
      </c>
      <c r="GQ27" s="410" t="s">
        <v>484</v>
      </c>
      <c r="GR27" s="410"/>
      <c r="GS27" s="572"/>
      <c r="GT27" s="493"/>
      <c r="GU27" s="493"/>
      <c r="GV27" s="493"/>
      <c r="GW27" s="572"/>
      <c r="GX27" s="572"/>
      <c r="GY27" s="572"/>
      <c r="GZ27" s="571"/>
      <c r="HA27" s="493"/>
      <c r="HB27" s="493"/>
      <c r="HC27" s="523"/>
      <c r="HD27" s="406"/>
      <c r="HE27" s="412"/>
      <c r="HF27" s="412"/>
      <c r="HG27" s="412"/>
      <c r="HH27" s="412"/>
    </row>
    <row r="28" spans="1:218" ht="20.100000000000001" customHeight="1">
      <c r="A28" s="545"/>
      <c r="B28" s="745" t="s">
        <v>394</v>
      </c>
      <c r="C28" s="746"/>
      <c r="D28" s="747">
        <v>55</v>
      </c>
      <c r="E28" s="748">
        <v>12</v>
      </c>
      <c r="F28" s="749" t="s">
        <v>393</v>
      </c>
      <c r="G28" s="750"/>
      <c r="H28" s="552"/>
      <c r="I28" s="751"/>
      <c r="J28" s="552"/>
      <c r="K28" s="751"/>
      <c r="L28" s="552"/>
      <c r="M28" s="751"/>
      <c r="N28" s="552"/>
      <c r="O28" s="751"/>
      <c r="P28" s="552"/>
      <c r="Q28" s="751"/>
      <c r="R28" s="552"/>
      <c r="S28" s="751"/>
      <c r="T28" s="552"/>
      <c r="U28" s="751"/>
      <c r="V28" s="552"/>
      <c r="W28" s="751">
        <v>1</v>
      </c>
      <c r="X28" s="552">
        <v>660</v>
      </c>
      <c r="Y28" s="751">
        <v>1</v>
      </c>
      <c r="Z28" s="552">
        <v>660</v>
      </c>
      <c r="AA28" s="751">
        <v>1</v>
      </c>
      <c r="AB28" s="552">
        <v>660</v>
      </c>
      <c r="AC28" s="751">
        <v>0.6</v>
      </c>
      <c r="AD28" s="552">
        <v>396</v>
      </c>
      <c r="AE28" s="751">
        <v>1</v>
      </c>
      <c r="AF28" s="552">
        <v>660</v>
      </c>
      <c r="AG28" s="751">
        <v>1</v>
      </c>
      <c r="AH28" s="552">
        <v>660</v>
      </c>
      <c r="AI28" s="751">
        <v>1</v>
      </c>
      <c r="AJ28" s="552">
        <v>660</v>
      </c>
      <c r="AK28" s="751">
        <v>1</v>
      </c>
      <c r="AL28" s="552">
        <v>660</v>
      </c>
      <c r="AM28" s="751">
        <v>1</v>
      </c>
      <c r="AN28" s="552">
        <v>660</v>
      </c>
      <c r="AO28" s="751">
        <v>0.5</v>
      </c>
      <c r="AP28" s="552">
        <v>330</v>
      </c>
      <c r="AQ28" s="751"/>
      <c r="AR28" s="552"/>
      <c r="AS28" s="751"/>
      <c r="AT28" s="552"/>
      <c r="AU28" s="751"/>
      <c r="AV28" s="552"/>
      <c r="AW28" s="751"/>
      <c r="AX28" s="552"/>
      <c r="AY28" s="751"/>
      <c r="AZ28" s="552"/>
      <c r="BA28" s="751"/>
      <c r="BB28" s="677"/>
      <c r="BC28" s="555"/>
      <c r="BD28" s="545"/>
      <c r="BE28" s="745" t="s">
        <v>392</v>
      </c>
      <c r="BF28" s="746"/>
      <c r="BG28" s="747">
        <v>55</v>
      </c>
      <c r="BH28" s="748">
        <v>12</v>
      </c>
      <c r="BI28" s="749" t="s">
        <v>393</v>
      </c>
      <c r="BJ28" s="750"/>
      <c r="BK28" s="552"/>
      <c r="BL28" s="751"/>
      <c r="BM28" s="552"/>
      <c r="BN28" s="751"/>
      <c r="BO28" s="552"/>
      <c r="BP28" s="751"/>
      <c r="BQ28" s="552"/>
      <c r="BR28" s="751"/>
      <c r="BS28" s="552"/>
      <c r="BT28" s="751"/>
      <c r="BU28" s="552"/>
      <c r="BV28" s="751"/>
      <c r="BW28" s="552"/>
      <c r="BX28" s="751"/>
      <c r="BY28" s="552"/>
      <c r="BZ28" s="751">
        <v>1</v>
      </c>
      <c r="CA28" s="552">
        <v>660</v>
      </c>
      <c r="CB28" s="751">
        <v>1</v>
      </c>
      <c r="CC28" s="552">
        <v>660</v>
      </c>
      <c r="CD28" s="751">
        <v>1</v>
      </c>
      <c r="CE28" s="552">
        <v>660</v>
      </c>
      <c r="CF28" s="751">
        <v>0.6</v>
      </c>
      <c r="CG28" s="552">
        <v>396</v>
      </c>
      <c r="CH28" s="751">
        <v>1</v>
      </c>
      <c r="CI28" s="552">
        <v>660</v>
      </c>
      <c r="CJ28" s="751">
        <v>1</v>
      </c>
      <c r="CK28" s="552">
        <v>660</v>
      </c>
      <c r="CL28" s="751">
        <v>1</v>
      </c>
      <c r="CM28" s="552">
        <v>660</v>
      </c>
      <c r="CN28" s="751">
        <v>1</v>
      </c>
      <c r="CO28" s="552">
        <v>660</v>
      </c>
      <c r="CP28" s="751">
        <v>1</v>
      </c>
      <c r="CQ28" s="552">
        <v>660</v>
      </c>
      <c r="CR28" s="751">
        <v>0.5</v>
      </c>
      <c r="CS28" s="552">
        <v>330</v>
      </c>
      <c r="CT28" s="751"/>
      <c r="CU28" s="552"/>
      <c r="CV28" s="751"/>
      <c r="CW28" s="552"/>
      <c r="CX28" s="751"/>
      <c r="CY28" s="552"/>
      <c r="CZ28" s="751"/>
      <c r="DA28" s="552"/>
      <c r="DB28" s="751"/>
      <c r="DC28" s="552"/>
      <c r="DD28" s="751"/>
      <c r="DE28" s="677"/>
      <c r="DF28" s="555"/>
      <c r="DG28" s="545"/>
      <c r="DH28" s="745" t="s">
        <v>392</v>
      </c>
      <c r="DI28" s="746"/>
      <c r="DJ28" s="747">
        <v>55</v>
      </c>
      <c r="DK28" s="748">
        <v>12</v>
      </c>
      <c r="DL28" s="749" t="s">
        <v>393</v>
      </c>
      <c r="DM28" s="750"/>
      <c r="DN28" s="552"/>
      <c r="DO28" s="751"/>
      <c r="DP28" s="552"/>
      <c r="DQ28" s="751"/>
      <c r="DR28" s="552"/>
      <c r="DS28" s="751"/>
      <c r="DT28" s="552"/>
      <c r="DU28" s="751"/>
      <c r="DV28" s="552"/>
      <c r="DW28" s="751"/>
      <c r="DX28" s="552"/>
      <c r="DY28" s="751"/>
      <c r="DZ28" s="552"/>
      <c r="EA28" s="751"/>
      <c r="EB28" s="552"/>
      <c r="EC28" s="751">
        <v>1</v>
      </c>
      <c r="ED28" s="552">
        <v>660</v>
      </c>
      <c r="EE28" s="751">
        <v>1</v>
      </c>
      <c r="EF28" s="552">
        <v>660</v>
      </c>
      <c r="EG28" s="751">
        <v>1</v>
      </c>
      <c r="EH28" s="552">
        <v>660</v>
      </c>
      <c r="EI28" s="751">
        <v>0.6</v>
      </c>
      <c r="EJ28" s="552">
        <v>396</v>
      </c>
      <c r="EK28" s="751">
        <v>1</v>
      </c>
      <c r="EL28" s="552">
        <v>660</v>
      </c>
      <c r="EM28" s="751">
        <v>1</v>
      </c>
      <c r="EN28" s="552">
        <v>660</v>
      </c>
      <c r="EO28" s="751">
        <v>1</v>
      </c>
      <c r="EP28" s="552">
        <v>660</v>
      </c>
      <c r="EQ28" s="751">
        <v>1</v>
      </c>
      <c r="ER28" s="552">
        <v>660</v>
      </c>
      <c r="ES28" s="751">
        <v>1</v>
      </c>
      <c r="ET28" s="552">
        <v>660</v>
      </c>
      <c r="EU28" s="751">
        <v>0.5</v>
      </c>
      <c r="EV28" s="552">
        <v>330</v>
      </c>
      <c r="EW28" s="751"/>
      <c r="EX28" s="552"/>
      <c r="EY28" s="751"/>
      <c r="EZ28" s="552"/>
      <c r="FA28" s="751"/>
      <c r="FB28" s="552"/>
      <c r="FC28" s="751"/>
      <c r="FD28" s="552"/>
      <c r="FE28" s="751"/>
      <c r="FF28" s="552"/>
      <c r="FG28" s="751"/>
      <c r="FH28" s="677"/>
      <c r="FI28" s="556"/>
      <c r="FJ28" s="557"/>
      <c r="FK28" s="745" t="s">
        <v>392</v>
      </c>
      <c r="FL28" s="746"/>
      <c r="FM28" s="752"/>
      <c r="FN28" s="748">
        <v>0</v>
      </c>
      <c r="FO28" s="749"/>
      <c r="FP28" s="678"/>
      <c r="FQ28" s="753"/>
      <c r="FR28" s="552">
        <v>0</v>
      </c>
      <c r="FS28" s="754"/>
      <c r="FT28" s="753"/>
      <c r="FU28" s="560">
        <v>0</v>
      </c>
      <c r="FV28" s="586"/>
      <c r="FW28" s="587"/>
      <c r="FX28" s="588"/>
      <c r="FY28" s="589"/>
      <c r="FZ28" s="590"/>
      <c r="GA28" s="591"/>
      <c r="GB28" s="592"/>
      <c r="GC28" s="593"/>
      <c r="GD28" s="592"/>
      <c r="GE28" s="594"/>
      <c r="GF28" s="755"/>
      <c r="GG28" s="595"/>
      <c r="GH28" s="595"/>
      <c r="GI28" s="595"/>
      <c r="GJ28" s="608"/>
      <c r="GK28" s="523" t="s">
        <v>640</v>
      </c>
      <c r="GL28" s="410"/>
      <c r="GM28" s="410"/>
      <c r="GN28" s="410"/>
      <c r="GO28" s="523"/>
      <c r="GP28" s="744">
        <v>28</v>
      </c>
      <c r="GQ28" s="410" t="s">
        <v>304</v>
      </c>
      <c r="GR28" s="726"/>
      <c r="GS28" s="523"/>
      <c r="GT28" s="756"/>
      <c r="GU28" s="573" t="s">
        <v>589</v>
      </c>
      <c r="GV28" s="602"/>
      <c r="GW28" s="523"/>
      <c r="GX28" s="522"/>
      <c r="GY28" s="406"/>
      <c r="GZ28" s="608"/>
      <c r="HA28" s="523"/>
      <c r="HB28" s="523"/>
      <c r="HC28" s="523"/>
      <c r="HD28" s="523"/>
      <c r="HE28" s="412"/>
      <c r="HF28" s="412"/>
      <c r="HG28" s="412"/>
      <c r="HH28" s="412"/>
    </row>
    <row r="29" spans="1:218" ht="20.100000000000001" customHeight="1" thickBot="1">
      <c r="A29" s="545"/>
      <c r="B29" s="757" t="s">
        <v>395</v>
      </c>
      <c r="C29" s="758"/>
      <c r="D29" s="759">
        <v>12</v>
      </c>
      <c r="E29" s="760">
        <v>115.57</v>
      </c>
      <c r="F29" s="761" t="s">
        <v>393</v>
      </c>
      <c r="G29" s="762"/>
      <c r="H29" s="580"/>
      <c r="I29" s="763"/>
      <c r="J29" s="580"/>
      <c r="K29" s="763"/>
      <c r="L29" s="580"/>
      <c r="M29" s="763"/>
      <c r="N29" s="580"/>
      <c r="O29" s="763"/>
      <c r="P29" s="580"/>
      <c r="Q29" s="763"/>
      <c r="R29" s="580"/>
      <c r="S29" s="763"/>
      <c r="T29" s="580"/>
      <c r="U29" s="763"/>
      <c r="V29" s="580"/>
      <c r="W29" s="763">
        <v>1</v>
      </c>
      <c r="X29" s="580">
        <v>1387</v>
      </c>
      <c r="Y29" s="763">
        <v>1</v>
      </c>
      <c r="Z29" s="580">
        <v>1387</v>
      </c>
      <c r="AA29" s="763">
        <v>1</v>
      </c>
      <c r="AB29" s="580">
        <v>1387</v>
      </c>
      <c r="AC29" s="763">
        <v>0.5</v>
      </c>
      <c r="AD29" s="580">
        <v>693</v>
      </c>
      <c r="AE29" s="763">
        <v>1</v>
      </c>
      <c r="AF29" s="580">
        <v>1387</v>
      </c>
      <c r="AG29" s="763">
        <v>1</v>
      </c>
      <c r="AH29" s="580">
        <v>1387</v>
      </c>
      <c r="AI29" s="763">
        <v>1</v>
      </c>
      <c r="AJ29" s="580">
        <v>1387</v>
      </c>
      <c r="AK29" s="763">
        <v>1</v>
      </c>
      <c r="AL29" s="580">
        <v>1387</v>
      </c>
      <c r="AM29" s="763">
        <v>1</v>
      </c>
      <c r="AN29" s="580">
        <v>1387</v>
      </c>
      <c r="AO29" s="763">
        <v>1</v>
      </c>
      <c r="AP29" s="580">
        <v>1387</v>
      </c>
      <c r="AQ29" s="763"/>
      <c r="AR29" s="580"/>
      <c r="AS29" s="763"/>
      <c r="AT29" s="580"/>
      <c r="AU29" s="763"/>
      <c r="AV29" s="580"/>
      <c r="AW29" s="763"/>
      <c r="AX29" s="580"/>
      <c r="AY29" s="763"/>
      <c r="AZ29" s="580"/>
      <c r="BA29" s="763"/>
      <c r="BB29" s="582"/>
      <c r="BC29" s="555"/>
      <c r="BD29" s="545"/>
      <c r="BE29" s="757" t="s">
        <v>395</v>
      </c>
      <c r="BF29" s="758"/>
      <c r="BG29" s="759">
        <v>12</v>
      </c>
      <c r="BH29" s="760">
        <v>115.57</v>
      </c>
      <c r="BI29" s="761" t="s">
        <v>393</v>
      </c>
      <c r="BJ29" s="762"/>
      <c r="BK29" s="580"/>
      <c r="BL29" s="763"/>
      <c r="BM29" s="580"/>
      <c r="BN29" s="763"/>
      <c r="BO29" s="580"/>
      <c r="BP29" s="763"/>
      <c r="BQ29" s="580"/>
      <c r="BR29" s="763"/>
      <c r="BS29" s="580"/>
      <c r="BT29" s="763"/>
      <c r="BU29" s="580"/>
      <c r="BV29" s="763"/>
      <c r="BW29" s="580"/>
      <c r="BX29" s="763"/>
      <c r="BY29" s="580"/>
      <c r="BZ29" s="763">
        <v>1</v>
      </c>
      <c r="CA29" s="580">
        <v>1387</v>
      </c>
      <c r="CB29" s="763">
        <v>1</v>
      </c>
      <c r="CC29" s="580">
        <v>1387</v>
      </c>
      <c r="CD29" s="763">
        <v>1</v>
      </c>
      <c r="CE29" s="580">
        <v>1387</v>
      </c>
      <c r="CF29" s="763">
        <v>0.5</v>
      </c>
      <c r="CG29" s="580">
        <v>693</v>
      </c>
      <c r="CH29" s="763">
        <v>1</v>
      </c>
      <c r="CI29" s="580">
        <v>1387</v>
      </c>
      <c r="CJ29" s="763">
        <v>1</v>
      </c>
      <c r="CK29" s="580">
        <v>1387</v>
      </c>
      <c r="CL29" s="763">
        <v>1</v>
      </c>
      <c r="CM29" s="580">
        <v>1387</v>
      </c>
      <c r="CN29" s="763">
        <v>1</v>
      </c>
      <c r="CO29" s="580">
        <v>1387</v>
      </c>
      <c r="CP29" s="763">
        <v>1</v>
      </c>
      <c r="CQ29" s="580">
        <v>1387</v>
      </c>
      <c r="CR29" s="763">
        <v>1</v>
      </c>
      <c r="CS29" s="580">
        <v>1387</v>
      </c>
      <c r="CT29" s="763"/>
      <c r="CU29" s="580"/>
      <c r="CV29" s="763"/>
      <c r="CW29" s="580"/>
      <c r="CX29" s="763"/>
      <c r="CY29" s="580"/>
      <c r="CZ29" s="763"/>
      <c r="DA29" s="580"/>
      <c r="DB29" s="763"/>
      <c r="DC29" s="580"/>
      <c r="DD29" s="763"/>
      <c r="DE29" s="582"/>
      <c r="DF29" s="555"/>
      <c r="DG29" s="545"/>
      <c r="DH29" s="757" t="s">
        <v>395</v>
      </c>
      <c r="DI29" s="758"/>
      <c r="DJ29" s="759">
        <v>12</v>
      </c>
      <c r="DK29" s="760">
        <v>115.57</v>
      </c>
      <c r="DL29" s="761" t="s">
        <v>393</v>
      </c>
      <c r="DM29" s="762"/>
      <c r="DN29" s="580"/>
      <c r="DO29" s="763"/>
      <c r="DP29" s="580"/>
      <c r="DQ29" s="763"/>
      <c r="DR29" s="580"/>
      <c r="DS29" s="763"/>
      <c r="DT29" s="580"/>
      <c r="DU29" s="763"/>
      <c r="DV29" s="580"/>
      <c r="DW29" s="763"/>
      <c r="DX29" s="580"/>
      <c r="DY29" s="763"/>
      <c r="DZ29" s="580"/>
      <c r="EA29" s="763"/>
      <c r="EB29" s="580"/>
      <c r="EC29" s="763">
        <v>1</v>
      </c>
      <c r="ED29" s="580">
        <v>1387</v>
      </c>
      <c r="EE29" s="763">
        <v>1</v>
      </c>
      <c r="EF29" s="580">
        <v>1387</v>
      </c>
      <c r="EG29" s="763">
        <v>1</v>
      </c>
      <c r="EH29" s="580">
        <v>1387</v>
      </c>
      <c r="EI29" s="763">
        <v>0.5</v>
      </c>
      <c r="EJ29" s="580">
        <v>693</v>
      </c>
      <c r="EK29" s="763">
        <v>1</v>
      </c>
      <c r="EL29" s="580">
        <v>1387</v>
      </c>
      <c r="EM29" s="763">
        <v>1</v>
      </c>
      <c r="EN29" s="580">
        <v>1387</v>
      </c>
      <c r="EO29" s="763">
        <v>1</v>
      </c>
      <c r="EP29" s="580">
        <v>1387</v>
      </c>
      <c r="EQ29" s="763">
        <v>1</v>
      </c>
      <c r="ER29" s="580">
        <v>1387</v>
      </c>
      <c r="ES29" s="763">
        <v>1</v>
      </c>
      <c r="ET29" s="580">
        <v>1387</v>
      </c>
      <c r="EU29" s="763">
        <v>1</v>
      </c>
      <c r="EV29" s="580">
        <v>1387</v>
      </c>
      <c r="EW29" s="763"/>
      <c r="EX29" s="580"/>
      <c r="EY29" s="763"/>
      <c r="EZ29" s="580"/>
      <c r="FA29" s="763"/>
      <c r="FB29" s="580"/>
      <c r="FC29" s="763"/>
      <c r="FD29" s="580"/>
      <c r="FE29" s="763"/>
      <c r="FF29" s="580"/>
      <c r="FG29" s="763"/>
      <c r="FH29" s="582"/>
      <c r="FI29" s="556"/>
      <c r="FJ29" s="557"/>
      <c r="FK29" s="757" t="s">
        <v>396</v>
      </c>
      <c r="FL29" s="758"/>
      <c r="FM29" s="764"/>
      <c r="FN29" s="760">
        <v>0</v>
      </c>
      <c r="FO29" s="761"/>
      <c r="FP29" s="689"/>
      <c r="FQ29" s="765"/>
      <c r="FR29" s="580">
        <v>0</v>
      </c>
      <c r="FS29" s="766"/>
      <c r="FT29" s="765"/>
      <c r="FU29" s="585">
        <v>0</v>
      </c>
      <c r="FV29" s="586"/>
      <c r="FW29" s="587"/>
      <c r="FX29" s="588"/>
      <c r="FY29" s="589"/>
      <c r="FZ29" s="590"/>
      <c r="GA29" s="591"/>
      <c r="GB29" s="592"/>
      <c r="GC29" s="593"/>
      <c r="GD29" s="592"/>
      <c r="GE29" s="594"/>
      <c r="GF29" s="755"/>
      <c r="GG29" s="595"/>
      <c r="GH29" s="595"/>
      <c r="GI29" s="595"/>
      <c r="GJ29" s="608"/>
      <c r="GK29" s="767" t="s">
        <v>641</v>
      </c>
      <c r="GL29" s="767"/>
      <c r="GM29" s="767"/>
      <c r="GN29" s="767"/>
      <c r="GO29" s="608"/>
      <c r="GP29" s="744">
        <v>-4.8999999999999986</v>
      </c>
      <c r="GQ29" s="410" t="s">
        <v>484</v>
      </c>
      <c r="GR29" s="768"/>
      <c r="GS29" s="523"/>
      <c r="GT29" s="756"/>
      <c r="GU29" s="573" t="s">
        <v>642</v>
      </c>
      <c r="GV29" s="602"/>
      <c r="GW29" s="523"/>
      <c r="GX29" s="522"/>
      <c r="GY29" s="406"/>
      <c r="GZ29" s="523"/>
      <c r="HA29" s="573"/>
      <c r="HB29" s="573"/>
      <c r="HC29" s="572"/>
      <c r="HD29" s="523"/>
      <c r="HE29" s="412"/>
      <c r="HF29" s="412"/>
    </row>
    <row r="30" spans="1:218" ht="20.100000000000001" customHeight="1">
      <c r="A30" s="545"/>
      <c r="B30" s="757" t="s">
        <v>397</v>
      </c>
      <c r="C30" s="759">
        <v>12</v>
      </c>
      <c r="D30" s="760">
        <v>115.57</v>
      </c>
      <c r="E30" s="769">
        <v>1</v>
      </c>
      <c r="F30" s="770" t="s">
        <v>393</v>
      </c>
      <c r="G30" s="762"/>
      <c r="H30" s="580"/>
      <c r="I30" s="763"/>
      <c r="J30" s="580"/>
      <c r="K30" s="763"/>
      <c r="L30" s="580"/>
      <c r="M30" s="763"/>
      <c r="N30" s="580"/>
      <c r="O30" s="763"/>
      <c r="P30" s="580"/>
      <c r="Q30" s="763"/>
      <c r="R30" s="580"/>
      <c r="S30" s="763"/>
      <c r="T30" s="580"/>
      <c r="U30" s="763"/>
      <c r="V30" s="580"/>
      <c r="W30" s="763">
        <v>1</v>
      </c>
      <c r="X30" s="580">
        <v>1387</v>
      </c>
      <c r="Y30" s="763">
        <v>1</v>
      </c>
      <c r="Z30" s="580">
        <v>1387</v>
      </c>
      <c r="AA30" s="763">
        <v>1</v>
      </c>
      <c r="AB30" s="580">
        <v>1387</v>
      </c>
      <c r="AC30" s="763">
        <v>0.8</v>
      </c>
      <c r="AD30" s="580">
        <v>1109</v>
      </c>
      <c r="AE30" s="763">
        <v>1</v>
      </c>
      <c r="AF30" s="580">
        <v>1387</v>
      </c>
      <c r="AG30" s="763">
        <v>1</v>
      </c>
      <c r="AH30" s="580">
        <v>1387</v>
      </c>
      <c r="AI30" s="763">
        <v>1</v>
      </c>
      <c r="AJ30" s="580">
        <v>1387</v>
      </c>
      <c r="AK30" s="763">
        <v>1</v>
      </c>
      <c r="AL30" s="580">
        <v>1387</v>
      </c>
      <c r="AM30" s="763">
        <v>1</v>
      </c>
      <c r="AN30" s="580">
        <v>1387</v>
      </c>
      <c r="AO30" s="763">
        <v>1</v>
      </c>
      <c r="AP30" s="580">
        <v>1387</v>
      </c>
      <c r="AQ30" s="763"/>
      <c r="AR30" s="580"/>
      <c r="AS30" s="763"/>
      <c r="AT30" s="580"/>
      <c r="AU30" s="763"/>
      <c r="AV30" s="580"/>
      <c r="AW30" s="763"/>
      <c r="AX30" s="580"/>
      <c r="AY30" s="763"/>
      <c r="AZ30" s="580"/>
      <c r="BA30" s="763"/>
      <c r="BB30" s="582"/>
      <c r="BC30" s="555"/>
      <c r="BD30" s="545"/>
      <c r="BE30" s="757" t="s">
        <v>397</v>
      </c>
      <c r="BF30" s="759">
        <v>12</v>
      </c>
      <c r="BG30" s="760">
        <v>115.57</v>
      </c>
      <c r="BH30" s="769">
        <v>1</v>
      </c>
      <c r="BI30" s="770" t="s">
        <v>393</v>
      </c>
      <c r="BJ30" s="762"/>
      <c r="BK30" s="580"/>
      <c r="BL30" s="763"/>
      <c r="BM30" s="580"/>
      <c r="BN30" s="763"/>
      <c r="BO30" s="580"/>
      <c r="BP30" s="763"/>
      <c r="BQ30" s="580"/>
      <c r="BR30" s="763"/>
      <c r="BS30" s="580"/>
      <c r="BT30" s="763"/>
      <c r="BU30" s="580"/>
      <c r="BV30" s="763"/>
      <c r="BW30" s="580"/>
      <c r="BX30" s="763"/>
      <c r="BY30" s="580"/>
      <c r="BZ30" s="763">
        <v>1</v>
      </c>
      <c r="CA30" s="580">
        <v>1387</v>
      </c>
      <c r="CB30" s="763">
        <v>1</v>
      </c>
      <c r="CC30" s="580">
        <v>1387</v>
      </c>
      <c r="CD30" s="763">
        <v>1</v>
      </c>
      <c r="CE30" s="580">
        <v>1387</v>
      </c>
      <c r="CF30" s="763">
        <v>0.8</v>
      </c>
      <c r="CG30" s="580">
        <v>1109</v>
      </c>
      <c r="CH30" s="763">
        <v>1</v>
      </c>
      <c r="CI30" s="580">
        <v>1387</v>
      </c>
      <c r="CJ30" s="763">
        <v>1</v>
      </c>
      <c r="CK30" s="580">
        <v>1387</v>
      </c>
      <c r="CL30" s="763">
        <v>1</v>
      </c>
      <c r="CM30" s="580">
        <v>1387</v>
      </c>
      <c r="CN30" s="763">
        <v>1</v>
      </c>
      <c r="CO30" s="580">
        <v>1387</v>
      </c>
      <c r="CP30" s="763">
        <v>1</v>
      </c>
      <c r="CQ30" s="580">
        <v>1387</v>
      </c>
      <c r="CR30" s="763">
        <v>1</v>
      </c>
      <c r="CS30" s="580">
        <v>1387</v>
      </c>
      <c r="CT30" s="763"/>
      <c r="CU30" s="580"/>
      <c r="CV30" s="763"/>
      <c r="CW30" s="580"/>
      <c r="CX30" s="763"/>
      <c r="CY30" s="580"/>
      <c r="CZ30" s="763"/>
      <c r="DA30" s="580"/>
      <c r="DB30" s="763"/>
      <c r="DC30" s="580"/>
      <c r="DD30" s="763"/>
      <c r="DE30" s="582"/>
      <c r="DF30" s="555"/>
      <c r="DG30" s="545"/>
      <c r="DH30" s="757" t="s">
        <v>564</v>
      </c>
      <c r="DI30" s="759">
        <v>12</v>
      </c>
      <c r="DJ30" s="760">
        <v>115.57</v>
      </c>
      <c r="DK30" s="769">
        <v>1</v>
      </c>
      <c r="DL30" s="770" t="s">
        <v>393</v>
      </c>
      <c r="DM30" s="762"/>
      <c r="DN30" s="580"/>
      <c r="DO30" s="763"/>
      <c r="DP30" s="580"/>
      <c r="DQ30" s="763"/>
      <c r="DR30" s="580"/>
      <c r="DS30" s="763"/>
      <c r="DT30" s="580"/>
      <c r="DU30" s="763"/>
      <c r="DV30" s="580"/>
      <c r="DW30" s="763"/>
      <c r="DX30" s="580"/>
      <c r="DY30" s="763"/>
      <c r="DZ30" s="580"/>
      <c r="EA30" s="763"/>
      <c r="EB30" s="580"/>
      <c r="EC30" s="763">
        <v>1</v>
      </c>
      <c r="ED30" s="580">
        <v>1387</v>
      </c>
      <c r="EE30" s="763">
        <v>1</v>
      </c>
      <c r="EF30" s="580">
        <v>1387</v>
      </c>
      <c r="EG30" s="763">
        <v>1</v>
      </c>
      <c r="EH30" s="580">
        <v>1387</v>
      </c>
      <c r="EI30" s="763">
        <v>0.8</v>
      </c>
      <c r="EJ30" s="580">
        <v>1109</v>
      </c>
      <c r="EK30" s="763">
        <v>1</v>
      </c>
      <c r="EL30" s="580">
        <v>1387</v>
      </c>
      <c r="EM30" s="763">
        <v>1</v>
      </c>
      <c r="EN30" s="580">
        <v>1387</v>
      </c>
      <c r="EO30" s="763">
        <v>1</v>
      </c>
      <c r="EP30" s="580">
        <v>1387</v>
      </c>
      <c r="EQ30" s="763">
        <v>1</v>
      </c>
      <c r="ER30" s="580">
        <v>1387</v>
      </c>
      <c r="ES30" s="763">
        <v>1</v>
      </c>
      <c r="ET30" s="580">
        <v>1387</v>
      </c>
      <c r="EU30" s="763">
        <v>1</v>
      </c>
      <c r="EV30" s="580">
        <v>1387</v>
      </c>
      <c r="EW30" s="763"/>
      <c r="EX30" s="580"/>
      <c r="EY30" s="763"/>
      <c r="EZ30" s="580"/>
      <c r="FA30" s="763"/>
      <c r="FB30" s="580"/>
      <c r="FC30" s="763"/>
      <c r="FD30" s="580"/>
      <c r="FE30" s="763"/>
      <c r="FF30" s="580"/>
      <c r="FG30" s="763"/>
      <c r="FH30" s="582"/>
      <c r="FI30" s="556"/>
      <c r="FJ30" s="557"/>
      <c r="FK30" s="757" t="s">
        <v>397</v>
      </c>
      <c r="FL30" s="764"/>
      <c r="FM30" s="760">
        <v>0</v>
      </c>
      <c r="FN30" s="769">
        <v>0</v>
      </c>
      <c r="FO30" s="770"/>
      <c r="FP30" s="689"/>
      <c r="FQ30" s="765"/>
      <c r="FR30" s="580">
        <v>0</v>
      </c>
      <c r="FS30" s="766"/>
      <c r="FT30" s="765"/>
      <c r="FU30" s="585">
        <v>0</v>
      </c>
      <c r="FV30" s="586"/>
      <c r="FW30" s="587"/>
      <c r="FX30" s="588"/>
      <c r="FY30" s="589"/>
      <c r="FZ30" s="590"/>
      <c r="GA30" s="591"/>
      <c r="GB30" s="592"/>
      <c r="GC30" s="593"/>
      <c r="GD30" s="592"/>
      <c r="GE30" s="594"/>
      <c r="GF30" s="755"/>
      <c r="GG30" s="595"/>
      <c r="GH30" s="595"/>
      <c r="GI30" s="595"/>
      <c r="GJ30" s="608"/>
      <c r="GK30" s="767" t="s">
        <v>643</v>
      </c>
      <c r="GL30" s="767"/>
      <c r="GM30" s="767"/>
      <c r="GN30" s="767"/>
      <c r="GO30" s="523"/>
      <c r="GP30" s="771">
        <v>-1.36</v>
      </c>
      <c r="GQ30" s="410"/>
      <c r="GR30" s="410"/>
      <c r="GS30" s="523"/>
      <c r="GT30" s="756"/>
      <c r="GU30" s="772" t="s">
        <v>349</v>
      </c>
      <c r="GV30" s="773"/>
      <c r="GW30" s="774" t="s">
        <v>490</v>
      </c>
      <c r="GX30" s="774"/>
      <c r="GY30" s="774"/>
      <c r="GZ30" s="774"/>
      <c r="HA30" s="775"/>
      <c r="HB30" s="776" t="s">
        <v>491</v>
      </c>
      <c r="HC30" s="572"/>
      <c r="HD30" s="555"/>
      <c r="HE30" s="412"/>
      <c r="HF30" s="412"/>
    </row>
    <row r="31" spans="1:218" ht="20.100000000000001" customHeight="1">
      <c r="A31" s="545"/>
      <c r="B31" s="777" t="s">
        <v>398</v>
      </c>
      <c r="C31" s="777"/>
      <c r="D31" s="778"/>
      <c r="E31" s="779"/>
      <c r="F31" s="780"/>
      <c r="G31" s="762"/>
      <c r="H31" s="580"/>
      <c r="I31" s="763"/>
      <c r="J31" s="580"/>
      <c r="K31" s="763"/>
      <c r="L31" s="580"/>
      <c r="M31" s="763"/>
      <c r="N31" s="580"/>
      <c r="O31" s="763"/>
      <c r="P31" s="580"/>
      <c r="Q31" s="763"/>
      <c r="R31" s="580"/>
      <c r="S31" s="763"/>
      <c r="T31" s="580"/>
      <c r="U31" s="763"/>
      <c r="V31" s="580"/>
      <c r="W31" s="763"/>
      <c r="X31" s="580">
        <v>0</v>
      </c>
      <c r="Y31" s="763"/>
      <c r="Z31" s="580">
        <v>0</v>
      </c>
      <c r="AA31" s="763"/>
      <c r="AB31" s="580">
        <v>0</v>
      </c>
      <c r="AC31" s="763"/>
      <c r="AD31" s="580">
        <v>0</v>
      </c>
      <c r="AE31" s="763"/>
      <c r="AF31" s="580">
        <v>0</v>
      </c>
      <c r="AG31" s="763"/>
      <c r="AH31" s="580">
        <v>0</v>
      </c>
      <c r="AI31" s="763"/>
      <c r="AJ31" s="580">
        <v>0</v>
      </c>
      <c r="AK31" s="763"/>
      <c r="AL31" s="580">
        <v>0</v>
      </c>
      <c r="AM31" s="763"/>
      <c r="AN31" s="580">
        <v>0</v>
      </c>
      <c r="AO31" s="763"/>
      <c r="AP31" s="580">
        <v>0</v>
      </c>
      <c r="AQ31" s="763"/>
      <c r="AR31" s="580"/>
      <c r="AS31" s="763"/>
      <c r="AT31" s="580"/>
      <c r="AU31" s="763"/>
      <c r="AV31" s="580"/>
      <c r="AW31" s="763"/>
      <c r="AX31" s="580"/>
      <c r="AY31" s="763"/>
      <c r="AZ31" s="580"/>
      <c r="BA31" s="763"/>
      <c r="BB31" s="582"/>
      <c r="BC31" s="555"/>
      <c r="BD31" s="545"/>
      <c r="BE31" s="777" t="s">
        <v>399</v>
      </c>
      <c r="BF31" s="777"/>
      <c r="BG31" s="778">
        <v>0</v>
      </c>
      <c r="BH31" s="779">
        <v>0</v>
      </c>
      <c r="BI31" s="780"/>
      <c r="BJ31" s="762"/>
      <c r="BK31" s="580"/>
      <c r="BL31" s="763"/>
      <c r="BM31" s="580"/>
      <c r="BN31" s="763"/>
      <c r="BO31" s="580"/>
      <c r="BP31" s="763"/>
      <c r="BQ31" s="580"/>
      <c r="BR31" s="763"/>
      <c r="BS31" s="580"/>
      <c r="BT31" s="763"/>
      <c r="BU31" s="580"/>
      <c r="BV31" s="763"/>
      <c r="BW31" s="580"/>
      <c r="BX31" s="763"/>
      <c r="BY31" s="580"/>
      <c r="BZ31" s="763"/>
      <c r="CA31" s="580">
        <v>0</v>
      </c>
      <c r="CB31" s="763"/>
      <c r="CC31" s="580">
        <v>0</v>
      </c>
      <c r="CD31" s="763"/>
      <c r="CE31" s="580">
        <v>0</v>
      </c>
      <c r="CF31" s="763"/>
      <c r="CG31" s="580">
        <v>0</v>
      </c>
      <c r="CH31" s="763"/>
      <c r="CI31" s="580">
        <v>0</v>
      </c>
      <c r="CJ31" s="763"/>
      <c r="CK31" s="580">
        <v>0</v>
      </c>
      <c r="CL31" s="763"/>
      <c r="CM31" s="580">
        <v>0</v>
      </c>
      <c r="CN31" s="763"/>
      <c r="CO31" s="580">
        <v>0</v>
      </c>
      <c r="CP31" s="763"/>
      <c r="CQ31" s="580">
        <v>0</v>
      </c>
      <c r="CR31" s="763"/>
      <c r="CS31" s="580">
        <v>0</v>
      </c>
      <c r="CT31" s="763"/>
      <c r="CU31" s="580"/>
      <c r="CV31" s="763"/>
      <c r="CW31" s="580"/>
      <c r="CX31" s="763"/>
      <c r="CY31" s="580"/>
      <c r="CZ31" s="763"/>
      <c r="DA31" s="580"/>
      <c r="DB31" s="763"/>
      <c r="DC31" s="580"/>
      <c r="DD31" s="763"/>
      <c r="DE31" s="582"/>
      <c r="DF31" s="555"/>
      <c r="DG31" s="545"/>
      <c r="DH31" s="777" t="s">
        <v>399</v>
      </c>
      <c r="DI31" s="777"/>
      <c r="DJ31" s="778">
        <v>0</v>
      </c>
      <c r="DK31" s="779">
        <v>0</v>
      </c>
      <c r="DL31" s="780"/>
      <c r="DM31" s="762"/>
      <c r="DN31" s="580"/>
      <c r="DO31" s="763"/>
      <c r="DP31" s="580"/>
      <c r="DQ31" s="763"/>
      <c r="DR31" s="580"/>
      <c r="DS31" s="763"/>
      <c r="DT31" s="580"/>
      <c r="DU31" s="763"/>
      <c r="DV31" s="580"/>
      <c r="DW31" s="763"/>
      <c r="DX31" s="580"/>
      <c r="DY31" s="763"/>
      <c r="DZ31" s="580"/>
      <c r="EA31" s="763"/>
      <c r="EB31" s="580"/>
      <c r="EC31" s="763"/>
      <c r="ED31" s="580">
        <v>0</v>
      </c>
      <c r="EE31" s="763"/>
      <c r="EF31" s="580">
        <v>0</v>
      </c>
      <c r="EG31" s="763"/>
      <c r="EH31" s="580">
        <v>0</v>
      </c>
      <c r="EI31" s="763"/>
      <c r="EJ31" s="580">
        <v>0</v>
      </c>
      <c r="EK31" s="763"/>
      <c r="EL31" s="580">
        <v>0</v>
      </c>
      <c r="EM31" s="763"/>
      <c r="EN31" s="580">
        <v>0</v>
      </c>
      <c r="EO31" s="763"/>
      <c r="EP31" s="580">
        <v>0</v>
      </c>
      <c r="EQ31" s="763"/>
      <c r="ER31" s="580">
        <v>0</v>
      </c>
      <c r="ES31" s="763"/>
      <c r="ET31" s="580">
        <v>0</v>
      </c>
      <c r="EU31" s="763"/>
      <c r="EV31" s="580">
        <v>0</v>
      </c>
      <c r="EW31" s="763"/>
      <c r="EX31" s="580"/>
      <c r="EY31" s="763"/>
      <c r="EZ31" s="580"/>
      <c r="FA31" s="763"/>
      <c r="FB31" s="580"/>
      <c r="FC31" s="763"/>
      <c r="FD31" s="580"/>
      <c r="FE31" s="763"/>
      <c r="FF31" s="580"/>
      <c r="FG31" s="763"/>
      <c r="FH31" s="582"/>
      <c r="FI31" s="556"/>
      <c r="FJ31" s="557"/>
      <c r="FK31" s="777" t="s">
        <v>399</v>
      </c>
      <c r="FL31" s="777"/>
      <c r="FM31" s="781"/>
      <c r="FN31" s="779">
        <v>0</v>
      </c>
      <c r="FO31" s="780"/>
      <c r="FP31" s="689"/>
      <c r="FQ31" s="765"/>
      <c r="FR31" s="580">
        <v>0</v>
      </c>
      <c r="FS31" s="766"/>
      <c r="FT31" s="765"/>
      <c r="FU31" s="585">
        <v>0</v>
      </c>
      <c r="FV31" s="586"/>
      <c r="FW31" s="587"/>
      <c r="FX31" s="588"/>
      <c r="FY31" s="589"/>
      <c r="FZ31" s="590"/>
      <c r="GA31" s="591"/>
      <c r="GB31" s="592"/>
      <c r="GC31" s="593"/>
      <c r="GD31" s="592"/>
      <c r="GE31" s="594"/>
      <c r="GF31" s="755"/>
      <c r="GG31" s="595"/>
      <c r="GH31" s="595"/>
      <c r="GI31" s="595"/>
      <c r="GJ31" s="410"/>
      <c r="GK31" s="573" t="s">
        <v>646</v>
      </c>
      <c r="GL31" s="410"/>
      <c r="GM31" s="573"/>
      <c r="GN31" s="410"/>
      <c r="GO31" s="573"/>
      <c r="GP31" s="771">
        <v>-1</v>
      </c>
      <c r="GQ31" s="410"/>
      <c r="GR31" s="410"/>
      <c r="GS31" s="573"/>
      <c r="GT31" s="756"/>
      <c r="GU31" s="772"/>
      <c r="GV31" s="773"/>
      <c r="GW31" s="782" t="s">
        <v>493</v>
      </c>
      <c r="GX31" s="783" t="s">
        <v>494</v>
      </c>
      <c r="GY31" s="784" t="s">
        <v>647</v>
      </c>
      <c r="GZ31" s="785" t="s">
        <v>648</v>
      </c>
      <c r="HA31" s="785" t="s">
        <v>471</v>
      </c>
      <c r="HB31" s="786"/>
      <c r="HC31" s="572"/>
      <c r="HD31" s="555"/>
      <c r="HE31" s="412"/>
      <c r="HF31" s="412"/>
    </row>
    <row r="32" spans="1:218" ht="20.100000000000001" customHeight="1">
      <c r="A32" s="545"/>
      <c r="B32" s="787" t="s">
        <v>401</v>
      </c>
      <c r="C32" s="788"/>
      <c r="D32" s="778"/>
      <c r="E32" s="789"/>
      <c r="F32" s="790"/>
      <c r="G32" s="791"/>
      <c r="H32" s="792"/>
      <c r="I32" s="793"/>
      <c r="J32" s="792"/>
      <c r="K32" s="793"/>
      <c r="L32" s="792"/>
      <c r="M32" s="793"/>
      <c r="N32" s="792"/>
      <c r="O32" s="793"/>
      <c r="P32" s="792"/>
      <c r="Q32" s="793"/>
      <c r="R32" s="792"/>
      <c r="S32" s="793"/>
      <c r="T32" s="792"/>
      <c r="U32" s="793"/>
      <c r="V32" s="792"/>
      <c r="W32" s="793"/>
      <c r="X32" s="792">
        <v>0</v>
      </c>
      <c r="Y32" s="793"/>
      <c r="Z32" s="792">
        <v>0</v>
      </c>
      <c r="AA32" s="793"/>
      <c r="AB32" s="792">
        <v>0</v>
      </c>
      <c r="AC32" s="793"/>
      <c r="AD32" s="792">
        <v>0</v>
      </c>
      <c r="AE32" s="793"/>
      <c r="AF32" s="792">
        <v>0</v>
      </c>
      <c r="AG32" s="793"/>
      <c r="AH32" s="792">
        <v>0</v>
      </c>
      <c r="AI32" s="793"/>
      <c r="AJ32" s="792">
        <v>0</v>
      </c>
      <c r="AK32" s="793"/>
      <c r="AL32" s="792">
        <v>0</v>
      </c>
      <c r="AM32" s="793"/>
      <c r="AN32" s="792">
        <v>0</v>
      </c>
      <c r="AO32" s="793"/>
      <c r="AP32" s="792">
        <v>0</v>
      </c>
      <c r="AQ32" s="793"/>
      <c r="AR32" s="792"/>
      <c r="AS32" s="793"/>
      <c r="AT32" s="792"/>
      <c r="AU32" s="793"/>
      <c r="AV32" s="792"/>
      <c r="AW32" s="793"/>
      <c r="AX32" s="792"/>
      <c r="AY32" s="793"/>
      <c r="AZ32" s="792"/>
      <c r="BA32" s="793"/>
      <c r="BB32" s="794"/>
      <c r="BC32" s="555"/>
      <c r="BD32" s="545"/>
      <c r="BE32" s="787" t="s">
        <v>400</v>
      </c>
      <c r="BF32" s="788"/>
      <c r="BG32" s="778">
        <v>0</v>
      </c>
      <c r="BH32" s="789">
        <v>0</v>
      </c>
      <c r="BI32" s="790"/>
      <c r="BJ32" s="791"/>
      <c r="BK32" s="792"/>
      <c r="BL32" s="793"/>
      <c r="BM32" s="792"/>
      <c r="BN32" s="793"/>
      <c r="BO32" s="792"/>
      <c r="BP32" s="793"/>
      <c r="BQ32" s="792"/>
      <c r="BR32" s="793"/>
      <c r="BS32" s="792"/>
      <c r="BT32" s="793"/>
      <c r="BU32" s="792"/>
      <c r="BV32" s="793"/>
      <c r="BW32" s="792"/>
      <c r="BX32" s="793"/>
      <c r="BY32" s="792"/>
      <c r="BZ32" s="793"/>
      <c r="CA32" s="792">
        <v>0</v>
      </c>
      <c r="CB32" s="793"/>
      <c r="CC32" s="792">
        <v>0</v>
      </c>
      <c r="CD32" s="793"/>
      <c r="CE32" s="792">
        <v>0</v>
      </c>
      <c r="CF32" s="793"/>
      <c r="CG32" s="792">
        <v>0</v>
      </c>
      <c r="CH32" s="793"/>
      <c r="CI32" s="792">
        <v>0</v>
      </c>
      <c r="CJ32" s="793"/>
      <c r="CK32" s="792">
        <v>0</v>
      </c>
      <c r="CL32" s="793"/>
      <c r="CM32" s="792">
        <v>0</v>
      </c>
      <c r="CN32" s="793"/>
      <c r="CO32" s="792">
        <v>0</v>
      </c>
      <c r="CP32" s="793"/>
      <c r="CQ32" s="792">
        <v>0</v>
      </c>
      <c r="CR32" s="793"/>
      <c r="CS32" s="792">
        <v>0</v>
      </c>
      <c r="CT32" s="793"/>
      <c r="CU32" s="792"/>
      <c r="CV32" s="793"/>
      <c r="CW32" s="792"/>
      <c r="CX32" s="793"/>
      <c r="CY32" s="792"/>
      <c r="CZ32" s="793"/>
      <c r="DA32" s="792"/>
      <c r="DB32" s="793"/>
      <c r="DC32" s="792"/>
      <c r="DD32" s="793"/>
      <c r="DE32" s="794"/>
      <c r="DF32" s="555"/>
      <c r="DG32" s="545"/>
      <c r="DH32" s="787" t="s">
        <v>400</v>
      </c>
      <c r="DI32" s="788"/>
      <c r="DJ32" s="778">
        <v>0</v>
      </c>
      <c r="DK32" s="789">
        <v>0</v>
      </c>
      <c r="DL32" s="790"/>
      <c r="DM32" s="791"/>
      <c r="DN32" s="792"/>
      <c r="DO32" s="793"/>
      <c r="DP32" s="792"/>
      <c r="DQ32" s="793"/>
      <c r="DR32" s="792"/>
      <c r="DS32" s="793"/>
      <c r="DT32" s="792"/>
      <c r="DU32" s="793"/>
      <c r="DV32" s="792"/>
      <c r="DW32" s="793"/>
      <c r="DX32" s="792"/>
      <c r="DY32" s="793"/>
      <c r="DZ32" s="792"/>
      <c r="EA32" s="793"/>
      <c r="EB32" s="792"/>
      <c r="EC32" s="793"/>
      <c r="ED32" s="792">
        <v>0</v>
      </c>
      <c r="EE32" s="793"/>
      <c r="EF32" s="792">
        <v>0</v>
      </c>
      <c r="EG32" s="793"/>
      <c r="EH32" s="792">
        <v>0</v>
      </c>
      <c r="EI32" s="793"/>
      <c r="EJ32" s="792">
        <v>0</v>
      </c>
      <c r="EK32" s="793"/>
      <c r="EL32" s="792">
        <v>0</v>
      </c>
      <c r="EM32" s="793"/>
      <c r="EN32" s="792">
        <v>0</v>
      </c>
      <c r="EO32" s="793"/>
      <c r="EP32" s="792">
        <v>0</v>
      </c>
      <c r="EQ32" s="793"/>
      <c r="ER32" s="792">
        <v>0</v>
      </c>
      <c r="ES32" s="793"/>
      <c r="ET32" s="792">
        <v>0</v>
      </c>
      <c r="EU32" s="793"/>
      <c r="EV32" s="792">
        <v>0</v>
      </c>
      <c r="EW32" s="793"/>
      <c r="EX32" s="792"/>
      <c r="EY32" s="793"/>
      <c r="EZ32" s="792"/>
      <c r="FA32" s="793"/>
      <c r="FB32" s="792"/>
      <c r="FC32" s="793"/>
      <c r="FD32" s="792"/>
      <c r="FE32" s="793"/>
      <c r="FF32" s="792"/>
      <c r="FG32" s="793"/>
      <c r="FH32" s="794"/>
      <c r="FI32" s="556"/>
      <c r="FJ32" s="557"/>
      <c r="FK32" s="787" t="s">
        <v>401</v>
      </c>
      <c r="FL32" s="788"/>
      <c r="FM32" s="781"/>
      <c r="FN32" s="789">
        <v>0</v>
      </c>
      <c r="FO32" s="790"/>
      <c r="FP32" s="795"/>
      <c r="FQ32" s="796"/>
      <c r="FR32" s="792">
        <v>0</v>
      </c>
      <c r="FS32" s="797"/>
      <c r="FT32" s="796"/>
      <c r="FU32" s="798">
        <v>0</v>
      </c>
      <c r="FV32" s="586"/>
      <c r="FW32" s="587"/>
      <c r="FX32" s="799"/>
      <c r="FY32" s="589"/>
      <c r="FZ32" s="800"/>
      <c r="GA32" s="591"/>
      <c r="GB32" s="801"/>
      <c r="GC32" s="593"/>
      <c r="GD32" s="801"/>
      <c r="GE32" s="594"/>
      <c r="GF32" s="755"/>
      <c r="GG32" s="595"/>
      <c r="GH32" s="595"/>
      <c r="GI32" s="595"/>
      <c r="GJ32" s="493"/>
      <c r="GK32" s="494"/>
      <c r="GL32" s="494"/>
      <c r="GM32" s="494"/>
      <c r="GN32" s="494"/>
      <c r="GO32" s="494"/>
      <c r="GP32" s="494"/>
      <c r="GQ32" s="494"/>
      <c r="GR32" s="494"/>
      <c r="GS32" s="406"/>
      <c r="GT32" s="756"/>
      <c r="GU32" s="802"/>
      <c r="GV32" s="803"/>
      <c r="GW32" s="782"/>
      <c r="GX32" s="783"/>
      <c r="GY32" s="784"/>
      <c r="GZ32" s="785"/>
      <c r="HA32" s="785"/>
      <c r="HB32" s="786"/>
      <c r="HC32" s="410"/>
      <c r="HD32" s="555"/>
      <c r="HE32" s="412"/>
      <c r="HF32" s="412"/>
    </row>
    <row r="33" spans="1:219" ht="20.100000000000001" customHeight="1">
      <c r="A33" s="634"/>
      <c r="B33" s="635"/>
      <c r="C33" s="635"/>
      <c r="D33" s="636" t="s">
        <v>565</v>
      </c>
      <c r="E33" s="635"/>
      <c r="F33" s="635"/>
      <c r="G33" s="637"/>
      <c r="H33" s="638">
        <v>0</v>
      </c>
      <c r="I33" s="1276"/>
      <c r="J33" s="638">
        <v>0</v>
      </c>
      <c r="K33" s="1276"/>
      <c r="L33" s="638">
        <v>0</v>
      </c>
      <c r="M33" s="1276"/>
      <c r="N33" s="638">
        <v>0</v>
      </c>
      <c r="O33" s="1276"/>
      <c r="P33" s="638">
        <v>0</v>
      </c>
      <c r="Q33" s="1276"/>
      <c r="R33" s="638">
        <v>0</v>
      </c>
      <c r="S33" s="1276"/>
      <c r="T33" s="638">
        <v>0</v>
      </c>
      <c r="U33" s="1276"/>
      <c r="V33" s="638">
        <v>0</v>
      </c>
      <c r="W33" s="1276"/>
      <c r="X33" s="638">
        <v>3434</v>
      </c>
      <c r="Y33" s="1276"/>
      <c r="Z33" s="638">
        <v>3434</v>
      </c>
      <c r="AA33" s="1276"/>
      <c r="AB33" s="638">
        <v>3434</v>
      </c>
      <c r="AC33" s="1276"/>
      <c r="AD33" s="638">
        <v>2198</v>
      </c>
      <c r="AE33" s="1276"/>
      <c r="AF33" s="638">
        <v>3434</v>
      </c>
      <c r="AG33" s="1276"/>
      <c r="AH33" s="638">
        <v>3434</v>
      </c>
      <c r="AI33" s="1276"/>
      <c r="AJ33" s="638">
        <v>3434</v>
      </c>
      <c r="AK33" s="1276"/>
      <c r="AL33" s="638">
        <v>3434</v>
      </c>
      <c r="AM33" s="1276"/>
      <c r="AN33" s="638">
        <v>3434</v>
      </c>
      <c r="AO33" s="1276"/>
      <c r="AP33" s="638">
        <v>3104</v>
      </c>
      <c r="AQ33" s="1276"/>
      <c r="AR33" s="638">
        <v>0</v>
      </c>
      <c r="AS33" s="1276"/>
      <c r="AT33" s="638">
        <v>0</v>
      </c>
      <c r="AU33" s="1276"/>
      <c r="AV33" s="638">
        <v>0</v>
      </c>
      <c r="AW33" s="1276"/>
      <c r="AX33" s="638">
        <v>0</v>
      </c>
      <c r="AY33" s="1276"/>
      <c r="AZ33" s="638">
        <v>0</v>
      </c>
      <c r="BA33" s="1276"/>
      <c r="BB33" s="640">
        <v>0</v>
      </c>
      <c r="BC33" s="641"/>
      <c r="BD33" s="634"/>
      <c r="BE33" s="635"/>
      <c r="BF33" s="635"/>
      <c r="BG33" s="636" t="s">
        <v>565</v>
      </c>
      <c r="BH33" s="635"/>
      <c r="BI33" s="635"/>
      <c r="BJ33" s="637"/>
      <c r="BK33" s="638">
        <v>0</v>
      </c>
      <c r="BL33" s="1276"/>
      <c r="BM33" s="638">
        <v>0</v>
      </c>
      <c r="BN33" s="1276"/>
      <c r="BO33" s="638">
        <v>0</v>
      </c>
      <c r="BP33" s="1276"/>
      <c r="BQ33" s="638">
        <v>0</v>
      </c>
      <c r="BR33" s="1276"/>
      <c r="BS33" s="638">
        <v>0</v>
      </c>
      <c r="BT33" s="1276"/>
      <c r="BU33" s="638">
        <v>0</v>
      </c>
      <c r="BV33" s="1276"/>
      <c r="BW33" s="638">
        <v>0</v>
      </c>
      <c r="BX33" s="1276"/>
      <c r="BY33" s="638">
        <v>0</v>
      </c>
      <c r="BZ33" s="1276"/>
      <c r="CA33" s="638">
        <v>3434</v>
      </c>
      <c r="CB33" s="1276"/>
      <c r="CC33" s="638">
        <v>3434</v>
      </c>
      <c r="CD33" s="1276"/>
      <c r="CE33" s="638">
        <v>3434</v>
      </c>
      <c r="CF33" s="1276"/>
      <c r="CG33" s="638">
        <v>2198</v>
      </c>
      <c r="CH33" s="1276"/>
      <c r="CI33" s="638">
        <v>3434</v>
      </c>
      <c r="CJ33" s="1276"/>
      <c r="CK33" s="638">
        <v>3434</v>
      </c>
      <c r="CL33" s="1276"/>
      <c r="CM33" s="638">
        <v>3434</v>
      </c>
      <c r="CN33" s="1276"/>
      <c r="CO33" s="638">
        <v>3434</v>
      </c>
      <c r="CP33" s="1276"/>
      <c r="CQ33" s="638">
        <v>3434</v>
      </c>
      <c r="CR33" s="1276"/>
      <c r="CS33" s="638">
        <v>3104</v>
      </c>
      <c r="CT33" s="1276"/>
      <c r="CU33" s="638">
        <v>0</v>
      </c>
      <c r="CV33" s="1276"/>
      <c r="CW33" s="638">
        <v>0</v>
      </c>
      <c r="CX33" s="1276"/>
      <c r="CY33" s="638">
        <v>0</v>
      </c>
      <c r="CZ33" s="1276"/>
      <c r="DA33" s="638">
        <v>0</v>
      </c>
      <c r="DB33" s="1276"/>
      <c r="DC33" s="638">
        <v>0</v>
      </c>
      <c r="DD33" s="1276"/>
      <c r="DE33" s="640">
        <v>0</v>
      </c>
      <c r="DF33" s="641"/>
      <c r="DG33" s="634"/>
      <c r="DH33" s="635"/>
      <c r="DI33" s="635"/>
      <c r="DJ33" s="636" t="s">
        <v>402</v>
      </c>
      <c r="DK33" s="635"/>
      <c r="DL33" s="635"/>
      <c r="DM33" s="637"/>
      <c r="DN33" s="638">
        <v>0</v>
      </c>
      <c r="DO33" s="1276"/>
      <c r="DP33" s="638">
        <v>0</v>
      </c>
      <c r="DQ33" s="1276"/>
      <c r="DR33" s="638">
        <v>0</v>
      </c>
      <c r="DS33" s="1276"/>
      <c r="DT33" s="638">
        <v>0</v>
      </c>
      <c r="DU33" s="1276"/>
      <c r="DV33" s="638">
        <v>0</v>
      </c>
      <c r="DW33" s="1276"/>
      <c r="DX33" s="638">
        <v>0</v>
      </c>
      <c r="DY33" s="1276"/>
      <c r="DZ33" s="638">
        <v>0</v>
      </c>
      <c r="EA33" s="1276"/>
      <c r="EB33" s="638">
        <v>0</v>
      </c>
      <c r="EC33" s="1276"/>
      <c r="ED33" s="638">
        <v>3434</v>
      </c>
      <c r="EE33" s="1276"/>
      <c r="EF33" s="638">
        <v>3434</v>
      </c>
      <c r="EG33" s="1276"/>
      <c r="EH33" s="638">
        <v>3434</v>
      </c>
      <c r="EI33" s="1276"/>
      <c r="EJ33" s="638">
        <v>2198</v>
      </c>
      <c r="EK33" s="1276"/>
      <c r="EL33" s="638">
        <v>3434</v>
      </c>
      <c r="EM33" s="1276"/>
      <c r="EN33" s="638">
        <v>3434</v>
      </c>
      <c r="EO33" s="1276"/>
      <c r="EP33" s="638">
        <v>3434</v>
      </c>
      <c r="EQ33" s="1276"/>
      <c r="ER33" s="638">
        <v>3434</v>
      </c>
      <c r="ES33" s="1276"/>
      <c r="ET33" s="638">
        <v>3434</v>
      </c>
      <c r="EU33" s="1276"/>
      <c r="EV33" s="638">
        <v>3104</v>
      </c>
      <c r="EW33" s="1276"/>
      <c r="EX33" s="638">
        <v>0</v>
      </c>
      <c r="EY33" s="1276"/>
      <c r="EZ33" s="638">
        <v>0</v>
      </c>
      <c r="FA33" s="1276"/>
      <c r="FB33" s="638">
        <v>0</v>
      </c>
      <c r="FC33" s="1276"/>
      <c r="FD33" s="638">
        <v>0</v>
      </c>
      <c r="FE33" s="1276"/>
      <c r="FF33" s="638">
        <v>0</v>
      </c>
      <c r="FG33" s="1276"/>
      <c r="FH33" s="640">
        <v>0</v>
      </c>
      <c r="FI33" s="642"/>
      <c r="FJ33" s="557"/>
      <c r="FK33" s="635"/>
      <c r="FL33" s="635"/>
      <c r="FM33" s="636" t="s">
        <v>402</v>
      </c>
      <c r="FN33" s="635"/>
      <c r="FO33" s="635"/>
      <c r="FP33" s="643"/>
      <c r="FQ33" s="644"/>
      <c r="FR33" s="638">
        <v>0</v>
      </c>
      <c r="FS33" s="645"/>
      <c r="FT33" s="644"/>
      <c r="FU33" s="646">
        <v>0</v>
      </c>
      <c r="FV33" s="586"/>
      <c r="FW33" s="587"/>
      <c r="FX33" s="799"/>
      <c r="FY33" s="589"/>
      <c r="FZ33" s="800"/>
      <c r="GA33" s="591"/>
      <c r="GB33" s="801"/>
      <c r="GC33" s="593"/>
      <c r="GD33" s="801"/>
      <c r="GE33" s="594"/>
      <c r="GF33" s="647"/>
      <c r="GG33" s="648"/>
      <c r="GH33" s="648"/>
      <c r="GI33" s="648"/>
      <c r="GJ33" s="572"/>
      <c r="GK33" s="523" t="s">
        <v>649</v>
      </c>
      <c r="GL33" s="572"/>
      <c r="GM33" s="523"/>
      <c r="GN33" s="572"/>
      <c r="GO33" s="523"/>
      <c r="GP33" s="523"/>
      <c r="GQ33" s="523"/>
      <c r="GR33" s="572"/>
      <c r="GS33" s="523"/>
      <c r="GT33" s="756"/>
      <c r="GU33" s="804">
        <v>302</v>
      </c>
      <c r="GV33" s="805"/>
      <c r="GW33" s="806">
        <v>25.92</v>
      </c>
      <c r="GX33" s="807">
        <v>80.430000000000007</v>
      </c>
      <c r="GY33" s="807">
        <v>17.96</v>
      </c>
      <c r="GZ33" s="807">
        <v>0</v>
      </c>
      <c r="HA33" s="807">
        <v>124.31</v>
      </c>
      <c r="HB33" s="808">
        <v>115.57</v>
      </c>
      <c r="HC33" s="410"/>
      <c r="HD33" s="641"/>
      <c r="HE33" s="412"/>
      <c r="HF33" s="412"/>
    </row>
    <row r="34" spans="1:219" ht="20.100000000000001" customHeight="1">
      <c r="A34" s="1278" t="s">
        <v>403</v>
      </c>
      <c r="B34" s="736"/>
      <c r="C34" s="810"/>
      <c r="D34" s="811"/>
      <c r="E34" s="810"/>
      <c r="F34" s="812"/>
      <c r="G34" s="733" t="s">
        <v>405</v>
      </c>
      <c r="H34" s="656" t="s">
        <v>388</v>
      </c>
      <c r="I34" s="734" t="s">
        <v>405</v>
      </c>
      <c r="J34" s="656" t="s">
        <v>385</v>
      </c>
      <c r="K34" s="735" t="s">
        <v>404</v>
      </c>
      <c r="L34" s="656" t="s">
        <v>385</v>
      </c>
      <c r="M34" s="735" t="s">
        <v>405</v>
      </c>
      <c r="N34" s="656" t="s">
        <v>385</v>
      </c>
      <c r="O34" s="735" t="s">
        <v>404</v>
      </c>
      <c r="P34" s="656" t="s">
        <v>385</v>
      </c>
      <c r="Q34" s="735" t="s">
        <v>404</v>
      </c>
      <c r="R34" s="656" t="s">
        <v>388</v>
      </c>
      <c r="S34" s="735" t="s">
        <v>404</v>
      </c>
      <c r="T34" s="656" t="s">
        <v>388</v>
      </c>
      <c r="U34" s="735" t="s">
        <v>404</v>
      </c>
      <c r="V34" s="656" t="s">
        <v>388</v>
      </c>
      <c r="W34" s="735" t="s">
        <v>404</v>
      </c>
      <c r="X34" s="656" t="s">
        <v>388</v>
      </c>
      <c r="Y34" s="735" t="s">
        <v>405</v>
      </c>
      <c r="Z34" s="656" t="s">
        <v>385</v>
      </c>
      <c r="AA34" s="735" t="s">
        <v>405</v>
      </c>
      <c r="AB34" s="656" t="s">
        <v>385</v>
      </c>
      <c r="AC34" s="735" t="s">
        <v>405</v>
      </c>
      <c r="AD34" s="656" t="s">
        <v>385</v>
      </c>
      <c r="AE34" s="735" t="s">
        <v>404</v>
      </c>
      <c r="AF34" s="656" t="s">
        <v>385</v>
      </c>
      <c r="AG34" s="735" t="s">
        <v>405</v>
      </c>
      <c r="AH34" s="656" t="s">
        <v>385</v>
      </c>
      <c r="AI34" s="735" t="s">
        <v>405</v>
      </c>
      <c r="AJ34" s="656" t="s">
        <v>388</v>
      </c>
      <c r="AK34" s="735" t="s">
        <v>405</v>
      </c>
      <c r="AL34" s="656" t="s">
        <v>385</v>
      </c>
      <c r="AM34" s="735" t="s">
        <v>405</v>
      </c>
      <c r="AN34" s="656" t="s">
        <v>385</v>
      </c>
      <c r="AO34" s="735" t="s">
        <v>405</v>
      </c>
      <c r="AP34" s="656" t="s">
        <v>385</v>
      </c>
      <c r="AQ34" s="735" t="s">
        <v>404</v>
      </c>
      <c r="AR34" s="656" t="s">
        <v>385</v>
      </c>
      <c r="AS34" s="735" t="s">
        <v>404</v>
      </c>
      <c r="AT34" s="656" t="s">
        <v>388</v>
      </c>
      <c r="AU34" s="735" t="s">
        <v>405</v>
      </c>
      <c r="AV34" s="656" t="s">
        <v>385</v>
      </c>
      <c r="AW34" s="735" t="s">
        <v>404</v>
      </c>
      <c r="AX34" s="656" t="s">
        <v>388</v>
      </c>
      <c r="AY34" s="735" t="s">
        <v>404</v>
      </c>
      <c r="AZ34" s="656" t="s">
        <v>385</v>
      </c>
      <c r="BA34" s="735" t="s">
        <v>405</v>
      </c>
      <c r="BB34" s="658" t="s">
        <v>385</v>
      </c>
      <c r="BC34" s="716"/>
      <c r="BD34" s="1278" t="s">
        <v>403</v>
      </c>
      <c r="BE34" s="813"/>
      <c r="BF34" s="814"/>
      <c r="BG34" s="815"/>
      <c r="BH34" s="814"/>
      <c r="BI34" s="816"/>
      <c r="BJ34" s="733" t="s">
        <v>405</v>
      </c>
      <c r="BK34" s="656" t="s">
        <v>385</v>
      </c>
      <c r="BL34" s="734" t="s">
        <v>404</v>
      </c>
      <c r="BM34" s="656" t="s">
        <v>385</v>
      </c>
      <c r="BN34" s="735" t="s">
        <v>404</v>
      </c>
      <c r="BO34" s="656" t="s">
        <v>388</v>
      </c>
      <c r="BP34" s="735" t="s">
        <v>404</v>
      </c>
      <c r="BQ34" s="656" t="s">
        <v>385</v>
      </c>
      <c r="BR34" s="735" t="s">
        <v>404</v>
      </c>
      <c r="BS34" s="656" t="s">
        <v>388</v>
      </c>
      <c r="BT34" s="735" t="s">
        <v>404</v>
      </c>
      <c r="BU34" s="656" t="s">
        <v>385</v>
      </c>
      <c r="BV34" s="735" t="s">
        <v>405</v>
      </c>
      <c r="BW34" s="656" t="s">
        <v>385</v>
      </c>
      <c r="BX34" s="735" t="s">
        <v>405</v>
      </c>
      <c r="BY34" s="656" t="s">
        <v>388</v>
      </c>
      <c r="BZ34" s="735" t="s">
        <v>404</v>
      </c>
      <c r="CA34" s="656" t="s">
        <v>388</v>
      </c>
      <c r="CB34" s="735" t="s">
        <v>405</v>
      </c>
      <c r="CC34" s="656" t="s">
        <v>385</v>
      </c>
      <c r="CD34" s="735" t="s">
        <v>404</v>
      </c>
      <c r="CE34" s="656" t="s">
        <v>388</v>
      </c>
      <c r="CF34" s="735" t="s">
        <v>405</v>
      </c>
      <c r="CG34" s="656" t="s">
        <v>385</v>
      </c>
      <c r="CH34" s="735" t="s">
        <v>405</v>
      </c>
      <c r="CI34" s="656" t="s">
        <v>385</v>
      </c>
      <c r="CJ34" s="735" t="s">
        <v>404</v>
      </c>
      <c r="CK34" s="656" t="s">
        <v>385</v>
      </c>
      <c r="CL34" s="735" t="s">
        <v>404</v>
      </c>
      <c r="CM34" s="656" t="s">
        <v>388</v>
      </c>
      <c r="CN34" s="735" t="s">
        <v>404</v>
      </c>
      <c r="CO34" s="656" t="s">
        <v>385</v>
      </c>
      <c r="CP34" s="735" t="s">
        <v>405</v>
      </c>
      <c r="CQ34" s="656" t="s">
        <v>385</v>
      </c>
      <c r="CR34" s="735" t="s">
        <v>405</v>
      </c>
      <c r="CS34" s="656" t="s">
        <v>385</v>
      </c>
      <c r="CT34" s="735" t="s">
        <v>405</v>
      </c>
      <c r="CU34" s="656" t="s">
        <v>388</v>
      </c>
      <c r="CV34" s="735" t="s">
        <v>405</v>
      </c>
      <c r="CW34" s="656" t="s">
        <v>385</v>
      </c>
      <c r="CX34" s="735" t="s">
        <v>405</v>
      </c>
      <c r="CY34" s="656" t="s">
        <v>388</v>
      </c>
      <c r="CZ34" s="735" t="s">
        <v>404</v>
      </c>
      <c r="DA34" s="656" t="s">
        <v>388</v>
      </c>
      <c r="DB34" s="735" t="s">
        <v>404</v>
      </c>
      <c r="DC34" s="656" t="s">
        <v>388</v>
      </c>
      <c r="DD34" s="735" t="s">
        <v>404</v>
      </c>
      <c r="DE34" s="658" t="s">
        <v>385</v>
      </c>
      <c r="DF34" s="716"/>
      <c r="DG34" s="1278" t="s">
        <v>406</v>
      </c>
      <c r="DH34" s="731"/>
      <c r="DI34" s="817"/>
      <c r="DJ34" s="818"/>
      <c r="DK34" s="817"/>
      <c r="DL34" s="819"/>
      <c r="DM34" s="733" t="s">
        <v>404</v>
      </c>
      <c r="DN34" s="656" t="s">
        <v>385</v>
      </c>
      <c r="DO34" s="734" t="s">
        <v>405</v>
      </c>
      <c r="DP34" s="656" t="s">
        <v>385</v>
      </c>
      <c r="DQ34" s="735" t="s">
        <v>405</v>
      </c>
      <c r="DR34" s="656" t="s">
        <v>385</v>
      </c>
      <c r="DS34" s="735" t="s">
        <v>404</v>
      </c>
      <c r="DT34" s="656" t="s">
        <v>385</v>
      </c>
      <c r="DU34" s="735" t="s">
        <v>405</v>
      </c>
      <c r="DV34" s="656" t="s">
        <v>385</v>
      </c>
      <c r="DW34" s="735" t="s">
        <v>405</v>
      </c>
      <c r="DX34" s="656" t="s">
        <v>388</v>
      </c>
      <c r="DY34" s="735" t="s">
        <v>405</v>
      </c>
      <c r="DZ34" s="656" t="s">
        <v>385</v>
      </c>
      <c r="EA34" s="735" t="s">
        <v>405</v>
      </c>
      <c r="EB34" s="656" t="s">
        <v>385</v>
      </c>
      <c r="EC34" s="735" t="s">
        <v>405</v>
      </c>
      <c r="ED34" s="656" t="s">
        <v>385</v>
      </c>
      <c r="EE34" s="735" t="s">
        <v>404</v>
      </c>
      <c r="EF34" s="656" t="s">
        <v>385</v>
      </c>
      <c r="EG34" s="735" t="s">
        <v>404</v>
      </c>
      <c r="EH34" s="656" t="s">
        <v>388</v>
      </c>
      <c r="EI34" s="735" t="s">
        <v>405</v>
      </c>
      <c r="EJ34" s="656" t="s">
        <v>385</v>
      </c>
      <c r="EK34" s="735" t="s">
        <v>404</v>
      </c>
      <c r="EL34" s="656" t="s">
        <v>388</v>
      </c>
      <c r="EM34" s="735" t="s">
        <v>404</v>
      </c>
      <c r="EN34" s="656" t="s">
        <v>385</v>
      </c>
      <c r="EO34" s="735" t="s">
        <v>405</v>
      </c>
      <c r="EP34" s="656" t="s">
        <v>385</v>
      </c>
      <c r="EQ34" s="735" t="s">
        <v>404</v>
      </c>
      <c r="ER34" s="656" t="s">
        <v>385</v>
      </c>
      <c r="ES34" s="735" t="s">
        <v>405</v>
      </c>
      <c r="ET34" s="656" t="s">
        <v>385</v>
      </c>
      <c r="EU34" s="735" t="s">
        <v>404</v>
      </c>
      <c r="EV34" s="656" t="s">
        <v>388</v>
      </c>
      <c r="EW34" s="735" t="s">
        <v>404</v>
      </c>
      <c r="EX34" s="656" t="s">
        <v>388</v>
      </c>
      <c r="EY34" s="735" t="s">
        <v>405</v>
      </c>
      <c r="EZ34" s="656" t="s">
        <v>385</v>
      </c>
      <c r="FA34" s="735" t="s">
        <v>405</v>
      </c>
      <c r="FB34" s="656" t="s">
        <v>388</v>
      </c>
      <c r="FC34" s="735" t="s">
        <v>404</v>
      </c>
      <c r="FD34" s="656" t="s">
        <v>385</v>
      </c>
      <c r="FE34" s="735" t="s">
        <v>405</v>
      </c>
      <c r="FF34" s="656" t="s">
        <v>388</v>
      </c>
      <c r="FG34" s="735" t="s">
        <v>404</v>
      </c>
      <c r="FH34" s="658" t="s">
        <v>388</v>
      </c>
      <c r="FI34" s="739"/>
      <c r="FJ34" s="820" t="s">
        <v>403</v>
      </c>
      <c r="FK34" s="731"/>
      <c r="FL34" s="817"/>
      <c r="FM34" s="818"/>
      <c r="FN34" s="817"/>
      <c r="FO34" s="819"/>
      <c r="FP34" s="740" t="s">
        <v>390</v>
      </c>
      <c r="FQ34" s="666" t="s">
        <v>404</v>
      </c>
      <c r="FR34" s="656" t="s">
        <v>391</v>
      </c>
      <c r="FS34" s="741" t="s">
        <v>407</v>
      </c>
      <c r="FT34" s="666" t="s">
        <v>405</v>
      </c>
      <c r="FU34" s="668" t="s">
        <v>391</v>
      </c>
      <c r="FV34" s="586"/>
      <c r="FW34" s="587"/>
      <c r="FX34" s="799"/>
      <c r="FY34" s="589"/>
      <c r="FZ34" s="800"/>
      <c r="GA34" s="591"/>
      <c r="GB34" s="801"/>
      <c r="GC34" s="593"/>
      <c r="GD34" s="801"/>
      <c r="GE34" s="594"/>
      <c r="GF34" s="742"/>
      <c r="GG34" s="743"/>
      <c r="GH34" s="743"/>
      <c r="GI34" s="743"/>
      <c r="GJ34" s="572"/>
      <c r="GK34" s="821" t="s">
        <v>693</v>
      </c>
      <c r="GL34" s="821"/>
      <c r="GM34" s="821"/>
      <c r="GN34" s="821"/>
      <c r="GO34" s="821"/>
      <c r="GP34" s="821"/>
      <c r="GQ34" s="608">
        <v>7</v>
      </c>
      <c r="GR34" s="572" t="s">
        <v>479</v>
      </c>
      <c r="GS34" s="573"/>
      <c r="GT34" s="756"/>
      <c r="GU34" s="822"/>
      <c r="GV34" s="823"/>
      <c r="GW34" s="824"/>
      <c r="GX34" s="626"/>
      <c r="GY34" s="626"/>
      <c r="GZ34" s="626"/>
      <c r="HA34" s="626"/>
      <c r="HB34" s="627"/>
      <c r="HC34" s="523"/>
      <c r="HD34" s="716"/>
      <c r="HE34" s="412"/>
      <c r="HF34" s="412"/>
    </row>
    <row r="35" spans="1:219" ht="20.100000000000001" customHeight="1">
      <c r="A35" s="825"/>
      <c r="B35" s="459" t="s">
        <v>409</v>
      </c>
      <c r="C35" s="460"/>
      <c r="D35" s="826">
        <v>0</v>
      </c>
      <c r="E35" s="827">
        <v>0</v>
      </c>
      <c r="F35" s="828"/>
      <c r="G35" s="829"/>
      <c r="H35" s="830">
        <v>0</v>
      </c>
      <c r="I35" s="831"/>
      <c r="J35" s="792">
        <v>0</v>
      </c>
      <c r="K35" s="832"/>
      <c r="L35" s="792">
        <v>0</v>
      </c>
      <c r="M35" s="832"/>
      <c r="N35" s="792">
        <v>0</v>
      </c>
      <c r="O35" s="832"/>
      <c r="P35" s="792">
        <v>0</v>
      </c>
      <c r="Q35" s="832"/>
      <c r="R35" s="792">
        <v>0</v>
      </c>
      <c r="S35" s="832"/>
      <c r="T35" s="792">
        <v>0</v>
      </c>
      <c r="U35" s="832"/>
      <c r="V35" s="792">
        <v>0</v>
      </c>
      <c r="W35" s="832"/>
      <c r="X35" s="792">
        <v>0</v>
      </c>
      <c r="Y35" s="832"/>
      <c r="Z35" s="792">
        <v>0</v>
      </c>
      <c r="AA35" s="832"/>
      <c r="AB35" s="792">
        <v>0</v>
      </c>
      <c r="AC35" s="832"/>
      <c r="AD35" s="792">
        <v>0</v>
      </c>
      <c r="AE35" s="832"/>
      <c r="AF35" s="792">
        <v>0</v>
      </c>
      <c r="AG35" s="832"/>
      <c r="AH35" s="792">
        <v>0</v>
      </c>
      <c r="AI35" s="832"/>
      <c r="AJ35" s="792">
        <v>0</v>
      </c>
      <c r="AK35" s="832"/>
      <c r="AL35" s="792">
        <v>0</v>
      </c>
      <c r="AM35" s="832"/>
      <c r="AN35" s="792">
        <v>0</v>
      </c>
      <c r="AO35" s="832"/>
      <c r="AP35" s="792">
        <v>0</v>
      </c>
      <c r="AQ35" s="832"/>
      <c r="AR35" s="792">
        <v>0</v>
      </c>
      <c r="AS35" s="832"/>
      <c r="AT35" s="792">
        <v>0</v>
      </c>
      <c r="AU35" s="832"/>
      <c r="AV35" s="792">
        <v>0</v>
      </c>
      <c r="AW35" s="832"/>
      <c r="AX35" s="792">
        <v>0</v>
      </c>
      <c r="AY35" s="832"/>
      <c r="AZ35" s="792">
        <v>0</v>
      </c>
      <c r="BA35" s="832"/>
      <c r="BB35" s="833">
        <v>0</v>
      </c>
      <c r="BC35" s="555"/>
      <c r="BD35" s="825"/>
      <c r="BE35" s="459" t="s">
        <v>291</v>
      </c>
      <c r="BF35" s="460"/>
      <c r="BG35" s="826">
        <v>0</v>
      </c>
      <c r="BH35" s="827">
        <v>0</v>
      </c>
      <c r="BI35" s="828"/>
      <c r="BJ35" s="829"/>
      <c r="BK35" s="830">
        <v>0</v>
      </c>
      <c r="BL35" s="831"/>
      <c r="BM35" s="792">
        <v>0</v>
      </c>
      <c r="BN35" s="832"/>
      <c r="BO35" s="792">
        <v>0</v>
      </c>
      <c r="BP35" s="832"/>
      <c r="BQ35" s="792">
        <v>0</v>
      </c>
      <c r="BR35" s="832"/>
      <c r="BS35" s="792">
        <v>0</v>
      </c>
      <c r="BT35" s="832"/>
      <c r="BU35" s="792">
        <v>0</v>
      </c>
      <c r="BV35" s="832"/>
      <c r="BW35" s="792">
        <v>0</v>
      </c>
      <c r="BX35" s="832"/>
      <c r="BY35" s="792">
        <v>0</v>
      </c>
      <c r="BZ35" s="832"/>
      <c r="CA35" s="792">
        <v>0</v>
      </c>
      <c r="CB35" s="832"/>
      <c r="CC35" s="792">
        <v>0</v>
      </c>
      <c r="CD35" s="832"/>
      <c r="CE35" s="792">
        <v>0</v>
      </c>
      <c r="CF35" s="832"/>
      <c r="CG35" s="792">
        <v>0</v>
      </c>
      <c r="CH35" s="832"/>
      <c r="CI35" s="792">
        <v>0</v>
      </c>
      <c r="CJ35" s="832"/>
      <c r="CK35" s="792">
        <v>0</v>
      </c>
      <c r="CL35" s="832"/>
      <c r="CM35" s="792">
        <v>0</v>
      </c>
      <c r="CN35" s="832"/>
      <c r="CO35" s="792">
        <v>0</v>
      </c>
      <c r="CP35" s="832"/>
      <c r="CQ35" s="792">
        <v>0</v>
      </c>
      <c r="CR35" s="832"/>
      <c r="CS35" s="792">
        <v>0</v>
      </c>
      <c r="CT35" s="832"/>
      <c r="CU35" s="792">
        <v>0</v>
      </c>
      <c r="CV35" s="832"/>
      <c r="CW35" s="792">
        <v>0</v>
      </c>
      <c r="CX35" s="832"/>
      <c r="CY35" s="792">
        <v>0</v>
      </c>
      <c r="CZ35" s="832"/>
      <c r="DA35" s="792">
        <v>0</v>
      </c>
      <c r="DB35" s="832"/>
      <c r="DC35" s="792">
        <v>0</v>
      </c>
      <c r="DD35" s="832"/>
      <c r="DE35" s="833">
        <v>0</v>
      </c>
      <c r="DF35" s="555"/>
      <c r="DG35" s="825"/>
      <c r="DH35" s="459" t="s">
        <v>291</v>
      </c>
      <c r="DI35" s="460"/>
      <c r="DJ35" s="826">
        <v>0</v>
      </c>
      <c r="DK35" s="827">
        <v>0</v>
      </c>
      <c r="DL35" s="828"/>
      <c r="DM35" s="829"/>
      <c r="DN35" s="830">
        <v>0</v>
      </c>
      <c r="DO35" s="831"/>
      <c r="DP35" s="792">
        <v>0</v>
      </c>
      <c r="DQ35" s="832"/>
      <c r="DR35" s="792">
        <v>0</v>
      </c>
      <c r="DS35" s="832"/>
      <c r="DT35" s="792">
        <v>0</v>
      </c>
      <c r="DU35" s="832"/>
      <c r="DV35" s="792">
        <v>0</v>
      </c>
      <c r="DW35" s="832"/>
      <c r="DX35" s="792">
        <v>0</v>
      </c>
      <c r="DY35" s="832"/>
      <c r="DZ35" s="792">
        <v>0</v>
      </c>
      <c r="EA35" s="832"/>
      <c r="EB35" s="792">
        <v>0</v>
      </c>
      <c r="EC35" s="832"/>
      <c r="ED35" s="792">
        <v>0</v>
      </c>
      <c r="EE35" s="832"/>
      <c r="EF35" s="792">
        <v>0</v>
      </c>
      <c r="EG35" s="832"/>
      <c r="EH35" s="792">
        <v>0</v>
      </c>
      <c r="EI35" s="832"/>
      <c r="EJ35" s="792">
        <v>0</v>
      </c>
      <c r="EK35" s="832"/>
      <c r="EL35" s="792">
        <v>0</v>
      </c>
      <c r="EM35" s="832"/>
      <c r="EN35" s="792">
        <v>0</v>
      </c>
      <c r="EO35" s="832"/>
      <c r="EP35" s="792">
        <v>0</v>
      </c>
      <c r="EQ35" s="832"/>
      <c r="ER35" s="792">
        <v>0</v>
      </c>
      <c r="ES35" s="832"/>
      <c r="ET35" s="792">
        <v>0</v>
      </c>
      <c r="EU35" s="832"/>
      <c r="EV35" s="792">
        <v>0</v>
      </c>
      <c r="EW35" s="832"/>
      <c r="EX35" s="792">
        <v>0</v>
      </c>
      <c r="EY35" s="832"/>
      <c r="EZ35" s="792">
        <v>0</v>
      </c>
      <c r="FA35" s="832"/>
      <c r="FB35" s="792">
        <v>0</v>
      </c>
      <c r="FC35" s="832"/>
      <c r="FD35" s="792">
        <v>0</v>
      </c>
      <c r="FE35" s="832"/>
      <c r="FF35" s="792">
        <v>0</v>
      </c>
      <c r="FG35" s="832"/>
      <c r="FH35" s="833">
        <v>0</v>
      </c>
      <c r="FI35" s="556"/>
      <c r="FJ35" s="834"/>
      <c r="FK35" s="459" t="s">
        <v>291</v>
      </c>
      <c r="FL35" s="460"/>
      <c r="FM35" s="826">
        <v>0</v>
      </c>
      <c r="FN35" s="827">
        <v>0</v>
      </c>
      <c r="FO35" s="828"/>
      <c r="FP35" s="835"/>
      <c r="FQ35" s="831"/>
      <c r="FR35" s="830">
        <v>0</v>
      </c>
      <c r="FS35" s="836"/>
      <c r="FT35" s="831"/>
      <c r="FU35" s="798">
        <v>0</v>
      </c>
      <c r="FV35" s="586"/>
      <c r="FW35" s="587"/>
      <c r="FX35" s="799"/>
      <c r="FY35" s="589"/>
      <c r="FZ35" s="800"/>
      <c r="GA35" s="591"/>
      <c r="GB35" s="801"/>
      <c r="GC35" s="593"/>
      <c r="GD35" s="801"/>
      <c r="GE35" s="594"/>
      <c r="GF35" s="837"/>
      <c r="GG35" s="595"/>
      <c r="GH35" s="595"/>
      <c r="GI35" s="595"/>
      <c r="GJ35" s="523"/>
      <c r="GK35" s="523" t="s">
        <v>499</v>
      </c>
      <c r="GL35" s="523"/>
      <c r="GM35" s="572"/>
      <c r="GN35" s="523"/>
      <c r="GO35" s="572"/>
      <c r="GP35" s="572"/>
      <c r="GQ35" s="572"/>
      <c r="GR35" s="572"/>
      <c r="GS35" s="406"/>
      <c r="GT35" s="756"/>
      <c r="GU35" s="822"/>
      <c r="GV35" s="823"/>
      <c r="GW35" s="824"/>
      <c r="GX35" s="626"/>
      <c r="GY35" s="626"/>
      <c r="GZ35" s="626"/>
      <c r="HA35" s="626"/>
      <c r="HB35" s="627"/>
      <c r="HC35" s="523"/>
      <c r="HD35" s="555"/>
      <c r="HE35" s="412"/>
      <c r="HF35" s="412"/>
    </row>
    <row r="36" spans="1:219" ht="20.100000000000001" customHeight="1">
      <c r="A36" s="825"/>
      <c r="B36" s="635"/>
      <c r="C36" s="635"/>
      <c r="D36" s="636" t="s">
        <v>410</v>
      </c>
      <c r="E36" s="635"/>
      <c r="F36" s="635"/>
      <c r="G36" s="838"/>
      <c r="H36" s="1279">
        <v>0</v>
      </c>
      <c r="I36" s="1280"/>
      <c r="J36" s="841">
        <v>0</v>
      </c>
      <c r="K36" s="842"/>
      <c r="L36" s="841">
        <v>0</v>
      </c>
      <c r="M36" s="842"/>
      <c r="N36" s="841">
        <v>0</v>
      </c>
      <c r="O36" s="842"/>
      <c r="P36" s="841">
        <v>0</v>
      </c>
      <c r="Q36" s="842"/>
      <c r="R36" s="841">
        <v>0</v>
      </c>
      <c r="S36" s="842"/>
      <c r="T36" s="841">
        <v>0</v>
      </c>
      <c r="U36" s="842"/>
      <c r="V36" s="841">
        <v>0</v>
      </c>
      <c r="W36" s="842"/>
      <c r="X36" s="841">
        <v>0</v>
      </c>
      <c r="Y36" s="842"/>
      <c r="Z36" s="841">
        <v>0</v>
      </c>
      <c r="AA36" s="842"/>
      <c r="AB36" s="841">
        <v>0</v>
      </c>
      <c r="AC36" s="842"/>
      <c r="AD36" s="841">
        <v>0</v>
      </c>
      <c r="AE36" s="842"/>
      <c r="AF36" s="841">
        <v>0</v>
      </c>
      <c r="AG36" s="842"/>
      <c r="AH36" s="841">
        <v>0</v>
      </c>
      <c r="AI36" s="842"/>
      <c r="AJ36" s="841">
        <v>0</v>
      </c>
      <c r="AK36" s="842"/>
      <c r="AL36" s="841">
        <v>0</v>
      </c>
      <c r="AM36" s="842"/>
      <c r="AN36" s="841">
        <v>0</v>
      </c>
      <c r="AO36" s="842"/>
      <c r="AP36" s="841">
        <v>0</v>
      </c>
      <c r="AQ36" s="842"/>
      <c r="AR36" s="841">
        <v>0</v>
      </c>
      <c r="AS36" s="842"/>
      <c r="AT36" s="841">
        <v>0</v>
      </c>
      <c r="AU36" s="842"/>
      <c r="AV36" s="841">
        <v>0</v>
      </c>
      <c r="AW36" s="842"/>
      <c r="AX36" s="841">
        <v>0</v>
      </c>
      <c r="AY36" s="842"/>
      <c r="AZ36" s="841">
        <v>0</v>
      </c>
      <c r="BA36" s="842"/>
      <c r="BB36" s="1281">
        <v>0</v>
      </c>
      <c r="BC36" s="641"/>
      <c r="BD36" s="825"/>
      <c r="BE36" s="635"/>
      <c r="BF36" s="635"/>
      <c r="BG36" s="636" t="s">
        <v>410</v>
      </c>
      <c r="BH36" s="635"/>
      <c r="BI36" s="635"/>
      <c r="BJ36" s="838"/>
      <c r="BK36" s="1279">
        <v>0</v>
      </c>
      <c r="BL36" s="1280"/>
      <c r="BM36" s="841">
        <v>0</v>
      </c>
      <c r="BN36" s="842"/>
      <c r="BO36" s="841">
        <v>0</v>
      </c>
      <c r="BP36" s="842"/>
      <c r="BQ36" s="841">
        <v>0</v>
      </c>
      <c r="BR36" s="842"/>
      <c r="BS36" s="841">
        <v>0</v>
      </c>
      <c r="BT36" s="842"/>
      <c r="BU36" s="841">
        <v>0</v>
      </c>
      <c r="BV36" s="842"/>
      <c r="BW36" s="841">
        <v>0</v>
      </c>
      <c r="BX36" s="842"/>
      <c r="BY36" s="841">
        <v>0</v>
      </c>
      <c r="BZ36" s="842"/>
      <c r="CA36" s="841">
        <v>0</v>
      </c>
      <c r="CB36" s="842"/>
      <c r="CC36" s="841">
        <v>0</v>
      </c>
      <c r="CD36" s="842"/>
      <c r="CE36" s="841">
        <v>0</v>
      </c>
      <c r="CF36" s="842"/>
      <c r="CG36" s="841">
        <v>0</v>
      </c>
      <c r="CH36" s="842"/>
      <c r="CI36" s="841">
        <v>0</v>
      </c>
      <c r="CJ36" s="842"/>
      <c r="CK36" s="841">
        <v>0</v>
      </c>
      <c r="CL36" s="842"/>
      <c r="CM36" s="841">
        <v>0</v>
      </c>
      <c r="CN36" s="842"/>
      <c r="CO36" s="841">
        <v>0</v>
      </c>
      <c r="CP36" s="842"/>
      <c r="CQ36" s="841">
        <v>0</v>
      </c>
      <c r="CR36" s="842"/>
      <c r="CS36" s="841">
        <v>0</v>
      </c>
      <c r="CT36" s="842"/>
      <c r="CU36" s="841">
        <v>0</v>
      </c>
      <c r="CV36" s="842"/>
      <c r="CW36" s="841">
        <v>0</v>
      </c>
      <c r="CX36" s="842"/>
      <c r="CY36" s="841">
        <v>0</v>
      </c>
      <c r="CZ36" s="842"/>
      <c r="DA36" s="841">
        <v>0</v>
      </c>
      <c r="DB36" s="842"/>
      <c r="DC36" s="841">
        <v>0</v>
      </c>
      <c r="DD36" s="842"/>
      <c r="DE36" s="1281">
        <v>0</v>
      </c>
      <c r="DF36" s="641"/>
      <c r="DG36" s="825"/>
      <c r="DH36" s="635"/>
      <c r="DI36" s="635"/>
      <c r="DJ36" s="636" t="s">
        <v>410</v>
      </c>
      <c r="DK36" s="635"/>
      <c r="DL36" s="635"/>
      <c r="DM36" s="838"/>
      <c r="DN36" s="1279">
        <v>0</v>
      </c>
      <c r="DO36" s="1280"/>
      <c r="DP36" s="841">
        <v>0</v>
      </c>
      <c r="DQ36" s="842"/>
      <c r="DR36" s="841">
        <v>0</v>
      </c>
      <c r="DS36" s="842"/>
      <c r="DT36" s="841">
        <v>0</v>
      </c>
      <c r="DU36" s="842"/>
      <c r="DV36" s="841">
        <v>0</v>
      </c>
      <c r="DW36" s="842"/>
      <c r="DX36" s="841">
        <v>0</v>
      </c>
      <c r="DY36" s="842"/>
      <c r="DZ36" s="841">
        <v>0</v>
      </c>
      <c r="EA36" s="842"/>
      <c r="EB36" s="841">
        <v>0</v>
      </c>
      <c r="EC36" s="842"/>
      <c r="ED36" s="841">
        <v>0</v>
      </c>
      <c r="EE36" s="842"/>
      <c r="EF36" s="841">
        <v>0</v>
      </c>
      <c r="EG36" s="842"/>
      <c r="EH36" s="841">
        <v>0</v>
      </c>
      <c r="EI36" s="842"/>
      <c r="EJ36" s="841">
        <v>0</v>
      </c>
      <c r="EK36" s="842"/>
      <c r="EL36" s="841">
        <v>0</v>
      </c>
      <c r="EM36" s="842"/>
      <c r="EN36" s="841">
        <v>0</v>
      </c>
      <c r="EO36" s="842"/>
      <c r="EP36" s="841">
        <v>0</v>
      </c>
      <c r="EQ36" s="842"/>
      <c r="ER36" s="841">
        <v>0</v>
      </c>
      <c r="ES36" s="842"/>
      <c r="ET36" s="841">
        <v>0</v>
      </c>
      <c r="EU36" s="842"/>
      <c r="EV36" s="841">
        <v>0</v>
      </c>
      <c r="EW36" s="842"/>
      <c r="EX36" s="841">
        <v>0</v>
      </c>
      <c r="EY36" s="842"/>
      <c r="EZ36" s="841">
        <v>0</v>
      </c>
      <c r="FA36" s="842"/>
      <c r="FB36" s="841">
        <v>0</v>
      </c>
      <c r="FC36" s="842"/>
      <c r="FD36" s="841">
        <v>0</v>
      </c>
      <c r="FE36" s="842"/>
      <c r="FF36" s="841">
        <v>0</v>
      </c>
      <c r="FG36" s="842"/>
      <c r="FH36" s="1281">
        <v>0</v>
      </c>
      <c r="FI36" s="642"/>
      <c r="FJ36" s="834"/>
      <c r="FK36" s="635"/>
      <c r="FL36" s="635"/>
      <c r="FM36" s="636" t="s">
        <v>292</v>
      </c>
      <c r="FN36" s="635"/>
      <c r="FO36" s="635"/>
      <c r="FP36" s="643"/>
      <c r="FQ36" s="1280"/>
      <c r="FR36" s="1279">
        <v>0</v>
      </c>
      <c r="FS36" s="1282"/>
      <c r="FT36" s="1280"/>
      <c r="FU36" s="1283">
        <v>0</v>
      </c>
      <c r="FV36" s="586"/>
      <c r="FW36" s="587"/>
      <c r="FX36" s="799"/>
      <c r="FY36" s="589"/>
      <c r="FZ36" s="800"/>
      <c r="GA36" s="591"/>
      <c r="GB36" s="801"/>
      <c r="GC36" s="593"/>
      <c r="GD36" s="801"/>
      <c r="GE36" s="594"/>
      <c r="GF36" s="647"/>
      <c r="GG36" s="648"/>
      <c r="GH36" s="648"/>
      <c r="GI36" s="648"/>
      <c r="GJ36" s="523"/>
      <c r="GK36" s="821" t="s">
        <v>694</v>
      </c>
      <c r="GL36" s="821"/>
      <c r="GM36" s="821"/>
      <c r="GN36" s="821"/>
      <c r="GO36" s="821"/>
      <c r="GP36" s="821"/>
      <c r="GQ36" s="608">
        <v>11.7</v>
      </c>
      <c r="GR36" s="572" t="s">
        <v>479</v>
      </c>
      <c r="GS36" s="523"/>
      <c r="GT36" s="756"/>
      <c r="GU36" s="822"/>
      <c r="GV36" s="823"/>
      <c r="GW36" s="824"/>
      <c r="GX36" s="626"/>
      <c r="GY36" s="626"/>
      <c r="GZ36" s="626"/>
      <c r="HA36" s="626"/>
      <c r="HB36" s="627"/>
      <c r="HC36" s="523"/>
      <c r="HD36" s="641"/>
      <c r="HE36" s="412"/>
      <c r="HF36" s="412"/>
    </row>
    <row r="37" spans="1:219" ht="24" customHeight="1">
      <c r="A37" s="846" t="s">
        <v>419</v>
      </c>
      <c r="B37" s="847"/>
      <c r="C37" s="848" t="s">
        <v>417</v>
      </c>
      <c r="D37" s="849"/>
      <c r="E37" s="850" t="s">
        <v>413</v>
      </c>
      <c r="F37" s="851"/>
      <c r="G37" s="655" t="s">
        <v>404</v>
      </c>
      <c r="H37" s="656" t="s">
        <v>414</v>
      </c>
      <c r="I37" s="657" t="s">
        <v>404</v>
      </c>
      <c r="J37" s="656" t="s">
        <v>416</v>
      </c>
      <c r="K37" s="657" t="s">
        <v>405</v>
      </c>
      <c r="L37" s="656" t="s">
        <v>416</v>
      </c>
      <c r="M37" s="657" t="s">
        <v>404</v>
      </c>
      <c r="N37" s="656" t="s">
        <v>415</v>
      </c>
      <c r="O37" s="657" t="s">
        <v>405</v>
      </c>
      <c r="P37" s="656" t="s">
        <v>415</v>
      </c>
      <c r="Q37" s="657" t="s">
        <v>404</v>
      </c>
      <c r="R37" s="656" t="s">
        <v>416</v>
      </c>
      <c r="S37" s="657" t="s">
        <v>405</v>
      </c>
      <c r="T37" s="656" t="s">
        <v>415</v>
      </c>
      <c r="U37" s="657" t="s">
        <v>404</v>
      </c>
      <c r="V37" s="656" t="s">
        <v>415</v>
      </c>
      <c r="W37" s="657" t="s">
        <v>405</v>
      </c>
      <c r="X37" s="656" t="s">
        <v>415</v>
      </c>
      <c r="Y37" s="657" t="s">
        <v>405</v>
      </c>
      <c r="Z37" s="656" t="s">
        <v>416</v>
      </c>
      <c r="AA37" s="657" t="s">
        <v>404</v>
      </c>
      <c r="AB37" s="656" t="s">
        <v>415</v>
      </c>
      <c r="AC37" s="657" t="s">
        <v>404</v>
      </c>
      <c r="AD37" s="656" t="s">
        <v>416</v>
      </c>
      <c r="AE37" s="657" t="s">
        <v>405</v>
      </c>
      <c r="AF37" s="656" t="s">
        <v>415</v>
      </c>
      <c r="AG37" s="657" t="s">
        <v>405</v>
      </c>
      <c r="AH37" s="656" t="s">
        <v>415</v>
      </c>
      <c r="AI37" s="657" t="s">
        <v>404</v>
      </c>
      <c r="AJ37" s="656" t="s">
        <v>416</v>
      </c>
      <c r="AK37" s="657" t="s">
        <v>404</v>
      </c>
      <c r="AL37" s="656" t="s">
        <v>416</v>
      </c>
      <c r="AM37" s="657" t="s">
        <v>404</v>
      </c>
      <c r="AN37" s="656" t="s">
        <v>416</v>
      </c>
      <c r="AO37" s="657" t="s">
        <v>404</v>
      </c>
      <c r="AP37" s="656" t="s">
        <v>416</v>
      </c>
      <c r="AQ37" s="657" t="s">
        <v>405</v>
      </c>
      <c r="AR37" s="656" t="s">
        <v>415</v>
      </c>
      <c r="AS37" s="657" t="s">
        <v>404</v>
      </c>
      <c r="AT37" s="656" t="s">
        <v>415</v>
      </c>
      <c r="AU37" s="657" t="s">
        <v>405</v>
      </c>
      <c r="AV37" s="656" t="s">
        <v>416</v>
      </c>
      <c r="AW37" s="657" t="s">
        <v>404</v>
      </c>
      <c r="AX37" s="656" t="s">
        <v>415</v>
      </c>
      <c r="AY37" s="657" t="s">
        <v>405</v>
      </c>
      <c r="AZ37" s="656" t="s">
        <v>416</v>
      </c>
      <c r="BA37" s="657" t="s">
        <v>404</v>
      </c>
      <c r="BB37" s="658" t="s">
        <v>415</v>
      </c>
      <c r="BC37" s="716"/>
      <c r="BD37" s="846" t="s">
        <v>411</v>
      </c>
      <c r="BE37" s="847"/>
      <c r="BF37" s="848" t="s">
        <v>417</v>
      </c>
      <c r="BG37" s="849"/>
      <c r="BH37" s="850" t="s">
        <v>413</v>
      </c>
      <c r="BI37" s="851"/>
      <c r="BJ37" s="655" t="s">
        <v>404</v>
      </c>
      <c r="BK37" s="656" t="s">
        <v>294</v>
      </c>
      <c r="BL37" s="657" t="s">
        <v>404</v>
      </c>
      <c r="BM37" s="656" t="s">
        <v>415</v>
      </c>
      <c r="BN37" s="657" t="s">
        <v>405</v>
      </c>
      <c r="BO37" s="656" t="s">
        <v>415</v>
      </c>
      <c r="BP37" s="657" t="s">
        <v>405</v>
      </c>
      <c r="BQ37" s="656" t="s">
        <v>416</v>
      </c>
      <c r="BR37" s="657" t="s">
        <v>404</v>
      </c>
      <c r="BS37" s="656" t="s">
        <v>415</v>
      </c>
      <c r="BT37" s="657" t="s">
        <v>405</v>
      </c>
      <c r="BU37" s="656" t="s">
        <v>416</v>
      </c>
      <c r="BV37" s="657" t="s">
        <v>405</v>
      </c>
      <c r="BW37" s="656" t="s">
        <v>415</v>
      </c>
      <c r="BX37" s="657" t="s">
        <v>405</v>
      </c>
      <c r="BY37" s="656" t="s">
        <v>415</v>
      </c>
      <c r="BZ37" s="657" t="s">
        <v>404</v>
      </c>
      <c r="CA37" s="656" t="s">
        <v>416</v>
      </c>
      <c r="CB37" s="657" t="s">
        <v>405</v>
      </c>
      <c r="CC37" s="656" t="s">
        <v>416</v>
      </c>
      <c r="CD37" s="657" t="s">
        <v>404</v>
      </c>
      <c r="CE37" s="656" t="s">
        <v>415</v>
      </c>
      <c r="CF37" s="657" t="s">
        <v>405</v>
      </c>
      <c r="CG37" s="656" t="s">
        <v>415</v>
      </c>
      <c r="CH37" s="657" t="s">
        <v>405</v>
      </c>
      <c r="CI37" s="656" t="s">
        <v>416</v>
      </c>
      <c r="CJ37" s="657" t="s">
        <v>404</v>
      </c>
      <c r="CK37" s="656" t="s">
        <v>416</v>
      </c>
      <c r="CL37" s="657" t="s">
        <v>404</v>
      </c>
      <c r="CM37" s="656" t="s">
        <v>416</v>
      </c>
      <c r="CN37" s="657" t="s">
        <v>404</v>
      </c>
      <c r="CO37" s="656" t="s">
        <v>416</v>
      </c>
      <c r="CP37" s="657" t="s">
        <v>404</v>
      </c>
      <c r="CQ37" s="656" t="s">
        <v>415</v>
      </c>
      <c r="CR37" s="657" t="s">
        <v>405</v>
      </c>
      <c r="CS37" s="656" t="s">
        <v>416</v>
      </c>
      <c r="CT37" s="657" t="s">
        <v>405</v>
      </c>
      <c r="CU37" s="656" t="s">
        <v>415</v>
      </c>
      <c r="CV37" s="657" t="s">
        <v>404</v>
      </c>
      <c r="CW37" s="656" t="s">
        <v>416</v>
      </c>
      <c r="CX37" s="657" t="s">
        <v>405</v>
      </c>
      <c r="CY37" s="656" t="s">
        <v>415</v>
      </c>
      <c r="CZ37" s="657" t="s">
        <v>404</v>
      </c>
      <c r="DA37" s="656" t="s">
        <v>416</v>
      </c>
      <c r="DB37" s="657" t="s">
        <v>405</v>
      </c>
      <c r="DC37" s="656" t="s">
        <v>416</v>
      </c>
      <c r="DD37" s="657" t="s">
        <v>405</v>
      </c>
      <c r="DE37" s="658" t="s">
        <v>416</v>
      </c>
      <c r="DF37" s="716"/>
      <c r="DG37" s="846" t="s">
        <v>419</v>
      </c>
      <c r="DH37" s="847"/>
      <c r="DI37" s="848" t="s">
        <v>417</v>
      </c>
      <c r="DJ37" s="849"/>
      <c r="DK37" s="850" t="s">
        <v>418</v>
      </c>
      <c r="DL37" s="851"/>
      <c r="DM37" s="655" t="s">
        <v>405</v>
      </c>
      <c r="DN37" s="656" t="s">
        <v>294</v>
      </c>
      <c r="DO37" s="657" t="s">
        <v>405</v>
      </c>
      <c r="DP37" s="656" t="s">
        <v>416</v>
      </c>
      <c r="DQ37" s="657" t="s">
        <v>405</v>
      </c>
      <c r="DR37" s="656" t="s">
        <v>416</v>
      </c>
      <c r="DS37" s="657" t="s">
        <v>405</v>
      </c>
      <c r="DT37" s="656" t="s">
        <v>415</v>
      </c>
      <c r="DU37" s="657" t="s">
        <v>404</v>
      </c>
      <c r="DV37" s="656" t="s">
        <v>415</v>
      </c>
      <c r="DW37" s="657" t="s">
        <v>405</v>
      </c>
      <c r="DX37" s="656" t="s">
        <v>415</v>
      </c>
      <c r="DY37" s="657" t="s">
        <v>405</v>
      </c>
      <c r="DZ37" s="656" t="s">
        <v>416</v>
      </c>
      <c r="EA37" s="657" t="s">
        <v>404</v>
      </c>
      <c r="EB37" s="656" t="s">
        <v>415</v>
      </c>
      <c r="EC37" s="657" t="s">
        <v>404</v>
      </c>
      <c r="ED37" s="656" t="s">
        <v>416</v>
      </c>
      <c r="EE37" s="657" t="s">
        <v>405</v>
      </c>
      <c r="EF37" s="656" t="s">
        <v>415</v>
      </c>
      <c r="EG37" s="657" t="s">
        <v>405</v>
      </c>
      <c r="EH37" s="656" t="s">
        <v>415</v>
      </c>
      <c r="EI37" s="657" t="s">
        <v>404</v>
      </c>
      <c r="EJ37" s="656" t="s">
        <v>416</v>
      </c>
      <c r="EK37" s="657" t="s">
        <v>404</v>
      </c>
      <c r="EL37" s="656" t="s">
        <v>416</v>
      </c>
      <c r="EM37" s="657" t="s">
        <v>404</v>
      </c>
      <c r="EN37" s="656" t="s">
        <v>416</v>
      </c>
      <c r="EO37" s="657" t="s">
        <v>404</v>
      </c>
      <c r="EP37" s="656" t="s">
        <v>416</v>
      </c>
      <c r="EQ37" s="657" t="s">
        <v>405</v>
      </c>
      <c r="ER37" s="656" t="s">
        <v>415</v>
      </c>
      <c r="ES37" s="657" t="s">
        <v>404</v>
      </c>
      <c r="ET37" s="656" t="s">
        <v>415</v>
      </c>
      <c r="EU37" s="657" t="s">
        <v>405</v>
      </c>
      <c r="EV37" s="656" t="s">
        <v>416</v>
      </c>
      <c r="EW37" s="657" t="s">
        <v>404</v>
      </c>
      <c r="EX37" s="656" t="s">
        <v>415</v>
      </c>
      <c r="EY37" s="657" t="s">
        <v>405</v>
      </c>
      <c r="EZ37" s="656" t="s">
        <v>416</v>
      </c>
      <c r="FA37" s="657" t="s">
        <v>404</v>
      </c>
      <c r="FB37" s="656" t="s">
        <v>416</v>
      </c>
      <c r="FC37" s="657" t="s">
        <v>405</v>
      </c>
      <c r="FD37" s="656" t="s">
        <v>416</v>
      </c>
      <c r="FE37" s="657" t="s">
        <v>404</v>
      </c>
      <c r="FF37" s="656" t="s">
        <v>415</v>
      </c>
      <c r="FG37" s="657" t="s">
        <v>405</v>
      </c>
      <c r="FH37" s="658" t="s">
        <v>415</v>
      </c>
      <c r="FI37" s="739"/>
      <c r="FJ37" s="820" t="s">
        <v>419</v>
      </c>
      <c r="FK37" s="847"/>
      <c r="FL37" s="848" t="s">
        <v>417</v>
      </c>
      <c r="FM37" s="849"/>
      <c r="FN37" s="850" t="s">
        <v>418</v>
      </c>
      <c r="FO37" s="851"/>
      <c r="FP37" s="665"/>
      <c r="FQ37" s="852" t="s">
        <v>420</v>
      </c>
      <c r="FR37" s="656" t="s">
        <v>416</v>
      </c>
      <c r="FS37" s="667"/>
      <c r="FT37" s="852" t="s">
        <v>295</v>
      </c>
      <c r="FU37" s="668" t="s">
        <v>415</v>
      </c>
      <c r="FV37" s="586"/>
      <c r="FW37" s="587"/>
      <c r="FX37" s="799"/>
      <c r="FY37" s="589"/>
      <c r="FZ37" s="800"/>
      <c r="GA37" s="591"/>
      <c r="GB37" s="801"/>
      <c r="GC37" s="593"/>
      <c r="GD37" s="801"/>
      <c r="GE37" s="594"/>
      <c r="GF37" s="853"/>
      <c r="GG37" s="743"/>
      <c r="GH37" s="743"/>
      <c r="GI37" s="743"/>
      <c r="GJ37" s="523"/>
      <c r="GK37" s="410"/>
      <c r="GL37" s="573"/>
      <c r="GM37" s="410"/>
      <c r="GN37" s="573"/>
      <c r="GO37" s="410"/>
      <c r="GP37" s="410"/>
      <c r="GQ37" s="410"/>
      <c r="GR37" s="410"/>
      <c r="GS37" s="523"/>
      <c r="GT37" s="854"/>
      <c r="GU37" s="822"/>
      <c r="GV37" s="823"/>
      <c r="GW37" s="824"/>
      <c r="GX37" s="626"/>
      <c r="GY37" s="626"/>
      <c r="GZ37" s="626"/>
      <c r="HA37" s="626"/>
      <c r="HB37" s="627"/>
      <c r="HC37" s="523"/>
      <c r="HD37" s="716"/>
      <c r="HE37" s="412"/>
      <c r="HF37" s="412"/>
    </row>
    <row r="38" spans="1:219" ht="20.100000000000001" customHeight="1">
      <c r="A38" s="855"/>
      <c r="B38" s="856" t="s">
        <v>422</v>
      </c>
      <c r="C38" s="857"/>
      <c r="D38" s="858"/>
      <c r="E38" s="859"/>
      <c r="F38" s="860"/>
      <c r="G38" s="675"/>
      <c r="H38" s="861">
        <v>0</v>
      </c>
      <c r="I38" s="676"/>
      <c r="J38" s="861">
        <v>0</v>
      </c>
      <c r="K38" s="676"/>
      <c r="L38" s="861">
        <v>0</v>
      </c>
      <c r="M38" s="676"/>
      <c r="N38" s="861">
        <v>0</v>
      </c>
      <c r="O38" s="676"/>
      <c r="P38" s="861">
        <v>0</v>
      </c>
      <c r="Q38" s="676"/>
      <c r="R38" s="861">
        <v>0</v>
      </c>
      <c r="S38" s="676"/>
      <c r="T38" s="861">
        <v>0</v>
      </c>
      <c r="U38" s="676"/>
      <c r="V38" s="861">
        <v>0</v>
      </c>
      <c r="W38" s="676"/>
      <c r="X38" s="861">
        <v>0</v>
      </c>
      <c r="Y38" s="676"/>
      <c r="Z38" s="861">
        <v>0</v>
      </c>
      <c r="AA38" s="676"/>
      <c r="AB38" s="861">
        <v>0</v>
      </c>
      <c r="AC38" s="676"/>
      <c r="AD38" s="861">
        <v>0</v>
      </c>
      <c r="AE38" s="676"/>
      <c r="AF38" s="861">
        <v>0</v>
      </c>
      <c r="AG38" s="676"/>
      <c r="AH38" s="861">
        <v>0</v>
      </c>
      <c r="AI38" s="676"/>
      <c r="AJ38" s="861">
        <v>0</v>
      </c>
      <c r="AK38" s="676"/>
      <c r="AL38" s="861">
        <v>0</v>
      </c>
      <c r="AM38" s="676"/>
      <c r="AN38" s="861">
        <v>0</v>
      </c>
      <c r="AO38" s="676"/>
      <c r="AP38" s="861">
        <v>0</v>
      </c>
      <c r="AQ38" s="676"/>
      <c r="AR38" s="861">
        <v>0</v>
      </c>
      <c r="AS38" s="676"/>
      <c r="AT38" s="861">
        <v>0</v>
      </c>
      <c r="AU38" s="676"/>
      <c r="AV38" s="861">
        <v>0</v>
      </c>
      <c r="AW38" s="676"/>
      <c r="AX38" s="861">
        <v>0</v>
      </c>
      <c r="AY38" s="676"/>
      <c r="AZ38" s="861">
        <v>0</v>
      </c>
      <c r="BA38" s="676"/>
      <c r="BB38" s="862">
        <v>0</v>
      </c>
      <c r="BC38" s="555"/>
      <c r="BD38" s="855"/>
      <c r="BE38" s="856" t="s">
        <v>421</v>
      </c>
      <c r="BF38" s="863"/>
      <c r="BG38" s="864"/>
      <c r="BH38" s="859"/>
      <c r="BI38" s="860"/>
      <c r="BJ38" s="675"/>
      <c r="BK38" s="861">
        <v>0</v>
      </c>
      <c r="BL38" s="676"/>
      <c r="BM38" s="861">
        <v>0</v>
      </c>
      <c r="BN38" s="676"/>
      <c r="BO38" s="861">
        <v>0</v>
      </c>
      <c r="BP38" s="676"/>
      <c r="BQ38" s="861">
        <v>0</v>
      </c>
      <c r="BR38" s="676"/>
      <c r="BS38" s="861">
        <v>0</v>
      </c>
      <c r="BT38" s="676"/>
      <c r="BU38" s="861">
        <v>0</v>
      </c>
      <c r="BV38" s="676"/>
      <c r="BW38" s="861">
        <v>0</v>
      </c>
      <c r="BX38" s="676"/>
      <c r="BY38" s="861">
        <v>0</v>
      </c>
      <c r="BZ38" s="676"/>
      <c r="CA38" s="861">
        <v>0</v>
      </c>
      <c r="CB38" s="676"/>
      <c r="CC38" s="861">
        <v>0</v>
      </c>
      <c r="CD38" s="676"/>
      <c r="CE38" s="861">
        <v>0</v>
      </c>
      <c r="CF38" s="676"/>
      <c r="CG38" s="861">
        <v>0</v>
      </c>
      <c r="CH38" s="676"/>
      <c r="CI38" s="861">
        <v>0</v>
      </c>
      <c r="CJ38" s="676"/>
      <c r="CK38" s="861">
        <v>0</v>
      </c>
      <c r="CL38" s="676"/>
      <c r="CM38" s="861">
        <v>0</v>
      </c>
      <c r="CN38" s="676"/>
      <c r="CO38" s="861">
        <v>0</v>
      </c>
      <c r="CP38" s="676"/>
      <c r="CQ38" s="861">
        <v>0</v>
      </c>
      <c r="CR38" s="676"/>
      <c r="CS38" s="861">
        <v>0</v>
      </c>
      <c r="CT38" s="676"/>
      <c r="CU38" s="861">
        <v>0</v>
      </c>
      <c r="CV38" s="676"/>
      <c r="CW38" s="861">
        <v>0</v>
      </c>
      <c r="CX38" s="676"/>
      <c r="CY38" s="861">
        <v>0</v>
      </c>
      <c r="CZ38" s="676"/>
      <c r="DA38" s="861">
        <v>0</v>
      </c>
      <c r="DB38" s="676"/>
      <c r="DC38" s="861">
        <v>0</v>
      </c>
      <c r="DD38" s="676"/>
      <c r="DE38" s="862">
        <v>0</v>
      </c>
      <c r="DF38" s="555"/>
      <c r="DG38" s="855"/>
      <c r="DH38" s="856" t="s">
        <v>421</v>
      </c>
      <c r="DI38" s="863"/>
      <c r="DJ38" s="864"/>
      <c r="DK38" s="859"/>
      <c r="DL38" s="860"/>
      <c r="DM38" s="675"/>
      <c r="DN38" s="861">
        <v>0</v>
      </c>
      <c r="DO38" s="676"/>
      <c r="DP38" s="861">
        <v>0</v>
      </c>
      <c r="DQ38" s="676"/>
      <c r="DR38" s="861">
        <v>0</v>
      </c>
      <c r="DS38" s="676"/>
      <c r="DT38" s="861">
        <v>0</v>
      </c>
      <c r="DU38" s="676"/>
      <c r="DV38" s="861">
        <v>0</v>
      </c>
      <c r="DW38" s="676"/>
      <c r="DX38" s="861">
        <v>0</v>
      </c>
      <c r="DY38" s="676"/>
      <c r="DZ38" s="861">
        <v>0</v>
      </c>
      <c r="EA38" s="676"/>
      <c r="EB38" s="861">
        <v>0</v>
      </c>
      <c r="EC38" s="676"/>
      <c r="ED38" s="861">
        <v>0</v>
      </c>
      <c r="EE38" s="676"/>
      <c r="EF38" s="861">
        <v>0</v>
      </c>
      <c r="EG38" s="676"/>
      <c r="EH38" s="861">
        <v>0</v>
      </c>
      <c r="EI38" s="676"/>
      <c r="EJ38" s="861">
        <v>0</v>
      </c>
      <c r="EK38" s="676"/>
      <c r="EL38" s="861">
        <v>0</v>
      </c>
      <c r="EM38" s="676"/>
      <c r="EN38" s="861">
        <v>0</v>
      </c>
      <c r="EO38" s="676"/>
      <c r="EP38" s="861">
        <v>0</v>
      </c>
      <c r="EQ38" s="676"/>
      <c r="ER38" s="861">
        <v>0</v>
      </c>
      <c r="ES38" s="676"/>
      <c r="ET38" s="861">
        <v>0</v>
      </c>
      <c r="EU38" s="676"/>
      <c r="EV38" s="861">
        <v>0</v>
      </c>
      <c r="EW38" s="676"/>
      <c r="EX38" s="861">
        <v>0</v>
      </c>
      <c r="EY38" s="676"/>
      <c r="EZ38" s="861">
        <v>0</v>
      </c>
      <c r="FA38" s="676"/>
      <c r="FB38" s="861">
        <v>0</v>
      </c>
      <c r="FC38" s="676"/>
      <c r="FD38" s="861">
        <v>0</v>
      </c>
      <c r="FE38" s="676"/>
      <c r="FF38" s="861">
        <v>0</v>
      </c>
      <c r="FG38" s="676"/>
      <c r="FH38" s="862">
        <v>0</v>
      </c>
      <c r="FI38" s="556"/>
      <c r="FJ38" s="820"/>
      <c r="FK38" s="856" t="s">
        <v>421</v>
      </c>
      <c r="FL38" s="857"/>
      <c r="FM38" s="858"/>
      <c r="FN38" s="859">
        <v>0</v>
      </c>
      <c r="FO38" s="860"/>
      <c r="FP38" s="678"/>
      <c r="FQ38" s="679"/>
      <c r="FR38" s="552">
        <v>0</v>
      </c>
      <c r="FS38" s="680"/>
      <c r="FT38" s="679"/>
      <c r="FU38" s="560">
        <v>0</v>
      </c>
      <c r="FV38" s="586"/>
      <c r="FW38" s="587"/>
      <c r="FX38" s="799"/>
      <c r="FY38" s="589"/>
      <c r="FZ38" s="800"/>
      <c r="GA38" s="591"/>
      <c r="GB38" s="801"/>
      <c r="GC38" s="593"/>
      <c r="GD38" s="801"/>
      <c r="GE38" s="594"/>
      <c r="GF38" s="681"/>
      <c r="GG38" s="595"/>
      <c r="GH38" s="595"/>
      <c r="GI38" s="595"/>
      <c r="GJ38" s="573"/>
      <c r="GK38" s="410" t="s">
        <v>501</v>
      </c>
      <c r="GL38" s="406"/>
      <c r="GM38" s="410"/>
      <c r="GN38" s="406"/>
      <c r="GO38" s="410"/>
      <c r="GP38" s="410"/>
      <c r="GQ38" s="410"/>
      <c r="GR38" s="410"/>
      <c r="GS38" s="573"/>
      <c r="GT38" s="854"/>
      <c r="GU38" s="865" t="s">
        <v>471</v>
      </c>
      <c r="GV38" s="866"/>
      <c r="GW38" s="866"/>
      <c r="GX38" s="866"/>
      <c r="GY38" s="866"/>
      <c r="GZ38" s="867"/>
      <c r="HA38" s="626">
        <v>124.31</v>
      </c>
      <c r="HB38" s="868">
        <v>115.57</v>
      </c>
      <c r="HC38" s="523"/>
      <c r="HD38" s="523"/>
      <c r="HE38" s="384"/>
      <c r="HF38" s="384"/>
      <c r="HK38" s="412"/>
    </row>
    <row r="39" spans="1:219" ht="20.100000000000001" customHeight="1">
      <c r="A39" s="825"/>
      <c r="B39" s="869" t="s">
        <v>630</v>
      </c>
      <c r="C39" s="870"/>
      <c r="D39" s="871"/>
      <c r="E39" s="872"/>
      <c r="F39" s="873"/>
      <c r="G39" s="687"/>
      <c r="H39" s="874">
        <v>0</v>
      </c>
      <c r="I39" s="688"/>
      <c r="J39" s="874">
        <v>0</v>
      </c>
      <c r="K39" s="688"/>
      <c r="L39" s="874">
        <v>0</v>
      </c>
      <c r="M39" s="688"/>
      <c r="N39" s="874">
        <v>0</v>
      </c>
      <c r="O39" s="688"/>
      <c r="P39" s="874">
        <v>0</v>
      </c>
      <c r="Q39" s="688"/>
      <c r="R39" s="874">
        <v>0</v>
      </c>
      <c r="S39" s="688"/>
      <c r="T39" s="874">
        <v>0</v>
      </c>
      <c r="U39" s="688"/>
      <c r="V39" s="874">
        <v>0</v>
      </c>
      <c r="W39" s="688"/>
      <c r="X39" s="874">
        <v>0</v>
      </c>
      <c r="Y39" s="688"/>
      <c r="Z39" s="874">
        <v>0</v>
      </c>
      <c r="AA39" s="688"/>
      <c r="AB39" s="874">
        <v>0</v>
      </c>
      <c r="AC39" s="688"/>
      <c r="AD39" s="874">
        <v>0</v>
      </c>
      <c r="AE39" s="688"/>
      <c r="AF39" s="874">
        <v>0</v>
      </c>
      <c r="AG39" s="688"/>
      <c r="AH39" s="874">
        <v>0</v>
      </c>
      <c r="AI39" s="688"/>
      <c r="AJ39" s="874">
        <v>0</v>
      </c>
      <c r="AK39" s="688"/>
      <c r="AL39" s="874">
        <v>0</v>
      </c>
      <c r="AM39" s="688"/>
      <c r="AN39" s="874">
        <v>0</v>
      </c>
      <c r="AO39" s="688"/>
      <c r="AP39" s="874">
        <v>0</v>
      </c>
      <c r="AQ39" s="688"/>
      <c r="AR39" s="874">
        <v>0</v>
      </c>
      <c r="AS39" s="688"/>
      <c r="AT39" s="874">
        <v>0</v>
      </c>
      <c r="AU39" s="688"/>
      <c r="AV39" s="874">
        <v>0</v>
      </c>
      <c r="AW39" s="688"/>
      <c r="AX39" s="874">
        <v>0</v>
      </c>
      <c r="AY39" s="688"/>
      <c r="AZ39" s="874">
        <v>0</v>
      </c>
      <c r="BA39" s="688"/>
      <c r="BB39" s="875">
        <v>0</v>
      </c>
      <c r="BC39" s="555"/>
      <c r="BD39" s="825"/>
      <c r="BE39" s="869" t="s">
        <v>423</v>
      </c>
      <c r="BF39" s="876"/>
      <c r="BG39" s="877"/>
      <c r="BH39" s="872"/>
      <c r="BI39" s="873"/>
      <c r="BJ39" s="687"/>
      <c r="BK39" s="874">
        <v>0</v>
      </c>
      <c r="BL39" s="688"/>
      <c r="BM39" s="874">
        <v>0</v>
      </c>
      <c r="BN39" s="688"/>
      <c r="BO39" s="874">
        <v>0</v>
      </c>
      <c r="BP39" s="688"/>
      <c r="BQ39" s="874">
        <v>0</v>
      </c>
      <c r="BR39" s="688"/>
      <c r="BS39" s="874">
        <v>0</v>
      </c>
      <c r="BT39" s="688"/>
      <c r="BU39" s="874">
        <v>0</v>
      </c>
      <c r="BV39" s="688"/>
      <c r="BW39" s="874">
        <v>0</v>
      </c>
      <c r="BX39" s="688"/>
      <c r="BY39" s="874">
        <v>0</v>
      </c>
      <c r="BZ39" s="688"/>
      <c r="CA39" s="874">
        <v>0</v>
      </c>
      <c r="CB39" s="688"/>
      <c r="CC39" s="874">
        <v>0</v>
      </c>
      <c r="CD39" s="688"/>
      <c r="CE39" s="874">
        <v>0</v>
      </c>
      <c r="CF39" s="688"/>
      <c r="CG39" s="874">
        <v>0</v>
      </c>
      <c r="CH39" s="688"/>
      <c r="CI39" s="874">
        <v>0</v>
      </c>
      <c r="CJ39" s="688"/>
      <c r="CK39" s="874">
        <v>0</v>
      </c>
      <c r="CL39" s="688"/>
      <c r="CM39" s="874">
        <v>0</v>
      </c>
      <c r="CN39" s="688"/>
      <c r="CO39" s="874">
        <v>0</v>
      </c>
      <c r="CP39" s="688"/>
      <c r="CQ39" s="874">
        <v>0</v>
      </c>
      <c r="CR39" s="688"/>
      <c r="CS39" s="874">
        <v>0</v>
      </c>
      <c r="CT39" s="688"/>
      <c r="CU39" s="874">
        <v>0</v>
      </c>
      <c r="CV39" s="688"/>
      <c r="CW39" s="874">
        <v>0</v>
      </c>
      <c r="CX39" s="688"/>
      <c r="CY39" s="874">
        <v>0</v>
      </c>
      <c r="CZ39" s="688"/>
      <c r="DA39" s="874">
        <v>0</v>
      </c>
      <c r="DB39" s="688"/>
      <c r="DC39" s="874">
        <v>0</v>
      </c>
      <c r="DD39" s="688"/>
      <c r="DE39" s="875">
        <v>0</v>
      </c>
      <c r="DF39" s="555"/>
      <c r="DG39" s="825"/>
      <c r="DH39" s="869" t="s">
        <v>423</v>
      </c>
      <c r="DI39" s="876"/>
      <c r="DJ39" s="877"/>
      <c r="DK39" s="872"/>
      <c r="DL39" s="873"/>
      <c r="DM39" s="687"/>
      <c r="DN39" s="874">
        <v>0</v>
      </c>
      <c r="DO39" s="688"/>
      <c r="DP39" s="874">
        <v>0</v>
      </c>
      <c r="DQ39" s="688"/>
      <c r="DR39" s="874">
        <v>0</v>
      </c>
      <c r="DS39" s="688"/>
      <c r="DT39" s="874">
        <v>0</v>
      </c>
      <c r="DU39" s="688"/>
      <c r="DV39" s="874">
        <v>0</v>
      </c>
      <c r="DW39" s="688"/>
      <c r="DX39" s="874">
        <v>0</v>
      </c>
      <c r="DY39" s="688"/>
      <c r="DZ39" s="874">
        <v>0</v>
      </c>
      <c r="EA39" s="688"/>
      <c r="EB39" s="874">
        <v>0</v>
      </c>
      <c r="EC39" s="688"/>
      <c r="ED39" s="874">
        <v>0</v>
      </c>
      <c r="EE39" s="688"/>
      <c r="EF39" s="874">
        <v>0</v>
      </c>
      <c r="EG39" s="688"/>
      <c r="EH39" s="874">
        <v>0</v>
      </c>
      <c r="EI39" s="688"/>
      <c r="EJ39" s="874">
        <v>0</v>
      </c>
      <c r="EK39" s="688"/>
      <c r="EL39" s="874">
        <v>0</v>
      </c>
      <c r="EM39" s="688"/>
      <c r="EN39" s="874">
        <v>0</v>
      </c>
      <c r="EO39" s="688"/>
      <c r="EP39" s="874">
        <v>0</v>
      </c>
      <c r="EQ39" s="688"/>
      <c r="ER39" s="874">
        <v>0</v>
      </c>
      <c r="ES39" s="688"/>
      <c r="ET39" s="874">
        <v>0</v>
      </c>
      <c r="EU39" s="688"/>
      <c r="EV39" s="874">
        <v>0</v>
      </c>
      <c r="EW39" s="688"/>
      <c r="EX39" s="874">
        <v>0</v>
      </c>
      <c r="EY39" s="688"/>
      <c r="EZ39" s="874">
        <v>0</v>
      </c>
      <c r="FA39" s="688"/>
      <c r="FB39" s="874">
        <v>0</v>
      </c>
      <c r="FC39" s="688"/>
      <c r="FD39" s="874">
        <v>0</v>
      </c>
      <c r="FE39" s="688"/>
      <c r="FF39" s="874">
        <v>0</v>
      </c>
      <c r="FG39" s="688"/>
      <c r="FH39" s="875">
        <v>0</v>
      </c>
      <c r="FI39" s="556"/>
      <c r="FJ39" s="834"/>
      <c r="FK39" s="869" t="s">
        <v>423</v>
      </c>
      <c r="FL39" s="870"/>
      <c r="FM39" s="871"/>
      <c r="FN39" s="872">
        <v>0</v>
      </c>
      <c r="FO39" s="873"/>
      <c r="FP39" s="689"/>
      <c r="FQ39" s="690"/>
      <c r="FR39" s="580">
        <v>0</v>
      </c>
      <c r="FS39" s="691"/>
      <c r="FT39" s="690"/>
      <c r="FU39" s="585">
        <v>0</v>
      </c>
      <c r="FV39" s="586"/>
      <c r="FW39" s="587"/>
      <c r="FX39" s="799"/>
      <c r="FY39" s="589"/>
      <c r="FZ39" s="800"/>
      <c r="GA39" s="591"/>
      <c r="GB39" s="801"/>
      <c r="GC39" s="593"/>
      <c r="GD39" s="801"/>
      <c r="GE39" s="594"/>
      <c r="GF39" s="681"/>
      <c r="GG39" s="595"/>
      <c r="GH39" s="595"/>
      <c r="GI39" s="595"/>
      <c r="GJ39" s="406"/>
      <c r="GK39" s="878"/>
      <c r="GL39" s="879"/>
      <c r="GM39" s="880" t="s">
        <v>502</v>
      </c>
      <c r="GN39" s="879"/>
      <c r="GO39" s="880" t="s">
        <v>592</v>
      </c>
      <c r="GP39" s="879"/>
      <c r="GQ39" s="880" t="s">
        <v>521</v>
      </c>
      <c r="GR39" s="881"/>
      <c r="GS39" s="410"/>
      <c r="GT39" s="682"/>
      <c r="GU39" s="523" t="s">
        <v>296</v>
      </c>
      <c r="GV39" s="523"/>
      <c r="GW39" s="523"/>
      <c r="GX39" s="523"/>
      <c r="GY39" s="523"/>
      <c r="GZ39" s="523"/>
      <c r="HA39" s="683">
        <v>1.08</v>
      </c>
      <c r="HB39" s="572"/>
      <c r="HC39" s="523"/>
      <c r="HD39" s="555"/>
    </row>
    <row r="40" spans="1:219" ht="20.100000000000001" customHeight="1">
      <c r="A40" s="882"/>
      <c r="B40" s="635"/>
      <c r="C40" s="635"/>
      <c r="D40" s="636" t="s">
        <v>297</v>
      </c>
      <c r="E40" s="635"/>
      <c r="F40" s="635"/>
      <c r="G40" s="838"/>
      <c r="H40" s="1279">
        <v>0</v>
      </c>
      <c r="I40" s="1280"/>
      <c r="J40" s="841">
        <v>0</v>
      </c>
      <c r="K40" s="842"/>
      <c r="L40" s="841">
        <v>0</v>
      </c>
      <c r="M40" s="842"/>
      <c r="N40" s="841">
        <v>0</v>
      </c>
      <c r="O40" s="842"/>
      <c r="P40" s="841">
        <v>0</v>
      </c>
      <c r="Q40" s="842"/>
      <c r="R40" s="841">
        <v>0</v>
      </c>
      <c r="S40" s="842"/>
      <c r="T40" s="841">
        <v>0</v>
      </c>
      <c r="U40" s="842"/>
      <c r="V40" s="841">
        <v>0</v>
      </c>
      <c r="W40" s="842"/>
      <c r="X40" s="841">
        <v>0</v>
      </c>
      <c r="Y40" s="842"/>
      <c r="Z40" s="841">
        <v>0</v>
      </c>
      <c r="AA40" s="842"/>
      <c r="AB40" s="841">
        <v>0</v>
      </c>
      <c r="AC40" s="842"/>
      <c r="AD40" s="841">
        <v>0</v>
      </c>
      <c r="AE40" s="842"/>
      <c r="AF40" s="841">
        <v>0</v>
      </c>
      <c r="AG40" s="842"/>
      <c r="AH40" s="841">
        <v>0</v>
      </c>
      <c r="AI40" s="842"/>
      <c r="AJ40" s="841">
        <v>0</v>
      </c>
      <c r="AK40" s="842"/>
      <c r="AL40" s="841">
        <v>0</v>
      </c>
      <c r="AM40" s="842"/>
      <c r="AN40" s="841">
        <v>0</v>
      </c>
      <c r="AO40" s="842"/>
      <c r="AP40" s="841">
        <v>0</v>
      </c>
      <c r="AQ40" s="842"/>
      <c r="AR40" s="841">
        <v>0</v>
      </c>
      <c r="AS40" s="842"/>
      <c r="AT40" s="841">
        <v>0</v>
      </c>
      <c r="AU40" s="842"/>
      <c r="AV40" s="841">
        <v>0</v>
      </c>
      <c r="AW40" s="842"/>
      <c r="AX40" s="841">
        <v>0</v>
      </c>
      <c r="AY40" s="842"/>
      <c r="AZ40" s="841">
        <v>0</v>
      </c>
      <c r="BA40" s="842"/>
      <c r="BB40" s="1281">
        <v>0</v>
      </c>
      <c r="BC40" s="641"/>
      <c r="BD40" s="882"/>
      <c r="BE40" s="635"/>
      <c r="BF40" s="635"/>
      <c r="BG40" s="636" t="s">
        <v>297</v>
      </c>
      <c r="BH40" s="635"/>
      <c r="BI40" s="635"/>
      <c r="BJ40" s="838"/>
      <c r="BK40" s="1279">
        <v>0</v>
      </c>
      <c r="BL40" s="1280"/>
      <c r="BM40" s="841">
        <v>0</v>
      </c>
      <c r="BN40" s="842"/>
      <c r="BO40" s="841">
        <v>0</v>
      </c>
      <c r="BP40" s="842"/>
      <c r="BQ40" s="841">
        <v>0</v>
      </c>
      <c r="BR40" s="842"/>
      <c r="BS40" s="841">
        <v>0</v>
      </c>
      <c r="BT40" s="842"/>
      <c r="BU40" s="841">
        <v>0</v>
      </c>
      <c r="BV40" s="842"/>
      <c r="BW40" s="841">
        <v>0</v>
      </c>
      <c r="BX40" s="842"/>
      <c r="BY40" s="841">
        <v>0</v>
      </c>
      <c r="BZ40" s="842"/>
      <c r="CA40" s="841">
        <v>0</v>
      </c>
      <c r="CB40" s="842"/>
      <c r="CC40" s="841">
        <v>0</v>
      </c>
      <c r="CD40" s="842"/>
      <c r="CE40" s="841">
        <v>0</v>
      </c>
      <c r="CF40" s="842"/>
      <c r="CG40" s="841">
        <v>0</v>
      </c>
      <c r="CH40" s="842"/>
      <c r="CI40" s="841">
        <v>0</v>
      </c>
      <c r="CJ40" s="842"/>
      <c r="CK40" s="841">
        <v>0</v>
      </c>
      <c r="CL40" s="842"/>
      <c r="CM40" s="841">
        <v>0</v>
      </c>
      <c r="CN40" s="842"/>
      <c r="CO40" s="841">
        <v>0</v>
      </c>
      <c r="CP40" s="842"/>
      <c r="CQ40" s="841">
        <v>0</v>
      </c>
      <c r="CR40" s="842"/>
      <c r="CS40" s="841">
        <v>0</v>
      </c>
      <c r="CT40" s="842"/>
      <c r="CU40" s="841">
        <v>0</v>
      </c>
      <c r="CV40" s="842"/>
      <c r="CW40" s="841">
        <v>0</v>
      </c>
      <c r="CX40" s="842"/>
      <c r="CY40" s="841">
        <v>0</v>
      </c>
      <c r="CZ40" s="842"/>
      <c r="DA40" s="841">
        <v>0</v>
      </c>
      <c r="DB40" s="842"/>
      <c r="DC40" s="841">
        <v>0</v>
      </c>
      <c r="DD40" s="842"/>
      <c r="DE40" s="1281">
        <v>0</v>
      </c>
      <c r="DF40" s="641"/>
      <c r="DG40" s="882"/>
      <c r="DH40" s="635"/>
      <c r="DI40" s="635"/>
      <c r="DJ40" s="636" t="s">
        <v>425</v>
      </c>
      <c r="DK40" s="635"/>
      <c r="DL40" s="635"/>
      <c r="DM40" s="838"/>
      <c r="DN40" s="1279">
        <v>0</v>
      </c>
      <c r="DO40" s="1280"/>
      <c r="DP40" s="841">
        <v>0</v>
      </c>
      <c r="DQ40" s="842"/>
      <c r="DR40" s="841">
        <v>0</v>
      </c>
      <c r="DS40" s="842"/>
      <c r="DT40" s="841">
        <v>0</v>
      </c>
      <c r="DU40" s="842"/>
      <c r="DV40" s="841">
        <v>0</v>
      </c>
      <c r="DW40" s="842"/>
      <c r="DX40" s="841">
        <v>0</v>
      </c>
      <c r="DY40" s="842"/>
      <c r="DZ40" s="841">
        <v>0</v>
      </c>
      <c r="EA40" s="842"/>
      <c r="EB40" s="841">
        <v>0</v>
      </c>
      <c r="EC40" s="842"/>
      <c r="ED40" s="841">
        <v>0</v>
      </c>
      <c r="EE40" s="842"/>
      <c r="EF40" s="841">
        <v>0</v>
      </c>
      <c r="EG40" s="842"/>
      <c r="EH40" s="841">
        <v>0</v>
      </c>
      <c r="EI40" s="842"/>
      <c r="EJ40" s="841">
        <v>0</v>
      </c>
      <c r="EK40" s="842"/>
      <c r="EL40" s="841">
        <v>0</v>
      </c>
      <c r="EM40" s="842"/>
      <c r="EN40" s="841">
        <v>0</v>
      </c>
      <c r="EO40" s="842"/>
      <c r="EP40" s="841">
        <v>0</v>
      </c>
      <c r="EQ40" s="842"/>
      <c r="ER40" s="841">
        <v>0</v>
      </c>
      <c r="ES40" s="842"/>
      <c r="ET40" s="841">
        <v>0</v>
      </c>
      <c r="EU40" s="842"/>
      <c r="EV40" s="841">
        <v>0</v>
      </c>
      <c r="EW40" s="842"/>
      <c r="EX40" s="841">
        <v>0</v>
      </c>
      <c r="EY40" s="842"/>
      <c r="EZ40" s="841">
        <v>0</v>
      </c>
      <c r="FA40" s="842"/>
      <c r="FB40" s="841">
        <v>0</v>
      </c>
      <c r="FC40" s="842"/>
      <c r="FD40" s="841">
        <v>0</v>
      </c>
      <c r="FE40" s="842"/>
      <c r="FF40" s="841">
        <v>0</v>
      </c>
      <c r="FG40" s="842"/>
      <c r="FH40" s="1281">
        <v>0</v>
      </c>
      <c r="FI40" s="642"/>
      <c r="FJ40" s="834"/>
      <c r="FK40" s="635"/>
      <c r="FL40" s="635"/>
      <c r="FM40" s="636" t="s">
        <v>297</v>
      </c>
      <c r="FN40" s="635"/>
      <c r="FO40" s="635"/>
      <c r="FP40" s="643"/>
      <c r="FQ40" s="1280"/>
      <c r="FR40" s="1279">
        <v>0</v>
      </c>
      <c r="FS40" s="1282"/>
      <c r="FT40" s="1280"/>
      <c r="FU40" s="1283">
        <v>0</v>
      </c>
      <c r="FV40" s="586"/>
      <c r="FW40" s="587"/>
      <c r="FX40" s="799"/>
      <c r="FY40" s="589"/>
      <c r="FZ40" s="800"/>
      <c r="GA40" s="591"/>
      <c r="GB40" s="801"/>
      <c r="GC40" s="593"/>
      <c r="GD40" s="801"/>
      <c r="GE40" s="594"/>
      <c r="GF40" s="647"/>
      <c r="GG40" s="648"/>
      <c r="GH40" s="648"/>
      <c r="GI40" s="648"/>
      <c r="GJ40" s="523"/>
      <c r="GK40" s="883"/>
      <c r="GL40" s="884"/>
      <c r="GM40" s="884"/>
      <c r="GN40" s="884"/>
      <c r="GO40" s="884"/>
      <c r="GP40" s="884"/>
      <c r="GQ40" s="884"/>
      <c r="GR40" s="885"/>
      <c r="GS40" s="886"/>
      <c r="GT40" s="682"/>
      <c r="GU40" s="523" t="s">
        <v>698</v>
      </c>
      <c r="GV40" s="523"/>
      <c r="GW40" s="523"/>
      <c r="GX40" s="523"/>
      <c r="GY40" s="523"/>
      <c r="GZ40" s="523"/>
      <c r="HA40" s="887">
        <v>25.6</v>
      </c>
      <c r="HB40" s="410"/>
      <c r="HC40" s="523"/>
      <c r="HD40" s="573"/>
      <c r="HK40" s="412"/>
    </row>
    <row r="41" spans="1:219" ht="20.100000000000001" customHeight="1">
      <c r="A41" s="855" t="s">
        <v>427</v>
      </c>
      <c r="B41" s="731"/>
      <c r="C41" s="888"/>
      <c r="D41" s="888"/>
      <c r="E41" s="888"/>
      <c r="F41" s="889"/>
      <c r="G41" s="733"/>
      <c r="H41" s="656" t="s">
        <v>388</v>
      </c>
      <c r="I41" s="734"/>
      <c r="J41" s="656" t="s">
        <v>388</v>
      </c>
      <c r="K41" s="735"/>
      <c r="L41" s="656" t="s">
        <v>388</v>
      </c>
      <c r="M41" s="735"/>
      <c r="N41" s="656" t="s">
        <v>388</v>
      </c>
      <c r="O41" s="735"/>
      <c r="P41" s="656" t="s">
        <v>385</v>
      </c>
      <c r="Q41" s="735"/>
      <c r="R41" s="656" t="s">
        <v>385</v>
      </c>
      <c r="S41" s="735"/>
      <c r="T41" s="656" t="s">
        <v>385</v>
      </c>
      <c r="U41" s="735"/>
      <c r="V41" s="656" t="s">
        <v>388</v>
      </c>
      <c r="W41" s="735"/>
      <c r="X41" s="656" t="s">
        <v>388</v>
      </c>
      <c r="Y41" s="735" t="s">
        <v>405</v>
      </c>
      <c r="Z41" s="656" t="s">
        <v>388</v>
      </c>
      <c r="AA41" s="735" t="s">
        <v>404</v>
      </c>
      <c r="AB41" s="656" t="s">
        <v>388</v>
      </c>
      <c r="AC41" s="735"/>
      <c r="AD41" s="656" t="s">
        <v>385</v>
      </c>
      <c r="AE41" s="735"/>
      <c r="AF41" s="656" t="s">
        <v>385</v>
      </c>
      <c r="AG41" s="735"/>
      <c r="AH41" s="656" t="s">
        <v>388</v>
      </c>
      <c r="AI41" s="735"/>
      <c r="AJ41" s="656" t="s">
        <v>388</v>
      </c>
      <c r="AK41" s="735"/>
      <c r="AL41" s="656" t="s">
        <v>388</v>
      </c>
      <c r="AM41" s="735"/>
      <c r="AN41" s="656" t="s">
        <v>388</v>
      </c>
      <c r="AO41" s="735"/>
      <c r="AP41" s="656" t="s">
        <v>388</v>
      </c>
      <c r="AQ41" s="735"/>
      <c r="AR41" s="656" t="s">
        <v>385</v>
      </c>
      <c r="AS41" s="735"/>
      <c r="AT41" s="656" t="s">
        <v>385</v>
      </c>
      <c r="AU41" s="735"/>
      <c r="AV41" s="656" t="s">
        <v>385</v>
      </c>
      <c r="AW41" s="735"/>
      <c r="AX41" s="656" t="s">
        <v>388</v>
      </c>
      <c r="AY41" s="735"/>
      <c r="AZ41" s="656" t="s">
        <v>388</v>
      </c>
      <c r="BA41" s="735"/>
      <c r="BB41" s="658" t="s">
        <v>385</v>
      </c>
      <c r="BC41" s="716"/>
      <c r="BD41" s="855" t="s">
        <v>427</v>
      </c>
      <c r="BE41" s="731"/>
      <c r="BF41" s="888"/>
      <c r="BG41" s="888"/>
      <c r="BH41" s="888"/>
      <c r="BI41" s="889"/>
      <c r="BJ41" s="733"/>
      <c r="BK41" s="656" t="s">
        <v>388</v>
      </c>
      <c r="BL41" s="734"/>
      <c r="BM41" s="656" t="s">
        <v>385</v>
      </c>
      <c r="BN41" s="735"/>
      <c r="BO41" s="656" t="s">
        <v>385</v>
      </c>
      <c r="BP41" s="735"/>
      <c r="BQ41" s="656" t="s">
        <v>388</v>
      </c>
      <c r="BR41" s="735"/>
      <c r="BS41" s="656" t="s">
        <v>388</v>
      </c>
      <c r="BT41" s="735"/>
      <c r="BU41" s="656" t="s">
        <v>385</v>
      </c>
      <c r="BV41" s="735"/>
      <c r="BW41" s="656" t="s">
        <v>385</v>
      </c>
      <c r="BX41" s="735"/>
      <c r="BY41" s="656" t="s">
        <v>385</v>
      </c>
      <c r="BZ41" s="735"/>
      <c r="CA41" s="656" t="s">
        <v>388</v>
      </c>
      <c r="CB41" s="735" t="s">
        <v>404</v>
      </c>
      <c r="CC41" s="656" t="s">
        <v>385</v>
      </c>
      <c r="CD41" s="735" t="s">
        <v>405</v>
      </c>
      <c r="CE41" s="656" t="s">
        <v>388</v>
      </c>
      <c r="CF41" s="735"/>
      <c r="CG41" s="656" t="s">
        <v>385</v>
      </c>
      <c r="CH41" s="735"/>
      <c r="CI41" s="656" t="s">
        <v>385</v>
      </c>
      <c r="CJ41" s="735"/>
      <c r="CK41" s="656" t="s">
        <v>385</v>
      </c>
      <c r="CL41" s="735"/>
      <c r="CM41" s="656" t="s">
        <v>388</v>
      </c>
      <c r="CN41" s="735"/>
      <c r="CO41" s="656" t="s">
        <v>388</v>
      </c>
      <c r="CP41" s="735"/>
      <c r="CQ41" s="656" t="s">
        <v>388</v>
      </c>
      <c r="CR41" s="735"/>
      <c r="CS41" s="656" t="s">
        <v>388</v>
      </c>
      <c r="CT41" s="735"/>
      <c r="CU41" s="656" t="s">
        <v>388</v>
      </c>
      <c r="CV41" s="735"/>
      <c r="CW41" s="656" t="s">
        <v>385</v>
      </c>
      <c r="CX41" s="735"/>
      <c r="CY41" s="656" t="s">
        <v>385</v>
      </c>
      <c r="CZ41" s="735"/>
      <c r="DA41" s="656" t="s">
        <v>385</v>
      </c>
      <c r="DB41" s="735"/>
      <c r="DC41" s="656" t="s">
        <v>388</v>
      </c>
      <c r="DD41" s="735"/>
      <c r="DE41" s="658" t="s">
        <v>388</v>
      </c>
      <c r="DF41" s="716"/>
      <c r="DG41" s="855" t="s">
        <v>426</v>
      </c>
      <c r="DH41" s="731"/>
      <c r="DI41" s="888"/>
      <c r="DJ41" s="888"/>
      <c r="DK41" s="888"/>
      <c r="DL41" s="889"/>
      <c r="DM41" s="733"/>
      <c r="DN41" s="656" t="s">
        <v>385</v>
      </c>
      <c r="DO41" s="734"/>
      <c r="DP41" s="656" t="s">
        <v>388</v>
      </c>
      <c r="DQ41" s="735"/>
      <c r="DR41" s="656" t="s">
        <v>388</v>
      </c>
      <c r="DS41" s="735"/>
      <c r="DT41" s="656" t="s">
        <v>388</v>
      </c>
      <c r="DU41" s="735"/>
      <c r="DV41" s="656" t="s">
        <v>388</v>
      </c>
      <c r="DW41" s="735"/>
      <c r="DX41" s="656" t="s">
        <v>388</v>
      </c>
      <c r="DY41" s="735"/>
      <c r="DZ41" s="656" t="s">
        <v>385</v>
      </c>
      <c r="EA41" s="735"/>
      <c r="EB41" s="656" t="s">
        <v>385</v>
      </c>
      <c r="EC41" s="735"/>
      <c r="ED41" s="656" t="s">
        <v>385</v>
      </c>
      <c r="EE41" s="735" t="s">
        <v>404</v>
      </c>
      <c r="EF41" s="656" t="s">
        <v>388</v>
      </c>
      <c r="EG41" s="735" t="s">
        <v>405</v>
      </c>
      <c r="EH41" s="656" t="s">
        <v>388</v>
      </c>
      <c r="EI41" s="735"/>
      <c r="EJ41" s="656" t="s">
        <v>388</v>
      </c>
      <c r="EK41" s="735"/>
      <c r="EL41" s="656" t="s">
        <v>388</v>
      </c>
      <c r="EM41" s="735"/>
      <c r="EN41" s="656" t="s">
        <v>385</v>
      </c>
      <c r="EO41" s="735"/>
      <c r="EP41" s="656" t="s">
        <v>385</v>
      </c>
      <c r="EQ41" s="735"/>
      <c r="ER41" s="656" t="s">
        <v>388</v>
      </c>
      <c r="ES41" s="735"/>
      <c r="ET41" s="656" t="s">
        <v>388</v>
      </c>
      <c r="EU41" s="735"/>
      <c r="EV41" s="656" t="s">
        <v>388</v>
      </c>
      <c r="EW41" s="735"/>
      <c r="EX41" s="656" t="s">
        <v>388</v>
      </c>
      <c r="EY41" s="735"/>
      <c r="EZ41" s="656" t="s">
        <v>388</v>
      </c>
      <c r="FA41" s="735"/>
      <c r="FB41" s="656" t="s">
        <v>385</v>
      </c>
      <c r="FC41" s="735"/>
      <c r="FD41" s="656" t="s">
        <v>385</v>
      </c>
      <c r="FE41" s="735"/>
      <c r="FF41" s="656" t="s">
        <v>385</v>
      </c>
      <c r="FG41" s="735"/>
      <c r="FH41" s="658" t="s">
        <v>388</v>
      </c>
      <c r="FI41" s="739"/>
      <c r="FJ41" s="820" t="s">
        <v>427</v>
      </c>
      <c r="FK41" s="736"/>
      <c r="FL41" s="890"/>
      <c r="FM41" s="890"/>
      <c r="FN41" s="890"/>
      <c r="FO41" s="891"/>
      <c r="FP41" s="740"/>
      <c r="FQ41" s="666"/>
      <c r="FR41" s="656" t="s">
        <v>391</v>
      </c>
      <c r="FS41" s="741"/>
      <c r="FT41" s="666"/>
      <c r="FU41" s="668" t="s">
        <v>391</v>
      </c>
      <c r="FV41" s="586"/>
      <c r="FW41" s="587"/>
      <c r="FX41" s="799"/>
      <c r="FY41" s="589"/>
      <c r="FZ41" s="800"/>
      <c r="GA41" s="591"/>
      <c r="GB41" s="801"/>
      <c r="GC41" s="593"/>
      <c r="GD41" s="801"/>
      <c r="GE41" s="594"/>
      <c r="GF41" s="742"/>
      <c r="GG41" s="743"/>
      <c r="GH41" s="743"/>
      <c r="GI41" s="743"/>
      <c r="GJ41" s="573"/>
      <c r="GK41" s="892" t="s">
        <v>593</v>
      </c>
      <c r="GL41" s="893"/>
      <c r="GM41" s="894" t="s">
        <v>653</v>
      </c>
      <c r="GN41" s="894"/>
      <c r="GO41" s="894" t="s">
        <v>507</v>
      </c>
      <c r="GP41" s="894"/>
      <c r="GQ41" s="894"/>
      <c r="GR41" s="895"/>
      <c r="GS41" s="854"/>
      <c r="GT41" s="682"/>
      <c r="GU41" s="523" t="s">
        <v>666</v>
      </c>
      <c r="GV41" s="523"/>
      <c r="GW41" s="523"/>
      <c r="GX41" s="523"/>
      <c r="GY41" s="523"/>
      <c r="GZ41" s="523"/>
      <c r="HA41" s="887">
        <v>22.8</v>
      </c>
      <c r="HB41" s="410"/>
      <c r="HC41" s="523"/>
      <c r="HD41" s="406"/>
    </row>
    <row r="42" spans="1:219" ht="20.100000000000001" customHeight="1">
      <c r="A42" s="825"/>
      <c r="B42" s="896" t="s">
        <v>428</v>
      </c>
      <c r="C42" s="897"/>
      <c r="D42" s="897"/>
      <c r="E42" s="898"/>
      <c r="F42" s="899"/>
      <c r="G42" s="829"/>
      <c r="H42" s="830"/>
      <c r="I42" s="831"/>
      <c r="J42" s="792"/>
      <c r="K42" s="832"/>
      <c r="L42" s="792"/>
      <c r="M42" s="832"/>
      <c r="N42" s="792"/>
      <c r="O42" s="832"/>
      <c r="P42" s="792"/>
      <c r="Q42" s="832"/>
      <c r="R42" s="792"/>
      <c r="S42" s="832"/>
      <c r="T42" s="792"/>
      <c r="U42" s="832"/>
      <c r="V42" s="792"/>
      <c r="W42" s="832"/>
      <c r="X42" s="792">
        <v>2161</v>
      </c>
      <c r="Y42" s="832"/>
      <c r="Z42" s="792">
        <v>1410</v>
      </c>
      <c r="AA42" s="832"/>
      <c r="AB42" s="792">
        <v>1375</v>
      </c>
      <c r="AC42" s="832"/>
      <c r="AD42" s="792">
        <v>1341</v>
      </c>
      <c r="AE42" s="832"/>
      <c r="AF42" s="792">
        <v>1306</v>
      </c>
      <c r="AG42" s="832"/>
      <c r="AH42" s="792">
        <v>1271</v>
      </c>
      <c r="AI42" s="832"/>
      <c r="AJ42" s="792">
        <v>1248</v>
      </c>
      <c r="AK42" s="832"/>
      <c r="AL42" s="792">
        <v>1225</v>
      </c>
      <c r="AM42" s="832"/>
      <c r="AN42" s="792">
        <v>1190</v>
      </c>
      <c r="AO42" s="832"/>
      <c r="AP42" s="792">
        <v>1179</v>
      </c>
      <c r="AQ42" s="832"/>
      <c r="AR42" s="792"/>
      <c r="AS42" s="832"/>
      <c r="AT42" s="792"/>
      <c r="AU42" s="832"/>
      <c r="AV42" s="792"/>
      <c r="AW42" s="832"/>
      <c r="AX42" s="792"/>
      <c r="AY42" s="832"/>
      <c r="AZ42" s="792"/>
      <c r="BA42" s="832"/>
      <c r="BB42" s="833"/>
      <c r="BC42" s="555"/>
      <c r="BD42" s="825"/>
      <c r="BE42" s="900" t="s">
        <v>429</v>
      </c>
      <c r="BF42" s="897"/>
      <c r="BG42" s="897"/>
      <c r="BH42" s="898"/>
      <c r="BI42" s="899"/>
      <c r="BJ42" s="829"/>
      <c r="BK42" s="830"/>
      <c r="BL42" s="831"/>
      <c r="BM42" s="792"/>
      <c r="BN42" s="832"/>
      <c r="BO42" s="792"/>
      <c r="BP42" s="832"/>
      <c r="BQ42" s="792"/>
      <c r="BR42" s="832"/>
      <c r="BS42" s="792"/>
      <c r="BT42" s="832"/>
      <c r="BU42" s="792"/>
      <c r="BV42" s="832"/>
      <c r="BW42" s="792"/>
      <c r="BX42" s="832"/>
      <c r="BY42" s="792"/>
      <c r="BZ42" s="832"/>
      <c r="CA42" s="792">
        <v>2161</v>
      </c>
      <c r="CB42" s="832"/>
      <c r="CC42" s="792">
        <v>1410</v>
      </c>
      <c r="CD42" s="832"/>
      <c r="CE42" s="792">
        <v>1375</v>
      </c>
      <c r="CF42" s="832"/>
      <c r="CG42" s="792">
        <v>1341</v>
      </c>
      <c r="CH42" s="832"/>
      <c r="CI42" s="792">
        <v>1306</v>
      </c>
      <c r="CJ42" s="832"/>
      <c r="CK42" s="792">
        <v>1271</v>
      </c>
      <c r="CL42" s="832"/>
      <c r="CM42" s="792">
        <v>1248</v>
      </c>
      <c r="CN42" s="832"/>
      <c r="CO42" s="792">
        <v>1225</v>
      </c>
      <c r="CP42" s="832"/>
      <c r="CQ42" s="792">
        <v>1190</v>
      </c>
      <c r="CR42" s="832"/>
      <c r="CS42" s="792">
        <v>1179</v>
      </c>
      <c r="CT42" s="832"/>
      <c r="CU42" s="792"/>
      <c r="CV42" s="832"/>
      <c r="CW42" s="792"/>
      <c r="CX42" s="832"/>
      <c r="CY42" s="792"/>
      <c r="CZ42" s="832"/>
      <c r="DA42" s="792"/>
      <c r="DB42" s="832"/>
      <c r="DC42" s="792"/>
      <c r="DD42" s="832"/>
      <c r="DE42" s="833"/>
      <c r="DF42" s="555"/>
      <c r="DG42" s="825"/>
      <c r="DH42" s="900" t="s">
        <v>429</v>
      </c>
      <c r="DI42" s="897"/>
      <c r="DJ42" s="897"/>
      <c r="DK42" s="898"/>
      <c r="DL42" s="899"/>
      <c r="DM42" s="829"/>
      <c r="DN42" s="830"/>
      <c r="DO42" s="831"/>
      <c r="DP42" s="792"/>
      <c r="DQ42" s="832"/>
      <c r="DR42" s="792"/>
      <c r="DS42" s="832"/>
      <c r="DT42" s="792"/>
      <c r="DU42" s="832"/>
      <c r="DV42" s="792"/>
      <c r="DW42" s="832"/>
      <c r="DX42" s="792"/>
      <c r="DY42" s="832"/>
      <c r="DZ42" s="792"/>
      <c r="EA42" s="832"/>
      <c r="EB42" s="792"/>
      <c r="EC42" s="832"/>
      <c r="ED42" s="792">
        <v>2161</v>
      </c>
      <c r="EE42" s="832"/>
      <c r="EF42" s="792">
        <v>1410</v>
      </c>
      <c r="EG42" s="832"/>
      <c r="EH42" s="792">
        <v>1375</v>
      </c>
      <c r="EI42" s="832"/>
      <c r="EJ42" s="792">
        <v>1341</v>
      </c>
      <c r="EK42" s="832"/>
      <c r="EL42" s="792">
        <v>1306</v>
      </c>
      <c r="EM42" s="832"/>
      <c r="EN42" s="792">
        <v>1271</v>
      </c>
      <c r="EO42" s="832"/>
      <c r="EP42" s="792">
        <v>1248</v>
      </c>
      <c r="EQ42" s="832"/>
      <c r="ER42" s="792">
        <v>1225</v>
      </c>
      <c r="ES42" s="832"/>
      <c r="ET42" s="792">
        <v>1190</v>
      </c>
      <c r="EU42" s="832"/>
      <c r="EV42" s="792">
        <v>1179</v>
      </c>
      <c r="EW42" s="832"/>
      <c r="EX42" s="792"/>
      <c r="EY42" s="832"/>
      <c r="EZ42" s="792"/>
      <c r="FA42" s="832"/>
      <c r="FB42" s="792"/>
      <c r="FC42" s="832"/>
      <c r="FD42" s="792"/>
      <c r="FE42" s="832"/>
      <c r="FF42" s="792"/>
      <c r="FG42" s="832"/>
      <c r="FH42" s="833"/>
      <c r="FI42" s="556"/>
      <c r="FJ42" s="834"/>
      <c r="FK42" s="900" t="s">
        <v>428</v>
      </c>
      <c r="FL42" s="897"/>
      <c r="FM42" s="897"/>
      <c r="FN42" s="898"/>
      <c r="FO42" s="899"/>
      <c r="FP42" s="835"/>
      <c r="FQ42" s="831"/>
      <c r="FR42" s="830">
        <v>2889</v>
      </c>
      <c r="FS42" s="836"/>
      <c r="FT42" s="831"/>
      <c r="FU42" s="798">
        <v>2889</v>
      </c>
      <c r="FV42" s="586"/>
      <c r="FW42" s="587"/>
      <c r="FX42" s="799"/>
      <c r="FY42" s="589"/>
      <c r="FZ42" s="800"/>
      <c r="GA42" s="591"/>
      <c r="GB42" s="801"/>
      <c r="GC42" s="593"/>
      <c r="GD42" s="801"/>
      <c r="GE42" s="594"/>
      <c r="GF42" s="837"/>
      <c r="GG42" s="595"/>
      <c r="GH42" s="595"/>
      <c r="GI42" s="595"/>
      <c r="GJ42" s="406"/>
      <c r="GK42" s="901"/>
      <c r="GL42" s="902"/>
      <c r="GM42" s="903">
        <v>7</v>
      </c>
      <c r="GN42" s="903"/>
      <c r="GO42" s="903">
        <v>11.7</v>
      </c>
      <c r="GP42" s="903"/>
      <c r="GQ42" s="903">
        <v>18.7</v>
      </c>
      <c r="GR42" s="904"/>
      <c r="GS42" s="573"/>
      <c r="GT42" s="493"/>
      <c r="GU42" s="493"/>
      <c r="GV42" s="493"/>
      <c r="GW42" s="572"/>
      <c r="GX42" s="572"/>
      <c r="GY42" s="572"/>
      <c r="GZ42" s="571"/>
      <c r="HA42" s="493"/>
      <c r="HB42" s="493"/>
      <c r="HC42" s="523"/>
      <c r="HD42" s="523"/>
    </row>
    <row r="43" spans="1:219" ht="20.100000000000001" customHeight="1">
      <c r="A43" s="825"/>
      <c r="B43" s="905" t="s">
        <v>430</v>
      </c>
      <c r="C43" s="906"/>
      <c r="D43" s="906"/>
      <c r="E43" s="906"/>
      <c r="F43" s="907"/>
      <c r="G43" s="687"/>
      <c r="H43" s="908">
        <v>0</v>
      </c>
      <c r="I43" s="688"/>
      <c r="J43" s="908">
        <v>0</v>
      </c>
      <c r="K43" s="688"/>
      <c r="L43" s="908">
        <v>0</v>
      </c>
      <c r="M43" s="688"/>
      <c r="N43" s="908">
        <v>0</v>
      </c>
      <c r="O43" s="688"/>
      <c r="P43" s="908">
        <v>0</v>
      </c>
      <c r="Q43" s="688"/>
      <c r="R43" s="908">
        <v>0</v>
      </c>
      <c r="S43" s="688"/>
      <c r="T43" s="908">
        <v>0</v>
      </c>
      <c r="U43" s="688"/>
      <c r="V43" s="908">
        <v>0</v>
      </c>
      <c r="W43" s="909"/>
      <c r="X43" s="908">
        <v>0</v>
      </c>
      <c r="Y43" s="688"/>
      <c r="Z43" s="908">
        <v>0</v>
      </c>
      <c r="AA43" s="688"/>
      <c r="AB43" s="908">
        <v>0</v>
      </c>
      <c r="AC43" s="688"/>
      <c r="AD43" s="908">
        <v>0</v>
      </c>
      <c r="AE43" s="688"/>
      <c r="AF43" s="908">
        <v>0</v>
      </c>
      <c r="AG43" s="688"/>
      <c r="AH43" s="908">
        <v>0</v>
      </c>
      <c r="AI43" s="688"/>
      <c r="AJ43" s="908">
        <v>0</v>
      </c>
      <c r="AK43" s="688"/>
      <c r="AL43" s="908">
        <v>0</v>
      </c>
      <c r="AM43" s="688"/>
      <c r="AN43" s="908">
        <v>0</v>
      </c>
      <c r="AO43" s="688"/>
      <c r="AP43" s="908">
        <v>0</v>
      </c>
      <c r="AQ43" s="688"/>
      <c r="AR43" s="908">
        <v>0</v>
      </c>
      <c r="AS43" s="688"/>
      <c r="AT43" s="908">
        <v>0</v>
      </c>
      <c r="AU43" s="688"/>
      <c r="AV43" s="908">
        <v>0</v>
      </c>
      <c r="AW43" s="688"/>
      <c r="AX43" s="908">
        <v>0</v>
      </c>
      <c r="AY43" s="688"/>
      <c r="AZ43" s="908">
        <v>0</v>
      </c>
      <c r="BA43" s="688"/>
      <c r="BB43" s="875">
        <v>0</v>
      </c>
      <c r="BC43" s="555"/>
      <c r="BD43" s="825"/>
      <c r="BE43" s="910" t="s">
        <v>431</v>
      </c>
      <c r="BF43" s="906"/>
      <c r="BG43" s="906"/>
      <c r="BH43" s="906"/>
      <c r="BI43" s="907"/>
      <c r="BJ43" s="687"/>
      <c r="BK43" s="908">
        <v>0</v>
      </c>
      <c r="BL43" s="688"/>
      <c r="BM43" s="908">
        <v>0</v>
      </c>
      <c r="BN43" s="688"/>
      <c r="BO43" s="908">
        <v>0</v>
      </c>
      <c r="BP43" s="688"/>
      <c r="BQ43" s="908">
        <v>0</v>
      </c>
      <c r="BR43" s="688"/>
      <c r="BS43" s="908">
        <v>0</v>
      </c>
      <c r="BT43" s="688"/>
      <c r="BU43" s="908">
        <v>0</v>
      </c>
      <c r="BV43" s="688"/>
      <c r="BW43" s="908">
        <v>0</v>
      </c>
      <c r="BX43" s="688"/>
      <c r="BY43" s="908">
        <v>0</v>
      </c>
      <c r="BZ43" s="909"/>
      <c r="CA43" s="908">
        <v>0</v>
      </c>
      <c r="CB43" s="688"/>
      <c r="CC43" s="908">
        <v>0</v>
      </c>
      <c r="CD43" s="688"/>
      <c r="CE43" s="908">
        <v>0</v>
      </c>
      <c r="CF43" s="688"/>
      <c r="CG43" s="908">
        <v>0</v>
      </c>
      <c r="CH43" s="688"/>
      <c r="CI43" s="908">
        <v>0</v>
      </c>
      <c r="CJ43" s="688"/>
      <c r="CK43" s="908">
        <v>0</v>
      </c>
      <c r="CL43" s="688"/>
      <c r="CM43" s="908">
        <v>0</v>
      </c>
      <c r="CN43" s="688"/>
      <c r="CO43" s="908">
        <v>0</v>
      </c>
      <c r="CP43" s="688"/>
      <c r="CQ43" s="908">
        <v>0</v>
      </c>
      <c r="CR43" s="688"/>
      <c r="CS43" s="908">
        <v>0</v>
      </c>
      <c r="CT43" s="688"/>
      <c r="CU43" s="908">
        <v>0</v>
      </c>
      <c r="CV43" s="688"/>
      <c r="CW43" s="908">
        <v>0</v>
      </c>
      <c r="CX43" s="688"/>
      <c r="CY43" s="908">
        <v>0</v>
      </c>
      <c r="CZ43" s="688"/>
      <c r="DA43" s="908">
        <v>0</v>
      </c>
      <c r="DB43" s="688"/>
      <c r="DC43" s="908">
        <v>0</v>
      </c>
      <c r="DD43" s="688"/>
      <c r="DE43" s="875">
        <v>0</v>
      </c>
      <c r="DF43" s="555"/>
      <c r="DG43" s="825"/>
      <c r="DH43" s="910" t="s">
        <v>430</v>
      </c>
      <c r="DI43" s="906"/>
      <c r="DJ43" s="906"/>
      <c r="DK43" s="906"/>
      <c r="DL43" s="907"/>
      <c r="DM43" s="687"/>
      <c r="DN43" s="908">
        <v>0</v>
      </c>
      <c r="DO43" s="688"/>
      <c r="DP43" s="908">
        <v>0</v>
      </c>
      <c r="DQ43" s="688"/>
      <c r="DR43" s="908">
        <v>0</v>
      </c>
      <c r="DS43" s="688"/>
      <c r="DT43" s="908">
        <v>0</v>
      </c>
      <c r="DU43" s="688"/>
      <c r="DV43" s="908">
        <v>0</v>
      </c>
      <c r="DW43" s="688"/>
      <c r="DX43" s="908">
        <v>0</v>
      </c>
      <c r="DY43" s="688"/>
      <c r="DZ43" s="908">
        <v>0</v>
      </c>
      <c r="EA43" s="688"/>
      <c r="EB43" s="908">
        <v>0</v>
      </c>
      <c r="EC43" s="909"/>
      <c r="ED43" s="908">
        <v>0</v>
      </c>
      <c r="EE43" s="688"/>
      <c r="EF43" s="908">
        <v>0</v>
      </c>
      <c r="EG43" s="688"/>
      <c r="EH43" s="908">
        <v>0</v>
      </c>
      <c r="EI43" s="688"/>
      <c r="EJ43" s="908">
        <v>0</v>
      </c>
      <c r="EK43" s="688"/>
      <c r="EL43" s="908">
        <v>0</v>
      </c>
      <c r="EM43" s="688"/>
      <c r="EN43" s="908">
        <v>0</v>
      </c>
      <c r="EO43" s="688"/>
      <c r="EP43" s="908">
        <v>0</v>
      </c>
      <c r="EQ43" s="688"/>
      <c r="ER43" s="908">
        <v>0</v>
      </c>
      <c r="ES43" s="688"/>
      <c r="ET43" s="908">
        <v>0</v>
      </c>
      <c r="EU43" s="688"/>
      <c r="EV43" s="908">
        <v>0</v>
      </c>
      <c r="EW43" s="688"/>
      <c r="EX43" s="908">
        <v>0</v>
      </c>
      <c r="EY43" s="688"/>
      <c r="EZ43" s="908">
        <v>0</v>
      </c>
      <c r="FA43" s="688"/>
      <c r="FB43" s="908">
        <v>0</v>
      </c>
      <c r="FC43" s="688"/>
      <c r="FD43" s="908">
        <v>0</v>
      </c>
      <c r="FE43" s="688"/>
      <c r="FF43" s="908">
        <v>0</v>
      </c>
      <c r="FG43" s="688"/>
      <c r="FH43" s="875">
        <v>0</v>
      </c>
      <c r="FI43" s="556"/>
      <c r="FJ43" s="834"/>
      <c r="FK43" s="910" t="s">
        <v>431</v>
      </c>
      <c r="FL43" s="906"/>
      <c r="FM43" s="906"/>
      <c r="FN43" s="906"/>
      <c r="FO43" s="907"/>
      <c r="FP43" s="689"/>
      <c r="FQ43" s="690"/>
      <c r="FR43" s="580">
        <v>0</v>
      </c>
      <c r="FS43" s="691"/>
      <c r="FT43" s="690"/>
      <c r="FU43" s="585">
        <v>0</v>
      </c>
      <c r="FV43" s="911"/>
      <c r="FW43" s="912"/>
      <c r="FX43" s="913"/>
      <c r="FY43" s="914"/>
      <c r="FZ43" s="915"/>
      <c r="GA43" s="916"/>
      <c r="GB43" s="917"/>
      <c r="GC43" s="918"/>
      <c r="GD43" s="917"/>
      <c r="GE43" s="919"/>
      <c r="GF43" s="681"/>
      <c r="GG43" s="595"/>
      <c r="GH43" s="595"/>
      <c r="GI43" s="595"/>
      <c r="GJ43" s="920"/>
      <c r="GK43" s="921" t="s">
        <v>508</v>
      </c>
      <c r="GL43" s="922"/>
      <c r="GM43" s="923" t="s">
        <v>654</v>
      </c>
      <c r="GN43" s="923"/>
      <c r="GO43" s="923" t="s">
        <v>509</v>
      </c>
      <c r="GP43" s="923"/>
      <c r="GQ43" s="923"/>
      <c r="GR43" s="924"/>
      <c r="GS43" s="573"/>
      <c r="GT43" s="602"/>
      <c r="GU43" s="523" t="s">
        <v>481</v>
      </c>
      <c r="GV43" s="410"/>
      <c r="GW43" s="406"/>
      <c r="GX43" s="410"/>
      <c r="GY43" s="410"/>
      <c r="GZ43" s="410"/>
      <c r="HA43" s="406"/>
      <c r="HB43" s="410"/>
      <c r="HC43" s="925"/>
      <c r="HD43" s="412"/>
    </row>
    <row r="44" spans="1:219" ht="20.100000000000001" customHeight="1" thickBot="1">
      <c r="A44" s="926"/>
      <c r="B44" s="635"/>
      <c r="C44" s="635"/>
      <c r="D44" s="636" t="s">
        <v>298</v>
      </c>
      <c r="E44" s="635"/>
      <c r="F44" s="635"/>
      <c r="G44" s="838"/>
      <c r="H44" s="1279">
        <v>0</v>
      </c>
      <c r="I44" s="1280"/>
      <c r="J44" s="841">
        <v>0</v>
      </c>
      <c r="K44" s="842"/>
      <c r="L44" s="841">
        <v>0</v>
      </c>
      <c r="M44" s="842"/>
      <c r="N44" s="841">
        <v>0</v>
      </c>
      <c r="O44" s="842"/>
      <c r="P44" s="841">
        <v>0</v>
      </c>
      <c r="Q44" s="842"/>
      <c r="R44" s="841">
        <v>0</v>
      </c>
      <c r="S44" s="842"/>
      <c r="T44" s="841">
        <v>0</v>
      </c>
      <c r="U44" s="842"/>
      <c r="V44" s="841">
        <v>0</v>
      </c>
      <c r="W44" s="842"/>
      <c r="X44" s="841">
        <v>2161</v>
      </c>
      <c r="Y44" s="842"/>
      <c r="Z44" s="841">
        <v>1410</v>
      </c>
      <c r="AA44" s="842"/>
      <c r="AB44" s="841">
        <v>1375</v>
      </c>
      <c r="AC44" s="842"/>
      <c r="AD44" s="841">
        <v>1341</v>
      </c>
      <c r="AE44" s="842"/>
      <c r="AF44" s="841">
        <v>1306</v>
      </c>
      <c r="AG44" s="842"/>
      <c r="AH44" s="841">
        <v>1271</v>
      </c>
      <c r="AI44" s="842"/>
      <c r="AJ44" s="841">
        <v>1248</v>
      </c>
      <c r="AK44" s="842"/>
      <c r="AL44" s="841">
        <v>1225</v>
      </c>
      <c r="AM44" s="842"/>
      <c r="AN44" s="841">
        <v>1190</v>
      </c>
      <c r="AO44" s="842"/>
      <c r="AP44" s="841">
        <v>1179</v>
      </c>
      <c r="AQ44" s="842"/>
      <c r="AR44" s="841">
        <v>0</v>
      </c>
      <c r="AS44" s="842"/>
      <c r="AT44" s="841">
        <v>0</v>
      </c>
      <c r="AU44" s="842"/>
      <c r="AV44" s="841">
        <v>0</v>
      </c>
      <c r="AW44" s="842"/>
      <c r="AX44" s="841">
        <v>0</v>
      </c>
      <c r="AY44" s="842"/>
      <c r="AZ44" s="841">
        <v>0</v>
      </c>
      <c r="BA44" s="842"/>
      <c r="BB44" s="1281">
        <v>0</v>
      </c>
      <c r="BC44" s="641"/>
      <c r="BD44" s="926"/>
      <c r="BE44" s="635"/>
      <c r="BF44" s="635"/>
      <c r="BG44" s="636" t="s">
        <v>298</v>
      </c>
      <c r="BH44" s="635"/>
      <c r="BI44" s="635"/>
      <c r="BJ44" s="838"/>
      <c r="BK44" s="1279">
        <v>0</v>
      </c>
      <c r="BL44" s="1280"/>
      <c r="BM44" s="841">
        <v>0</v>
      </c>
      <c r="BN44" s="842"/>
      <c r="BO44" s="841">
        <v>0</v>
      </c>
      <c r="BP44" s="842"/>
      <c r="BQ44" s="841">
        <v>0</v>
      </c>
      <c r="BR44" s="842"/>
      <c r="BS44" s="841">
        <v>0</v>
      </c>
      <c r="BT44" s="842"/>
      <c r="BU44" s="841">
        <v>0</v>
      </c>
      <c r="BV44" s="842"/>
      <c r="BW44" s="841">
        <v>0</v>
      </c>
      <c r="BX44" s="842"/>
      <c r="BY44" s="841">
        <v>0</v>
      </c>
      <c r="BZ44" s="842"/>
      <c r="CA44" s="841">
        <v>2161</v>
      </c>
      <c r="CB44" s="842"/>
      <c r="CC44" s="841">
        <v>1410</v>
      </c>
      <c r="CD44" s="842"/>
      <c r="CE44" s="841">
        <v>1375</v>
      </c>
      <c r="CF44" s="842"/>
      <c r="CG44" s="841">
        <v>1341</v>
      </c>
      <c r="CH44" s="842"/>
      <c r="CI44" s="841">
        <v>1306</v>
      </c>
      <c r="CJ44" s="842"/>
      <c r="CK44" s="841">
        <v>1271</v>
      </c>
      <c r="CL44" s="842"/>
      <c r="CM44" s="841">
        <v>1248</v>
      </c>
      <c r="CN44" s="842"/>
      <c r="CO44" s="841">
        <v>1225</v>
      </c>
      <c r="CP44" s="842"/>
      <c r="CQ44" s="841">
        <v>1190</v>
      </c>
      <c r="CR44" s="842"/>
      <c r="CS44" s="841">
        <v>1179</v>
      </c>
      <c r="CT44" s="842"/>
      <c r="CU44" s="841">
        <v>0</v>
      </c>
      <c r="CV44" s="842"/>
      <c r="CW44" s="841">
        <v>0</v>
      </c>
      <c r="CX44" s="842"/>
      <c r="CY44" s="841">
        <v>0</v>
      </c>
      <c r="CZ44" s="842"/>
      <c r="DA44" s="841">
        <v>0</v>
      </c>
      <c r="DB44" s="842"/>
      <c r="DC44" s="841">
        <v>0</v>
      </c>
      <c r="DD44" s="842"/>
      <c r="DE44" s="1281">
        <v>0</v>
      </c>
      <c r="DF44" s="641"/>
      <c r="DG44" s="926"/>
      <c r="DH44" s="635"/>
      <c r="DI44" s="635"/>
      <c r="DJ44" s="636" t="s">
        <v>568</v>
      </c>
      <c r="DK44" s="635"/>
      <c r="DL44" s="635"/>
      <c r="DM44" s="838"/>
      <c r="DN44" s="1279">
        <v>0</v>
      </c>
      <c r="DO44" s="1280"/>
      <c r="DP44" s="841">
        <v>0</v>
      </c>
      <c r="DQ44" s="842"/>
      <c r="DR44" s="841">
        <v>0</v>
      </c>
      <c r="DS44" s="842"/>
      <c r="DT44" s="841">
        <v>0</v>
      </c>
      <c r="DU44" s="842"/>
      <c r="DV44" s="841">
        <v>0</v>
      </c>
      <c r="DW44" s="842"/>
      <c r="DX44" s="841">
        <v>0</v>
      </c>
      <c r="DY44" s="842"/>
      <c r="DZ44" s="841">
        <v>0</v>
      </c>
      <c r="EA44" s="842"/>
      <c r="EB44" s="841">
        <v>0</v>
      </c>
      <c r="EC44" s="842"/>
      <c r="ED44" s="841">
        <v>2161</v>
      </c>
      <c r="EE44" s="842"/>
      <c r="EF44" s="841">
        <v>1410</v>
      </c>
      <c r="EG44" s="842"/>
      <c r="EH44" s="841">
        <v>1375</v>
      </c>
      <c r="EI44" s="842"/>
      <c r="EJ44" s="841">
        <v>1341</v>
      </c>
      <c r="EK44" s="842"/>
      <c r="EL44" s="841">
        <v>1306</v>
      </c>
      <c r="EM44" s="842"/>
      <c r="EN44" s="841">
        <v>1271</v>
      </c>
      <c r="EO44" s="842"/>
      <c r="EP44" s="841">
        <v>1248</v>
      </c>
      <c r="EQ44" s="842"/>
      <c r="ER44" s="841">
        <v>1225</v>
      </c>
      <c r="ES44" s="842"/>
      <c r="ET44" s="841">
        <v>1190</v>
      </c>
      <c r="EU44" s="842"/>
      <c r="EV44" s="841">
        <v>1179</v>
      </c>
      <c r="EW44" s="842"/>
      <c r="EX44" s="841">
        <v>0</v>
      </c>
      <c r="EY44" s="842"/>
      <c r="EZ44" s="841">
        <v>0</v>
      </c>
      <c r="FA44" s="842"/>
      <c r="FB44" s="841">
        <v>0</v>
      </c>
      <c r="FC44" s="842"/>
      <c r="FD44" s="841">
        <v>0</v>
      </c>
      <c r="FE44" s="842"/>
      <c r="FF44" s="841">
        <v>0</v>
      </c>
      <c r="FG44" s="842"/>
      <c r="FH44" s="1281">
        <v>0</v>
      </c>
      <c r="FI44" s="642"/>
      <c r="FJ44" s="927"/>
      <c r="FK44" s="635"/>
      <c r="FL44" s="635"/>
      <c r="FM44" s="636" t="s">
        <v>298</v>
      </c>
      <c r="FN44" s="635"/>
      <c r="FO44" s="635"/>
      <c r="FP44" s="643"/>
      <c r="FQ44" s="1280"/>
      <c r="FR44" s="1279">
        <v>2889</v>
      </c>
      <c r="FS44" s="1282"/>
      <c r="FT44" s="1280"/>
      <c r="FU44" s="1283">
        <v>2889</v>
      </c>
      <c r="FV44" s="586" t="s">
        <v>299</v>
      </c>
      <c r="FW44" s="587"/>
      <c r="FX44" s="799" t="s">
        <v>300</v>
      </c>
      <c r="FY44" s="589"/>
      <c r="FZ44" s="800" t="s">
        <v>301</v>
      </c>
      <c r="GA44" s="591"/>
      <c r="GB44" s="801" t="s">
        <v>302</v>
      </c>
      <c r="GC44" s="593"/>
      <c r="GD44" s="801" t="s">
        <v>303</v>
      </c>
      <c r="GE44" s="594"/>
      <c r="GF44" s="647"/>
      <c r="GG44" s="648"/>
      <c r="GH44" s="648"/>
      <c r="GI44" s="648"/>
      <c r="GJ44" s="523"/>
      <c r="GK44" s="901"/>
      <c r="GL44" s="902"/>
      <c r="GM44" s="928">
        <v>4.5999999999999996</v>
      </c>
      <c r="GN44" s="928"/>
      <c r="GO44" s="928">
        <v>8</v>
      </c>
      <c r="GP44" s="928"/>
      <c r="GQ44" s="903">
        <v>12.6</v>
      </c>
      <c r="GR44" s="904"/>
      <c r="GS44" s="929"/>
      <c r="GT44" s="930"/>
      <c r="GU44" s="523" t="s">
        <v>510</v>
      </c>
      <c r="GV44" s="608"/>
      <c r="GW44" s="608"/>
      <c r="GX44" s="608"/>
      <c r="GY44" s="410"/>
      <c r="GZ44" s="410"/>
      <c r="HA44" s="744">
        <v>-3.9</v>
      </c>
      <c r="HB44" s="410" t="s">
        <v>304</v>
      </c>
      <c r="HC44" s="931"/>
      <c r="HD44" s="412"/>
    </row>
    <row r="45" spans="1:219" ht="20.100000000000001" customHeight="1" thickTop="1">
      <c r="A45" s="932" t="s">
        <v>432</v>
      </c>
      <c r="B45" s="933"/>
      <c r="C45" s="933"/>
      <c r="D45" s="933"/>
      <c r="E45" s="933"/>
      <c r="F45" s="934"/>
      <c r="G45" s="935"/>
      <c r="H45" s="936">
        <v>0</v>
      </c>
      <c r="I45" s="937"/>
      <c r="J45" s="936">
        <v>0</v>
      </c>
      <c r="K45" s="937"/>
      <c r="L45" s="936">
        <v>0</v>
      </c>
      <c r="M45" s="937"/>
      <c r="N45" s="936">
        <v>0</v>
      </c>
      <c r="O45" s="937"/>
      <c r="P45" s="936">
        <v>0</v>
      </c>
      <c r="Q45" s="937"/>
      <c r="R45" s="936">
        <v>0</v>
      </c>
      <c r="S45" s="937"/>
      <c r="T45" s="936">
        <v>0</v>
      </c>
      <c r="U45" s="937"/>
      <c r="V45" s="936">
        <v>0</v>
      </c>
      <c r="W45" s="937"/>
      <c r="X45" s="936">
        <v>6085</v>
      </c>
      <c r="Y45" s="937"/>
      <c r="Z45" s="936">
        <v>5462</v>
      </c>
      <c r="AA45" s="937"/>
      <c r="AB45" s="936">
        <v>5841</v>
      </c>
      <c r="AC45" s="937"/>
      <c r="AD45" s="936">
        <v>4957</v>
      </c>
      <c r="AE45" s="937"/>
      <c r="AF45" s="936">
        <v>6410</v>
      </c>
      <c r="AG45" s="937"/>
      <c r="AH45" s="936">
        <v>6411</v>
      </c>
      <c r="AI45" s="937"/>
      <c r="AJ45" s="936">
        <v>6231</v>
      </c>
      <c r="AK45" s="937"/>
      <c r="AL45" s="936">
        <v>5895</v>
      </c>
      <c r="AM45" s="937"/>
      <c r="AN45" s="936">
        <v>5499</v>
      </c>
      <c r="AO45" s="937"/>
      <c r="AP45" s="936">
        <v>4845</v>
      </c>
      <c r="AQ45" s="937"/>
      <c r="AR45" s="936">
        <v>0</v>
      </c>
      <c r="AS45" s="937"/>
      <c r="AT45" s="936">
        <v>0</v>
      </c>
      <c r="AU45" s="937"/>
      <c r="AV45" s="936">
        <v>0</v>
      </c>
      <c r="AW45" s="937"/>
      <c r="AX45" s="936">
        <v>0</v>
      </c>
      <c r="AY45" s="937"/>
      <c r="AZ45" s="936">
        <v>0</v>
      </c>
      <c r="BA45" s="937"/>
      <c r="BB45" s="938">
        <v>0</v>
      </c>
      <c r="BC45" s="641"/>
      <c r="BD45" s="932" t="s">
        <v>432</v>
      </c>
      <c r="BE45" s="933"/>
      <c r="BF45" s="933"/>
      <c r="BG45" s="933"/>
      <c r="BH45" s="933"/>
      <c r="BI45" s="934"/>
      <c r="BJ45" s="935"/>
      <c r="BK45" s="936">
        <v>0</v>
      </c>
      <c r="BL45" s="937"/>
      <c r="BM45" s="936">
        <v>0</v>
      </c>
      <c r="BN45" s="937"/>
      <c r="BO45" s="936">
        <v>0</v>
      </c>
      <c r="BP45" s="937"/>
      <c r="BQ45" s="936">
        <v>0</v>
      </c>
      <c r="BR45" s="937"/>
      <c r="BS45" s="936">
        <v>0</v>
      </c>
      <c r="BT45" s="937"/>
      <c r="BU45" s="936">
        <v>0</v>
      </c>
      <c r="BV45" s="937"/>
      <c r="BW45" s="936">
        <v>0</v>
      </c>
      <c r="BX45" s="937"/>
      <c r="BY45" s="936">
        <v>0</v>
      </c>
      <c r="BZ45" s="937"/>
      <c r="CA45" s="936">
        <v>6058</v>
      </c>
      <c r="CB45" s="937"/>
      <c r="CC45" s="936">
        <v>5482</v>
      </c>
      <c r="CD45" s="937"/>
      <c r="CE45" s="936">
        <v>5913</v>
      </c>
      <c r="CF45" s="937"/>
      <c r="CG45" s="936">
        <v>5077</v>
      </c>
      <c r="CH45" s="937"/>
      <c r="CI45" s="936">
        <v>6535</v>
      </c>
      <c r="CJ45" s="937"/>
      <c r="CK45" s="936">
        <v>6575</v>
      </c>
      <c r="CL45" s="937"/>
      <c r="CM45" s="936">
        <v>6427</v>
      </c>
      <c r="CN45" s="937"/>
      <c r="CO45" s="936">
        <v>6116</v>
      </c>
      <c r="CP45" s="937"/>
      <c r="CQ45" s="936">
        <v>5678</v>
      </c>
      <c r="CR45" s="937"/>
      <c r="CS45" s="936">
        <v>4958</v>
      </c>
      <c r="CT45" s="937"/>
      <c r="CU45" s="936">
        <v>0</v>
      </c>
      <c r="CV45" s="937"/>
      <c r="CW45" s="936">
        <v>0</v>
      </c>
      <c r="CX45" s="937"/>
      <c r="CY45" s="936">
        <v>0</v>
      </c>
      <c r="CZ45" s="937"/>
      <c r="DA45" s="936">
        <v>0</v>
      </c>
      <c r="DB45" s="937"/>
      <c r="DC45" s="936">
        <v>0</v>
      </c>
      <c r="DD45" s="937"/>
      <c r="DE45" s="938">
        <v>0</v>
      </c>
      <c r="DF45" s="641"/>
      <c r="DG45" s="932" t="s">
        <v>432</v>
      </c>
      <c r="DH45" s="933"/>
      <c r="DI45" s="933"/>
      <c r="DJ45" s="933"/>
      <c r="DK45" s="933"/>
      <c r="DL45" s="934"/>
      <c r="DM45" s="935"/>
      <c r="DN45" s="936">
        <v>0</v>
      </c>
      <c r="DO45" s="937"/>
      <c r="DP45" s="936">
        <v>0</v>
      </c>
      <c r="DQ45" s="937"/>
      <c r="DR45" s="936">
        <v>0</v>
      </c>
      <c r="DS45" s="937"/>
      <c r="DT45" s="936">
        <v>0</v>
      </c>
      <c r="DU45" s="937"/>
      <c r="DV45" s="936">
        <v>0</v>
      </c>
      <c r="DW45" s="937"/>
      <c r="DX45" s="936">
        <v>0</v>
      </c>
      <c r="DY45" s="937"/>
      <c r="DZ45" s="936">
        <v>0</v>
      </c>
      <c r="EA45" s="937"/>
      <c r="EB45" s="936">
        <v>0</v>
      </c>
      <c r="EC45" s="937"/>
      <c r="ED45" s="936">
        <v>6106</v>
      </c>
      <c r="EE45" s="937"/>
      <c r="EF45" s="936">
        <v>5993</v>
      </c>
      <c r="EG45" s="937"/>
      <c r="EH45" s="936">
        <v>6613</v>
      </c>
      <c r="EI45" s="937"/>
      <c r="EJ45" s="936">
        <v>5802</v>
      </c>
      <c r="EK45" s="937"/>
      <c r="EL45" s="936">
        <v>7176</v>
      </c>
      <c r="EM45" s="937"/>
      <c r="EN45" s="936">
        <v>7060</v>
      </c>
      <c r="EO45" s="937"/>
      <c r="EP45" s="936">
        <v>6683</v>
      </c>
      <c r="EQ45" s="937"/>
      <c r="ER45" s="936">
        <v>6094</v>
      </c>
      <c r="ES45" s="937"/>
      <c r="ET45" s="936">
        <v>5419</v>
      </c>
      <c r="EU45" s="937"/>
      <c r="EV45" s="936">
        <v>4595</v>
      </c>
      <c r="EW45" s="937"/>
      <c r="EX45" s="936">
        <v>0</v>
      </c>
      <c r="EY45" s="937"/>
      <c r="EZ45" s="936">
        <v>0</v>
      </c>
      <c r="FA45" s="937"/>
      <c r="FB45" s="936">
        <v>0</v>
      </c>
      <c r="FC45" s="937"/>
      <c r="FD45" s="936">
        <v>0</v>
      </c>
      <c r="FE45" s="937"/>
      <c r="FF45" s="936">
        <v>0</v>
      </c>
      <c r="FG45" s="937"/>
      <c r="FH45" s="938">
        <v>0</v>
      </c>
      <c r="FI45" s="641"/>
      <c r="FJ45" s="932" t="s">
        <v>433</v>
      </c>
      <c r="FK45" s="933"/>
      <c r="FL45" s="933"/>
      <c r="FM45" s="933"/>
      <c r="FN45" s="933"/>
      <c r="FO45" s="934"/>
      <c r="FP45" s="939"/>
      <c r="FQ45" s="940"/>
      <c r="FR45" s="936">
        <v>5807</v>
      </c>
      <c r="FS45" s="941"/>
      <c r="FT45" s="940"/>
      <c r="FU45" s="942">
        <v>5861</v>
      </c>
      <c r="FV45" s="586"/>
      <c r="FW45" s="587"/>
      <c r="FX45" s="799"/>
      <c r="FY45" s="589"/>
      <c r="FZ45" s="800"/>
      <c r="GA45" s="591"/>
      <c r="GB45" s="801"/>
      <c r="GC45" s="593"/>
      <c r="GD45" s="801"/>
      <c r="GE45" s="594"/>
      <c r="GF45" s="647"/>
      <c r="GG45" s="648"/>
      <c r="GH45" s="648"/>
      <c r="GI45" s="648"/>
      <c r="GJ45" s="493"/>
      <c r="GK45" s="943"/>
      <c r="GL45" s="943"/>
      <c r="GM45" s="944"/>
      <c r="GN45" s="944"/>
      <c r="GO45" s="945"/>
      <c r="GP45" s="943"/>
      <c r="GQ45" s="943"/>
      <c r="GR45" s="943"/>
      <c r="GS45" s="946"/>
      <c r="GT45" s="854"/>
      <c r="GU45" s="523" t="s">
        <v>511</v>
      </c>
      <c r="GV45" s="410"/>
      <c r="GW45" s="410"/>
      <c r="GX45" s="410"/>
      <c r="GY45" s="523"/>
      <c r="GZ45" s="726"/>
      <c r="HA45" s="744">
        <v>20</v>
      </c>
      <c r="HB45" s="410" t="s">
        <v>484</v>
      </c>
      <c r="HC45" s="931"/>
      <c r="HD45" s="412"/>
    </row>
    <row r="46" spans="1:219" ht="20.100000000000001" customHeight="1">
      <c r="A46" s="947" t="s">
        <v>305</v>
      </c>
      <c r="B46" s="948"/>
      <c r="C46" s="948"/>
      <c r="D46" s="948"/>
      <c r="E46" s="948"/>
      <c r="F46" s="949"/>
      <c r="G46" s="950" t="s">
        <v>631</v>
      </c>
      <c r="H46" s="951"/>
      <c r="I46" s="1284" t="s">
        <v>631</v>
      </c>
      <c r="J46" s="951"/>
      <c r="K46" s="1284" t="s">
        <v>631</v>
      </c>
      <c r="L46" s="951"/>
      <c r="M46" s="1284" t="s">
        <v>631</v>
      </c>
      <c r="N46" s="951"/>
      <c r="O46" s="1284" t="s">
        <v>631</v>
      </c>
      <c r="P46" s="951"/>
      <c r="Q46" s="1284" t="s">
        <v>631</v>
      </c>
      <c r="R46" s="951"/>
      <c r="S46" s="1284" t="s">
        <v>631</v>
      </c>
      <c r="T46" s="951"/>
      <c r="U46" s="1284" t="s">
        <v>631</v>
      </c>
      <c r="V46" s="951"/>
      <c r="W46" s="1284" t="s">
        <v>631</v>
      </c>
      <c r="X46" s="951"/>
      <c r="Y46" s="1284" t="s">
        <v>631</v>
      </c>
      <c r="Z46" s="951"/>
      <c r="AA46" s="1284" t="s">
        <v>631</v>
      </c>
      <c r="AB46" s="951"/>
      <c r="AC46" s="1284" t="s">
        <v>631</v>
      </c>
      <c r="AD46" s="951"/>
      <c r="AE46" s="1284" t="s">
        <v>631</v>
      </c>
      <c r="AF46" s="951"/>
      <c r="AG46" s="1284" t="s">
        <v>631</v>
      </c>
      <c r="AH46" s="951"/>
      <c r="AI46" s="1284" t="s">
        <v>631</v>
      </c>
      <c r="AJ46" s="951"/>
      <c r="AK46" s="1284" t="s">
        <v>631</v>
      </c>
      <c r="AL46" s="951"/>
      <c r="AM46" s="1284" t="s">
        <v>631</v>
      </c>
      <c r="AN46" s="951"/>
      <c r="AO46" s="1284" t="s">
        <v>631</v>
      </c>
      <c r="AP46" s="951"/>
      <c r="AQ46" s="1284" t="s">
        <v>631</v>
      </c>
      <c r="AR46" s="951"/>
      <c r="AS46" s="1284" t="s">
        <v>631</v>
      </c>
      <c r="AT46" s="951"/>
      <c r="AU46" s="1284" t="s">
        <v>631</v>
      </c>
      <c r="AV46" s="951"/>
      <c r="AW46" s="1284" t="s">
        <v>631</v>
      </c>
      <c r="AX46" s="951"/>
      <c r="AY46" s="1284" t="s">
        <v>631</v>
      </c>
      <c r="AZ46" s="953"/>
      <c r="BA46" s="954" t="s">
        <v>631</v>
      </c>
      <c r="BB46" s="1285"/>
      <c r="BC46" s="956"/>
      <c r="BD46" s="947" t="s">
        <v>305</v>
      </c>
      <c r="BE46" s="948"/>
      <c r="BF46" s="948"/>
      <c r="BG46" s="948"/>
      <c r="BH46" s="948"/>
      <c r="BI46" s="949"/>
      <c r="BJ46" s="950" t="s">
        <v>631</v>
      </c>
      <c r="BK46" s="951"/>
      <c r="BL46" s="1284" t="s">
        <v>631</v>
      </c>
      <c r="BM46" s="951"/>
      <c r="BN46" s="1284" t="s">
        <v>631</v>
      </c>
      <c r="BO46" s="951"/>
      <c r="BP46" s="1284" t="s">
        <v>631</v>
      </c>
      <c r="BQ46" s="951"/>
      <c r="BR46" s="1284" t="s">
        <v>631</v>
      </c>
      <c r="BS46" s="951"/>
      <c r="BT46" s="1284" t="s">
        <v>631</v>
      </c>
      <c r="BU46" s="951"/>
      <c r="BV46" s="1284" t="s">
        <v>631</v>
      </c>
      <c r="BW46" s="951"/>
      <c r="BX46" s="1284" t="s">
        <v>631</v>
      </c>
      <c r="BY46" s="951"/>
      <c r="BZ46" s="1284" t="s">
        <v>631</v>
      </c>
      <c r="CA46" s="951"/>
      <c r="CB46" s="1284" t="s">
        <v>631</v>
      </c>
      <c r="CC46" s="951"/>
      <c r="CD46" s="1284" t="s">
        <v>631</v>
      </c>
      <c r="CE46" s="951"/>
      <c r="CF46" s="1284" t="s">
        <v>631</v>
      </c>
      <c r="CG46" s="951"/>
      <c r="CH46" s="1284" t="s">
        <v>631</v>
      </c>
      <c r="CI46" s="951"/>
      <c r="CJ46" s="1284" t="s">
        <v>631</v>
      </c>
      <c r="CK46" s="951"/>
      <c r="CL46" s="1284" t="s">
        <v>631</v>
      </c>
      <c r="CM46" s="951"/>
      <c r="CN46" s="1284" t="s">
        <v>631</v>
      </c>
      <c r="CO46" s="951"/>
      <c r="CP46" s="1284" t="s">
        <v>631</v>
      </c>
      <c r="CQ46" s="951"/>
      <c r="CR46" s="1284" t="s">
        <v>631</v>
      </c>
      <c r="CS46" s="951"/>
      <c r="CT46" s="1284" t="s">
        <v>631</v>
      </c>
      <c r="CU46" s="951"/>
      <c r="CV46" s="1284" t="s">
        <v>631</v>
      </c>
      <c r="CW46" s="951"/>
      <c r="CX46" s="1284" t="s">
        <v>631</v>
      </c>
      <c r="CY46" s="951"/>
      <c r="CZ46" s="1284" t="s">
        <v>631</v>
      </c>
      <c r="DA46" s="951"/>
      <c r="DB46" s="1284" t="s">
        <v>631</v>
      </c>
      <c r="DC46" s="953"/>
      <c r="DD46" s="954" t="s">
        <v>631</v>
      </c>
      <c r="DE46" s="1285"/>
      <c r="DF46" s="956"/>
      <c r="DG46" s="947" t="s">
        <v>305</v>
      </c>
      <c r="DH46" s="948"/>
      <c r="DI46" s="948"/>
      <c r="DJ46" s="948"/>
      <c r="DK46" s="948"/>
      <c r="DL46" s="949"/>
      <c r="DM46" s="950" t="s">
        <v>631</v>
      </c>
      <c r="DN46" s="951"/>
      <c r="DO46" s="1284" t="s">
        <v>631</v>
      </c>
      <c r="DP46" s="951"/>
      <c r="DQ46" s="1284" t="s">
        <v>631</v>
      </c>
      <c r="DR46" s="951"/>
      <c r="DS46" s="1284" t="s">
        <v>631</v>
      </c>
      <c r="DT46" s="951"/>
      <c r="DU46" s="1284" t="s">
        <v>631</v>
      </c>
      <c r="DV46" s="951"/>
      <c r="DW46" s="1284" t="s">
        <v>631</v>
      </c>
      <c r="DX46" s="951"/>
      <c r="DY46" s="1284" t="s">
        <v>631</v>
      </c>
      <c r="DZ46" s="951"/>
      <c r="EA46" s="1284" t="s">
        <v>631</v>
      </c>
      <c r="EB46" s="951"/>
      <c r="EC46" s="1284" t="s">
        <v>631</v>
      </c>
      <c r="ED46" s="951"/>
      <c r="EE46" s="1284" t="s">
        <v>631</v>
      </c>
      <c r="EF46" s="951"/>
      <c r="EG46" s="1284" t="s">
        <v>631</v>
      </c>
      <c r="EH46" s="951"/>
      <c r="EI46" s="1284" t="s">
        <v>631</v>
      </c>
      <c r="EJ46" s="951"/>
      <c r="EK46" s="1284" t="s">
        <v>631</v>
      </c>
      <c r="EL46" s="951"/>
      <c r="EM46" s="1284" t="s">
        <v>631</v>
      </c>
      <c r="EN46" s="951"/>
      <c r="EO46" s="1284" t="s">
        <v>631</v>
      </c>
      <c r="EP46" s="951"/>
      <c r="EQ46" s="1284" t="s">
        <v>631</v>
      </c>
      <c r="ER46" s="951"/>
      <c r="ES46" s="1284" t="s">
        <v>631</v>
      </c>
      <c r="ET46" s="951"/>
      <c r="EU46" s="1284" t="s">
        <v>631</v>
      </c>
      <c r="EV46" s="951"/>
      <c r="EW46" s="1284" t="s">
        <v>631</v>
      </c>
      <c r="EX46" s="951"/>
      <c r="EY46" s="1284" t="s">
        <v>631</v>
      </c>
      <c r="EZ46" s="951"/>
      <c r="FA46" s="1284" t="s">
        <v>631</v>
      </c>
      <c r="FB46" s="951"/>
      <c r="FC46" s="1284" t="s">
        <v>631</v>
      </c>
      <c r="FD46" s="951"/>
      <c r="FE46" s="1284" t="s">
        <v>631</v>
      </c>
      <c r="FF46" s="953"/>
      <c r="FG46" s="954" t="s">
        <v>631</v>
      </c>
      <c r="FH46" s="1285"/>
      <c r="FI46" s="956"/>
      <c r="FJ46" s="947" t="s">
        <v>688</v>
      </c>
      <c r="FK46" s="948"/>
      <c r="FL46" s="948"/>
      <c r="FM46" s="948"/>
      <c r="FN46" s="948"/>
      <c r="FO46" s="949"/>
      <c r="FP46" s="957"/>
      <c r="FQ46" s="958">
        <v>1</v>
      </c>
      <c r="FR46" s="951"/>
      <c r="FS46" s="959"/>
      <c r="FT46" s="960">
        <v>1</v>
      </c>
      <c r="FU46" s="961"/>
      <c r="FV46" s="911"/>
      <c r="FW46" s="912"/>
      <c r="FX46" s="913"/>
      <c r="FY46" s="914"/>
      <c r="FZ46" s="915"/>
      <c r="GA46" s="916"/>
      <c r="GB46" s="917"/>
      <c r="GC46" s="918"/>
      <c r="GD46" s="917"/>
      <c r="GE46" s="919"/>
      <c r="GF46" s="681"/>
      <c r="GG46" s="962"/>
      <c r="GH46" s="962"/>
      <c r="GI46" s="962"/>
      <c r="GJ46" s="410"/>
      <c r="GK46" s="406" t="s">
        <v>513</v>
      </c>
      <c r="GL46" s="410"/>
      <c r="GM46" s="743"/>
      <c r="GN46" s="743"/>
      <c r="GO46" s="743"/>
      <c r="GP46" s="743"/>
      <c r="GQ46" s="743"/>
      <c r="GR46" s="854"/>
      <c r="GS46" s="573"/>
      <c r="GT46" s="756"/>
      <c r="GU46" s="767" t="s">
        <v>655</v>
      </c>
      <c r="GV46" s="767"/>
      <c r="GW46" s="767"/>
      <c r="GX46" s="767"/>
      <c r="GY46" s="608"/>
      <c r="GZ46" s="768"/>
      <c r="HA46" s="744">
        <v>23.9</v>
      </c>
      <c r="HB46" s="410" t="s">
        <v>484</v>
      </c>
      <c r="HC46" s="931"/>
      <c r="HD46" s="412"/>
    </row>
    <row r="47" spans="1:219" ht="20.100000000000001" customHeight="1" thickBot="1">
      <c r="A47" s="963" t="s">
        <v>437</v>
      </c>
      <c r="B47" s="964"/>
      <c r="C47" s="964"/>
      <c r="D47" s="965"/>
      <c r="E47" s="966"/>
      <c r="F47" s="966"/>
      <c r="G47" s="967"/>
      <c r="H47" s="968">
        <v>0</v>
      </c>
      <c r="I47" s="969"/>
      <c r="J47" s="968">
        <v>0</v>
      </c>
      <c r="K47" s="969"/>
      <c r="L47" s="968">
        <v>0</v>
      </c>
      <c r="M47" s="969"/>
      <c r="N47" s="968">
        <v>0</v>
      </c>
      <c r="O47" s="969"/>
      <c r="P47" s="968">
        <v>0</v>
      </c>
      <c r="Q47" s="969"/>
      <c r="R47" s="968">
        <v>0</v>
      </c>
      <c r="S47" s="969"/>
      <c r="T47" s="968">
        <v>0</v>
      </c>
      <c r="U47" s="969"/>
      <c r="V47" s="968">
        <v>0</v>
      </c>
      <c r="W47" s="969"/>
      <c r="X47" s="968">
        <v>6085</v>
      </c>
      <c r="Y47" s="969"/>
      <c r="Z47" s="968">
        <v>5462</v>
      </c>
      <c r="AA47" s="969"/>
      <c r="AB47" s="968">
        <v>5841</v>
      </c>
      <c r="AC47" s="969"/>
      <c r="AD47" s="968">
        <v>4957</v>
      </c>
      <c r="AE47" s="969"/>
      <c r="AF47" s="968">
        <v>6410</v>
      </c>
      <c r="AG47" s="969"/>
      <c r="AH47" s="968">
        <v>6411</v>
      </c>
      <c r="AI47" s="969"/>
      <c r="AJ47" s="968">
        <v>6231</v>
      </c>
      <c r="AK47" s="969"/>
      <c r="AL47" s="968">
        <v>5895</v>
      </c>
      <c r="AM47" s="969"/>
      <c r="AN47" s="968">
        <v>5499</v>
      </c>
      <c r="AO47" s="969"/>
      <c r="AP47" s="968">
        <v>4845</v>
      </c>
      <c r="AQ47" s="969"/>
      <c r="AR47" s="968">
        <v>0</v>
      </c>
      <c r="AS47" s="969"/>
      <c r="AT47" s="968">
        <v>0</v>
      </c>
      <c r="AU47" s="969"/>
      <c r="AV47" s="968">
        <v>0</v>
      </c>
      <c r="AW47" s="969"/>
      <c r="AX47" s="968">
        <v>0</v>
      </c>
      <c r="AY47" s="970"/>
      <c r="AZ47" s="971">
        <v>0</v>
      </c>
      <c r="BA47" s="972"/>
      <c r="BB47" s="973">
        <v>0</v>
      </c>
      <c r="BC47" s="974"/>
      <c r="BD47" s="963" t="s">
        <v>307</v>
      </c>
      <c r="BE47" s="964"/>
      <c r="BF47" s="964"/>
      <c r="BG47" s="965"/>
      <c r="BH47" s="966"/>
      <c r="BI47" s="966"/>
      <c r="BJ47" s="967"/>
      <c r="BK47" s="968">
        <v>0</v>
      </c>
      <c r="BL47" s="969"/>
      <c r="BM47" s="968">
        <v>0</v>
      </c>
      <c r="BN47" s="969"/>
      <c r="BO47" s="968">
        <v>0</v>
      </c>
      <c r="BP47" s="969"/>
      <c r="BQ47" s="968">
        <v>0</v>
      </c>
      <c r="BR47" s="969"/>
      <c r="BS47" s="968">
        <v>0</v>
      </c>
      <c r="BT47" s="969"/>
      <c r="BU47" s="968">
        <v>0</v>
      </c>
      <c r="BV47" s="969"/>
      <c r="BW47" s="968">
        <v>0</v>
      </c>
      <c r="BX47" s="969"/>
      <c r="BY47" s="968">
        <v>0</v>
      </c>
      <c r="BZ47" s="969"/>
      <c r="CA47" s="968">
        <v>6058</v>
      </c>
      <c r="CB47" s="969"/>
      <c r="CC47" s="968">
        <v>5482</v>
      </c>
      <c r="CD47" s="969"/>
      <c r="CE47" s="968">
        <v>5913</v>
      </c>
      <c r="CF47" s="969"/>
      <c r="CG47" s="968">
        <v>5077</v>
      </c>
      <c r="CH47" s="969"/>
      <c r="CI47" s="968">
        <v>6535</v>
      </c>
      <c r="CJ47" s="969"/>
      <c r="CK47" s="968">
        <v>6575</v>
      </c>
      <c r="CL47" s="969"/>
      <c r="CM47" s="968">
        <v>6427</v>
      </c>
      <c r="CN47" s="969"/>
      <c r="CO47" s="968">
        <v>6116</v>
      </c>
      <c r="CP47" s="969"/>
      <c r="CQ47" s="968">
        <v>5678</v>
      </c>
      <c r="CR47" s="969"/>
      <c r="CS47" s="968">
        <v>4958</v>
      </c>
      <c r="CT47" s="969"/>
      <c r="CU47" s="968">
        <v>0</v>
      </c>
      <c r="CV47" s="969"/>
      <c r="CW47" s="968">
        <v>0</v>
      </c>
      <c r="CX47" s="969"/>
      <c r="CY47" s="968">
        <v>0</v>
      </c>
      <c r="CZ47" s="969"/>
      <c r="DA47" s="968">
        <v>0</v>
      </c>
      <c r="DB47" s="970"/>
      <c r="DC47" s="971">
        <v>0</v>
      </c>
      <c r="DD47" s="972"/>
      <c r="DE47" s="973">
        <v>0</v>
      </c>
      <c r="DF47" s="974"/>
      <c r="DG47" s="963" t="s">
        <v>437</v>
      </c>
      <c r="DH47" s="964"/>
      <c r="DI47" s="964"/>
      <c r="DJ47" s="965"/>
      <c r="DK47" s="966"/>
      <c r="DL47" s="966"/>
      <c r="DM47" s="967"/>
      <c r="DN47" s="968">
        <v>0</v>
      </c>
      <c r="DO47" s="969"/>
      <c r="DP47" s="968">
        <v>0</v>
      </c>
      <c r="DQ47" s="969"/>
      <c r="DR47" s="968">
        <v>0</v>
      </c>
      <c r="DS47" s="969"/>
      <c r="DT47" s="968">
        <v>0</v>
      </c>
      <c r="DU47" s="969"/>
      <c r="DV47" s="968">
        <v>0</v>
      </c>
      <c r="DW47" s="969"/>
      <c r="DX47" s="968">
        <v>0</v>
      </c>
      <c r="DY47" s="969"/>
      <c r="DZ47" s="968">
        <v>0</v>
      </c>
      <c r="EA47" s="969"/>
      <c r="EB47" s="968">
        <v>0</v>
      </c>
      <c r="EC47" s="969"/>
      <c r="ED47" s="968">
        <v>6106</v>
      </c>
      <c r="EE47" s="969"/>
      <c r="EF47" s="968">
        <v>5993</v>
      </c>
      <c r="EG47" s="969"/>
      <c r="EH47" s="968">
        <v>6613</v>
      </c>
      <c r="EI47" s="969"/>
      <c r="EJ47" s="968">
        <v>5802</v>
      </c>
      <c r="EK47" s="969"/>
      <c r="EL47" s="968">
        <v>7176</v>
      </c>
      <c r="EM47" s="969"/>
      <c r="EN47" s="968">
        <v>7060</v>
      </c>
      <c r="EO47" s="969"/>
      <c r="EP47" s="968">
        <v>6683</v>
      </c>
      <c r="EQ47" s="969"/>
      <c r="ER47" s="968">
        <v>6094</v>
      </c>
      <c r="ES47" s="969"/>
      <c r="ET47" s="968">
        <v>5419</v>
      </c>
      <c r="EU47" s="969"/>
      <c r="EV47" s="968">
        <v>4595</v>
      </c>
      <c r="EW47" s="969"/>
      <c r="EX47" s="968">
        <v>0</v>
      </c>
      <c r="EY47" s="969"/>
      <c r="EZ47" s="968">
        <v>0</v>
      </c>
      <c r="FA47" s="969"/>
      <c r="FB47" s="968">
        <v>0</v>
      </c>
      <c r="FC47" s="969"/>
      <c r="FD47" s="968">
        <v>0</v>
      </c>
      <c r="FE47" s="970"/>
      <c r="FF47" s="971">
        <v>0</v>
      </c>
      <c r="FG47" s="972"/>
      <c r="FH47" s="973">
        <v>0</v>
      </c>
      <c r="FI47" s="974"/>
      <c r="FJ47" s="963" t="s">
        <v>307</v>
      </c>
      <c r="FK47" s="964"/>
      <c r="FL47" s="964"/>
      <c r="FM47" s="965"/>
      <c r="FN47" s="966"/>
      <c r="FO47" s="966"/>
      <c r="FP47" s="975"/>
      <c r="FQ47" s="976"/>
      <c r="FR47" s="968">
        <v>5807</v>
      </c>
      <c r="FS47" s="977"/>
      <c r="FT47" s="976"/>
      <c r="FU47" s="978">
        <v>5861</v>
      </c>
      <c r="FV47" s="979">
        <v>14</v>
      </c>
      <c r="FW47" s="968">
        <v>6411</v>
      </c>
      <c r="FX47" s="980">
        <v>14</v>
      </c>
      <c r="FY47" s="968">
        <v>6575</v>
      </c>
      <c r="FZ47" s="980">
        <v>13</v>
      </c>
      <c r="GA47" s="968">
        <v>7176</v>
      </c>
      <c r="GB47" s="981" t="s">
        <v>621</v>
      </c>
      <c r="GC47" s="968">
        <v>7176</v>
      </c>
      <c r="GD47" s="981" t="s">
        <v>623</v>
      </c>
      <c r="GE47" s="982">
        <v>5861</v>
      </c>
      <c r="GF47" s="681"/>
      <c r="GG47" s="983"/>
      <c r="GH47" s="983"/>
      <c r="GI47" s="983"/>
      <c r="GJ47" s="886"/>
      <c r="GK47" s="410" t="s">
        <v>656</v>
      </c>
      <c r="GL47" s="886"/>
      <c r="GM47" s="523"/>
      <c r="GN47" s="886"/>
      <c r="GO47" s="523"/>
      <c r="GP47" s="523"/>
      <c r="GQ47" s="523"/>
      <c r="GR47" s="886"/>
      <c r="GS47" s="523"/>
      <c r="GT47" s="756"/>
      <c r="GU47" s="767" t="s">
        <v>657</v>
      </c>
      <c r="GV47" s="767"/>
      <c r="GW47" s="767"/>
      <c r="GX47" s="767"/>
      <c r="GY47" s="523"/>
      <c r="GZ47" s="410"/>
      <c r="HA47" s="771">
        <v>0.17</v>
      </c>
      <c r="HB47" s="410"/>
      <c r="HC47" s="974"/>
      <c r="HD47" s="412"/>
    </row>
    <row r="48" spans="1:219" ht="20.100000000000001" customHeight="1">
      <c r="A48" s="984" t="s">
        <v>443</v>
      </c>
      <c r="B48" s="985" t="s">
        <v>442</v>
      </c>
      <c r="C48" s="888"/>
      <c r="D48" s="818"/>
      <c r="E48" s="818"/>
      <c r="F48" s="819"/>
      <c r="G48" s="733" t="s">
        <v>441</v>
      </c>
      <c r="H48" s="656" t="s">
        <v>385</v>
      </c>
      <c r="I48" s="735" t="s">
        <v>440</v>
      </c>
      <c r="J48" s="986" t="s">
        <v>388</v>
      </c>
      <c r="K48" s="735" t="s">
        <v>440</v>
      </c>
      <c r="L48" s="986" t="s">
        <v>388</v>
      </c>
      <c r="M48" s="735" t="s">
        <v>440</v>
      </c>
      <c r="N48" s="986" t="s">
        <v>385</v>
      </c>
      <c r="O48" s="735" t="s">
        <v>441</v>
      </c>
      <c r="P48" s="986" t="s">
        <v>388</v>
      </c>
      <c r="Q48" s="735" t="s">
        <v>441</v>
      </c>
      <c r="R48" s="986" t="s">
        <v>385</v>
      </c>
      <c r="S48" s="735" t="s">
        <v>440</v>
      </c>
      <c r="T48" s="986" t="s">
        <v>385</v>
      </c>
      <c r="U48" s="735" t="s">
        <v>441</v>
      </c>
      <c r="V48" s="986" t="s">
        <v>388</v>
      </c>
      <c r="W48" s="735" t="s">
        <v>441</v>
      </c>
      <c r="X48" s="986" t="s">
        <v>388</v>
      </c>
      <c r="Y48" s="735" t="s">
        <v>440</v>
      </c>
      <c r="Z48" s="986" t="s">
        <v>385</v>
      </c>
      <c r="AA48" s="735" t="s">
        <v>441</v>
      </c>
      <c r="AB48" s="986" t="s">
        <v>385</v>
      </c>
      <c r="AC48" s="735" t="s">
        <v>440</v>
      </c>
      <c r="AD48" s="986" t="s">
        <v>388</v>
      </c>
      <c r="AE48" s="735" t="s">
        <v>441</v>
      </c>
      <c r="AF48" s="986" t="s">
        <v>388</v>
      </c>
      <c r="AG48" s="735" t="s">
        <v>440</v>
      </c>
      <c r="AH48" s="986" t="s">
        <v>388</v>
      </c>
      <c r="AI48" s="735" t="s">
        <v>440</v>
      </c>
      <c r="AJ48" s="986" t="s">
        <v>388</v>
      </c>
      <c r="AK48" s="735" t="s">
        <v>441</v>
      </c>
      <c r="AL48" s="986" t="s">
        <v>388</v>
      </c>
      <c r="AM48" s="735" t="s">
        <v>440</v>
      </c>
      <c r="AN48" s="986" t="s">
        <v>388</v>
      </c>
      <c r="AO48" s="735" t="s">
        <v>440</v>
      </c>
      <c r="AP48" s="986" t="s">
        <v>385</v>
      </c>
      <c r="AQ48" s="735" t="s">
        <v>441</v>
      </c>
      <c r="AR48" s="986" t="s">
        <v>385</v>
      </c>
      <c r="AS48" s="735" t="s">
        <v>441</v>
      </c>
      <c r="AT48" s="986" t="s">
        <v>385</v>
      </c>
      <c r="AU48" s="735" t="s">
        <v>440</v>
      </c>
      <c r="AV48" s="986" t="s">
        <v>388</v>
      </c>
      <c r="AW48" s="735" t="s">
        <v>440</v>
      </c>
      <c r="AX48" s="986" t="s">
        <v>385</v>
      </c>
      <c r="AY48" s="735" t="s">
        <v>441</v>
      </c>
      <c r="AZ48" s="987" t="s">
        <v>385</v>
      </c>
      <c r="BA48" s="988" t="s">
        <v>440</v>
      </c>
      <c r="BB48" s="989" t="s">
        <v>388</v>
      </c>
      <c r="BC48" s="925"/>
      <c r="BD48" s="984" t="s">
        <v>438</v>
      </c>
      <c r="BE48" s="985" t="s">
        <v>442</v>
      </c>
      <c r="BF48" s="888"/>
      <c r="BG48" s="818"/>
      <c r="BH48" s="818"/>
      <c r="BI48" s="819"/>
      <c r="BJ48" s="733" t="s">
        <v>441</v>
      </c>
      <c r="BK48" s="656" t="s">
        <v>388</v>
      </c>
      <c r="BL48" s="735" t="s">
        <v>441</v>
      </c>
      <c r="BM48" s="986" t="s">
        <v>385</v>
      </c>
      <c r="BN48" s="735" t="s">
        <v>440</v>
      </c>
      <c r="BO48" s="986" t="s">
        <v>388</v>
      </c>
      <c r="BP48" s="735" t="s">
        <v>440</v>
      </c>
      <c r="BQ48" s="986" t="s">
        <v>385</v>
      </c>
      <c r="BR48" s="735" t="s">
        <v>440</v>
      </c>
      <c r="BS48" s="986" t="s">
        <v>385</v>
      </c>
      <c r="BT48" s="735" t="s">
        <v>440</v>
      </c>
      <c r="BU48" s="986" t="s">
        <v>385</v>
      </c>
      <c r="BV48" s="735" t="s">
        <v>440</v>
      </c>
      <c r="BW48" s="986" t="s">
        <v>388</v>
      </c>
      <c r="BX48" s="735" t="s">
        <v>441</v>
      </c>
      <c r="BY48" s="986" t="s">
        <v>388</v>
      </c>
      <c r="BZ48" s="735" t="s">
        <v>440</v>
      </c>
      <c r="CA48" s="986" t="s">
        <v>385</v>
      </c>
      <c r="CB48" s="735" t="s">
        <v>441</v>
      </c>
      <c r="CC48" s="986" t="s">
        <v>388</v>
      </c>
      <c r="CD48" s="735" t="s">
        <v>441</v>
      </c>
      <c r="CE48" s="986" t="s">
        <v>385</v>
      </c>
      <c r="CF48" s="735" t="s">
        <v>440</v>
      </c>
      <c r="CG48" s="986" t="s">
        <v>385</v>
      </c>
      <c r="CH48" s="735" t="s">
        <v>441</v>
      </c>
      <c r="CI48" s="986" t="s">
        <v>388</v>
      </c>
      <c r="CJ48" s="735" t="s">
        <v>441</v>
      </c>
      <c r="CK48" s="986" t="s">
        <v>388</v>
      </c>
      <c r="CL48" s="735" t="s">
        <v>440</v>
      </c>
      <c r="CM48" s="986" t="s">
        <v>385</v>
      </c>
      <c r="CN48" s="735" t="s">
        <v>441</v>
      </c>
      <c r="CO48" s="986" t="s">
        <v>385</v>
      </c>
      <c r="CP48" s="735" t="s">
        <v>440</v>
      </c>
      <c r="CQ48" s="986" t="s">
        <v>388</v>
      </c>
      <c r="CR48" s="735" t="s">
        <v>441</v>
      </c>
      <c r="CS48" s="986" t="s">
        <v>388</v>
      </c>
      <c r="CT48" s="735" t="s">
        <v>440</v>
      </c>
      <c r="CU48" s="986" t="s">
        <v>388</v>
      </c>
      <c r="CV48" s="735" t="s">
        <v>440</v>
      </c>
      <c r="CW48" s="986" t="s">
        <v>388</v>
      </c>
      <c r="CX48" s="735" t="s">
        <v>441</v>
      </c>
      <c r="CY48" s="986" t="s">
        <v>388</v>
      </c>
      <c r="CZ48" s="735" t="s">
        <v>440</v>
      </c>
      <c r="DA48" s="986" t="s">
        <v>388</v>
      </c>
      <c r="DB48" s="735" t="s">
        <v>440</v>
      </c>
      <c r="DC48" s="987" t="s">
        <v>385</v>
      </c>
      <c r="DD48" s="988" t="s">
        <v>441</v>
      </c>
      <c r="DE48" s="989" t="s">
        <v>385</v>
      </c>
      <c r="DF48" s="925"/>
      <c r="DG48" s="984" t="s">
        <v>438</v>
      </c>
      <c r="DH48" s="985" t="s">
        <v>439</v>
      </c>
      <c r="DI48" s="888"/>
      <c r="DJ48" s="818"/>
      <c r="DK48" s="818"/>
      <c r="DL48" s="819"/>
      <c r="DM48" s="733" t="s">
        <v>441</v>
      </c>
      <c r="DN48" s="656" t="s">
        <v>385</v>
      </c>
      <c r="DO48" s="735" t="s">
        <v>440</v>
      </c>
      <c r="DP48" s="986" t="s">
        <v>385</v>
      </c>
      <c r="DQ48" s="735" t="s">
        <v>441</v>
      </c>
      <c r="DR48" s="986" t="s">
        <v>385</v>
      </c>
      <c r="DS48" s="735" t="s">
        <v>440</v>
      </c>
      <c r="DT48" s="986" t="s">
        <v>385</v>
      </c>
      <c r="DU48" s="735" t="s">
        <v>440</v>
      </c>
      <c r="DV48" s="986" t="s">
        <v>385</v>
      </c>
      <c r="DW48" s="735" t="s">
        <v>441</v>
      </c>
      <c r="DX48" s="986" t="s">
        <v>388</v>
      </c>
      <c r="DY48" s="735" t="s">
        <v>441</v>
      </c>
      <c r="DZ48" s="986" t="s">
        <v>385</v>
      </c>
      <c r="EA48" s="735" t="s">
        <v>440</v>
      </c>
      <c r="EB48" s="986" t="s">
        <v>388</v>
      </c>
      <c r="EC48" s="735" t="s">
        <v>440</v>
      </c>
      <c r="ED48" s="986" t="s">
        <v>385</v>
      </c>
      <c r="EE48" s="735" t="s">
        <v>440</v>
      </c>
      <c r="EF48" s="986" t="s">
        <v>385</v>
      </c>
      <c r="EG48" s="735" t="s">
        <v>440</v>
      </c>
      <c r="EH48" s="986" t="s">
        <v>385</v>
      </c>
      <c r="EI48" s="735" t="s">
        <v>440</v>
      </c>
      <c r="EJ48" s="986" t="s">
        <v>388</v>
      </c>
      <c r="EK48" s="735" t="s">
        <v>441</v>
      </c>
      <c r="EL48" s="986" t="s">
        <v>388</v>
      </c>
      <c r="EM48" s="735" t="s">
        <v>440</v>
      </c>
      <c r="EN48" s="986" t="s">
        <v>385</v>
      </c>
      <c r="EO48" s="735" t="s">
        <v>441</v>
      </c>
      <c r="EP48" s="986" t="s">
        <v>388</v>
      </c>
      <c r="EQ48" s="735" t="s">
        <v>441</v>
      </c>
      <c r="ER48" s="986" t="s">
        <v>385</v>
      </c>
      <c r="ES48" s="735" t="s">
        <v>440</v>
      </c>
      <c r="ET48" s="986" t="s">
        <v>385</v>
      </c>
      <c r="EU48" s="735" t="s">
        <v>441</v>
      </c>
      <c r="EV48" s="986" t="s">
        <v>388</v>
      </c>
      <c r="EW48" s="735" t="s">
        <v>441</v>
      </c>
      <c r="EX48" s="986" t="s">
        <v>388</v>
      </c>
      <c r="EY48" s="735" t="s">
        <v>440</v>
      </c>
      <c r="EZ48" s="986" t="s">
        <v>385</v>
      </c>
      <c r="FA48" s="735" t="s">
        <v>441</v>
      </c>
      <c r="FB48" s="986" t="s">
        <v>385</v>
      </c>
      <c r="FC48" s="735" t="s">
        <v>440</v>
      </c>
      <c r="FD48" s="986" t="s">
        <v>388</v>
      </c>
      <c r="FE48" s="735" t="s">
        <v>441</v>
      </c>
      <c r="FF48" s="987" t="s">
        <v>388</v>
      </c>
      <c r="FG48" s="988" t="s">
        <v>440</v>
      </c>
      <c r="FH48" s="989" t="s">
        <v>388</v>
      </c>
      <c r="FI48" s="925"/>
      <c r="FJ48" s="984" t="s">
        <v>443</v>
      </c>
      <c r="FK48" s="731" t="s">
        <v>439</v>
      </c>
      <c r="FL48" s="888"/>
      <c r="FM48" s="818"/>
      <c r="FN48" s="818"/>
      <c r="FO48" s="819"/>
      <c r="FP48" s="740" t="s">
        <v>390</v>
      </c>
      <c r="FQ48" s="666" t="s">
        <v>440</v>
      </c>
      <c r="FR48" s="656" t="s">
        <v>391</v>
      </c>
      <c r="FS48" s="990" t="s">
        <v>390</v>
      </c>
      <c r="FT48" s="666" t="s">
        <v>441</v>
      </c>
      <c r="FU48" s="991" t="s">
        <v>391</v>
      </c>
      <c r="FV48" s="992"/>
      <c r="FW48" s="986" t="s">
        <v>289</v>
      </c>
      <c r="FX48" s="990"/>
      <c r="FY48" s="986" t="s">
        <v>289</v>
      </c>
      <c r="FZ48" s="990"/>
      <c r="GA48" s="986" t="s">
        <v>289</v>
      </c>
      <c r="GB48" s="990"/>
      <c r="GC48" s="986" t="s">
        <v>289</v>
      </c>
      <c r="GD48" s="990"/>
      <c r="GE48" s="993" t="s">
        <v>290</v>
      </c>
      <c r="GF48" s="681"/>
      <c r="GG48" s="648"/>
      <c r="GH48" s="648"/>
      <c r="GI48" s="648"/>
      <c r="GJ48" s="523"/>
      <c r="GK48" s="608" t="s">
        <v>658</v>
      </c>
      <c r="GL48" s="523"/>
      <c r="GM48" s="608"/>
      <c r="GN48" s="523"/>
      <c r="GO48" s="608"/>
      <c r="GP48" s="608"/>
      <c r="GQ48" s="608"/>
      <c r="GR48" s="523"/>
      <c r="GS48" s="523"/>
      <c r="GT48" s="493"/>
      <c r="GU48" s="493"/>
      <c r="GV48" s="493"/>
      <c r="GW48" s="572"/>
      <c r="GX48" s="572"/>
      <c r="GY48" s="572"/>
      <c r="GZ48" s="571"/>
      <c r="HA48" s="493"/>
      <c r="HB48" s="493"/>
      <c r="HC48" s="974"/>
      <c r="HD48" s="412"/>
    </row>
    <row r="49" spans="1:212" ht="20.100000000000001" customHeight="1">
      <c r="A49" s="994"/>
      <c r="B49" s="745" t="s">
        <v>392</v>
      </c>
      <c r="C49" s="995"/>
      <c r="D49" s="747">
        <v>66</v>
      </c>
      <c r="E49" s="748">
        <v>12</v>
      </c>
      <c r="F49" s="996" t="s">
        <v>393</v>
      </c>
      <c r="G49" s="750"/>
      <c r="H49" s="552"/>
      <c r="I49" s="751"/>
      <c r="J49" s="552"/>
      <c r="K49" s="751"/>
      <c r="L49" s="552"/>
      <c r="M49" s="751"/>
      <c r="N49" s="552"/>
      <c r="O49" s="751"/>
      <c r="P49" s="552"/>
      <c r="Q49" s="751"/>
      <c r="R49" s="552"/>
      <c r="S49" s="751"/>
      <c r="T49" s="552"/>
      <c r="U49" s="751"/>
      <c r="V49" s="552"/>
      <c r="W49" s="751">
        <v>1</v>
      </c>
      <c r="X49" s="552">
        <v>792</v>
      </c>
      <c r="Y49" s="751">
        <v>1</v>
      </c>
      <c r="Z49" s="552">
        <v>792</v>
      </c>
      <c r="AA49" s="751">
        <v>1</v>
      </c>
      <c r="AB49" s="552">
        <v>792</v>
      </c>
      <c r="AC49" s="751">
        <v>0.6</v>
      </c>
      <c r="AD49" s="552">
        <v>475</v>
      </c>
      <c r="AE49" s="751">
        <v>1</v>
      </c>
      <c r="AF49" s="552">
        <v>792</v>
      </c>
      <c r="AG49" s="751">
        <v>1</v>
      </c>
      <c r="AH49" s="552">
        <v>792</v>
      </c>
      <c r="AI49" s="751">
        <v>1</v>
      </c>
      <c r="AJ49" s="552">
        <v>792</v>
      </c>
      <c r="AK49" s="751">
        <v>1</v>
      </c>
      <c r="AL49" s="552">
        <v>792</v>
      </c>
      <c r="AM49" s="751">
        <v>1</v>
      </c>
      <c r="AN49" s="552">
        <v>792</v>
      </c>
      <c r="AO49" s="751">
        <v>0.5</v>
      </c>
      <c r="AP49" s="552">
        <v>396</v>
      </c>
      <c r="AQ49" s="751"/>
      <c r="AR49" s="552"/>
      <c r="AS49" s="751"/>
      <c r="AT49" s="552"/>
      <c r="AU49" s="751"/>
      <c r="AV49" s="552"/>
      <c r="AW49" s="751"/>
      <c r="AX49" s="552"/>
      <c r="AY49" s="997"/>
      <c r="AZ49" s="998"/>
      <c r="BA49" s="999"/>
      <c r="BB49" s="1000"/>
      <c r="BC49" s="931"/>
      <c r="BD49" s="994"/>
      <c r="BE49" s="745" t="s">
        <v>394</v>
      </c>
      <c r="BF49" s="995"/>
      <c r="BG49" s="747"/>
      <c r="BH49" s="748">
        <v>12</v>
      </c>
      <c r="BI49" s="996" t="s">
        <v>393</v>
      </c>
      <c r="BJ49" s="750"/>
      <c r="BK49" s="552"/>
      <c r="BL49" s="751"/>
      <c r="BM49" s="552"/>
      <c r="BN49" s="751"/>
      <c r="BO49" s="552"/>
      <c r="BP49" s="751"/>
      <c r="BQ49" s="552"/>
      <c r="BR49" s="751"/>
      <c r="BS49" s="552"/>
      <c r="BT49" s="751"/>
      <c r="BU49" s="552"/>
      <c r="BV49" s="751"/>
      <c r="BW49" s="552"/>
      <c r="BX49" s="751"/>
      <c r="BY49" s="552"/>
      <c r="BZ49" s="751">
        <v>1</v>
      </c>
      <c r="CA49" s="552">
        <v>792</v>
      </c>
      <c r="CB49" s="751">
        <v>1</v>
      </c>
      <c r="CC49" s="552">
        <v>792</v>
      </c>
      <c r="CD49" s="751">
        <v>1</v>
      </c>
      <c r="CE49" s="552">
        <v>792</v>
      </c>
      <c r="CF49" s="751">
        <v>0.6</v>
      </c>
      <c r="CG49" s="552">
        <v>475</v>
      </c>
      <c r="CH49" s="751">
        <v>1</v>
      </c>
      <c r="CI49" s="552">
        <v>792</v>
      </c>
      <c r="CJ49" s="751">
        <v>1</v>
      </c>
      <c r="CK49" s="552">
        <v>792</v>
      </c>
      <c r="CL49" s="751">
        <v>1</v>
      </c>
      <c r="CM49" s="552">
        <v>792</v>
      </c>
      <c r="CN49" s="751">
        <v>1</v>
      </c>
      <c r="CO49" s="552">
        <v>792</v>
      </c>
      <c r="CP49" s="751">
        <v>1</v>
      </c>
      <c r="CQ49" s="552">
        <v>792</v>
      </c>
      <c r="CR49" s="751">
        <v>0.5</v>
      </c>
      <c r="CS49" s="552">
        <v>396</v>
      </c>
      <c r="CT49" s="751"/>
      <c r="CU49" s="552"/>
      <c r="CV49" s="751"/>
      <c r="CW49" s="552"/>
      <c r="CX49" s="751"/>
      <c r="CY49" s="552"/>
      <c r="CZ49" s="751"/>
      <c r="DA49" s="552"/>
      <c r="DB49" s="997"/>
      <c r="DC49" s="998"/>
      <c r="DD49" s="999"/>
      <c r="DE49" s="1000"/>
      <c r="DF49" s="931"/>
      <c r="DG49" s="994"/>
      <c r="DH49" s="745" t="s">
        <v>392</v>
      </c>
      <c r="DI49" s="995"/>
      <c r="DJ49" s="747"/>
      <c r="DK49" s="748">
        <v>12</v>
      </c>
      <c r="DL49" s="996" t="s">
        <v>393</v>
      </c>
      <c r="DM49" s="750"/>
      <c r="DN49" s="552"/>
      <c r="DO49" s="751"/>
      <c r="DP49" s="552"/>
      <c r="DQ49" s="751"/>
      <c r="DR49" s="552"/>
      <c r="DS49" s="751"/>
      <c r="DT49" s="552"/>
      <c r="DU49" s="751"/>
      <c r="DV49" s="552"/>
      <c r="DW49" s="751"/>
      <c r="DX49" s="552"/>
      <c r="DY49" s="751"/>
      <c r="DZ49" s="552"/>
      <c r="EA49" s="751"/>
      <c r="EB49" s="552"/>
      <c r="EC49" s="751">
        <v>1</v>
      </c>
      <c r="ED49" s="552">
        <v>792</v>
      </c>
      <c r="EE49" s="751">
        <v>1</v>
      </c>
      <c r="EF49" s="552">
        <v>792</v>
      </c>
      <c r="EG49" s="751">
        <v>1</v>
      </c>
      <c r="EH49" s="552">
        <v>792</v>
      </c>
      <c r="EI49" s="751">
        <v>0.6</v>
      </c>
      <c r="EJ49" s="552">
        <v>475</v>
      </c>
      <c r="EK49" s="751">
        <v>1</v>
      </c>
      <c r="EL49" s="552">
        <v>792</v>
      </c>
      <c r="EM49" s="751">
        <v>1</v>
      </c>
      <c r="EN49" s="552">
        <v>792</v>
      </c>
      <c r="EO49" s="751">
        <v>1</v>
      </c>
      <c r="EP49" s="552">
        <v>792</v>
      </c>
      <c r="EQ49" s="751">
        <v>1</v>
      </c>
      <c r="ER49" s="552">
        <v>792</v>
      </c>
      <c r="ES49" s="751">
        <v>1</v>
      </c>
      <c r="ET49" s="552">
        <v>792</v>
      </c>
      <c r="EU49" s="751">
        <v>0.5</v>
      </c>
      <c r="EV49" s="552">
        <v>396</v>
      </c>
      <c r="EW49" s="751"/>
      <c r="EX49" s="552"/>
      <c r="EY49" s="751"/>
      <c r="EZ49" s="552"/>
      <c r="FA49" s="751"/>
      <c r="FB49" s="552"/>
      <c r="FC49" s="751"/>
      <c r="FD49" s="552"/>
      <c r="FE49" s="997"/>
      <c r="FF49" s="998"/>
      <c r="FG49" s="999"/>
      <c r="FH49" s="1000"/>
      <c r="FI49" s="931"/>
      <c r="FJ49" s="994"/>
      <c r="FK49" s="745" t="s">
        <v>394</v>
      </c>
      <c r="FL49" s="995"/>
      <c r="FM49" s="752"/>
      <c r="FN49" s="748">
        <v>0</v>
      </c>
      <c r="FO49" s="996"/>
      <c r="FP49" s="678"/>
      <c r="FQ49" s="753"/>
      <c r="FR49" s="580">
        <v>0</v>
      </c>
      <c r="FS49" s="754"/>
      <c r="FT49" s="753"/>
      <c r="FU49" s="560">
        <v>0</v>
      </c>
      <c r="FV49" s="1001" t="s">
        <v>308</v>
      </c>
      <c r="FW49" s="1002"/>
      <c r="FX49" s="1003" t="s">
        <v>309</v>
      </c>
      <c r="FY49" s="1004"/>
      <c r="FZ49" s="1005" t="s">
        <v>310</v>
      </c>
      <c r="GA49" s="1006"/>
      <c r="GB49" s="1007" t="s">
        <v>311</v>
      </c>
      <c r="GC49" s="1008"/>
      <c r="GD49" s="1007" t="s">
        <v>312</v>
      </c>
      <c r="GE49" s="1009"/>
      <c r="GF49" s="681"/>
      <c r="GG49" s="595"/>
      <c r="GH49" s="595"/>
      <c r="GI49" s="595"/>
      <c r="GJ49" s="573"/>
      <c r="GK49" s="410" t="s">
        <v>659</v>
      </c>
      <c r="GL49" s="573"/>
      <c r="GM49" s="410"/>
      <c r="GN49" s="573"/>
      <c r="GO49" s="410"/>
      <c r="GP49" s="410"/>
      <c r="GQ49" s="410"/>
      <c r="GR49" s="573"/>
      <c r="GS49" s="523"/>
      <c r="GT49" s="854"/>
      <c r="GU49" s="523" t="s">
        <v>497</v>
      </c>
      <c r="GV49" s="608"/>
      <c r="GW49" s="523"/>
      <c r="GX49" s="608"/>
      <c r="GY49" s="523"/>
      <c r="GZ49" s="388"/>
      <c r="HA49" s="573"/>
      <c r="HB49" s="388"/>
      <c r="HC49" s="1010"/>
      <c r="HD49" s="412"/>
    </row>
    <row r="50" spans="1:212" ht="20.100000000000001" customHeight="1">
      <c r="A50" s="994"/>
      <c r="B50" s="757" t="s">
        <v>406</v>
      </c>
      <c r="C50" s="1011"/>
      <c r="D50" s="1012">
        <v>0</v>
      </c>
      <c r="E50" s="1013">
        <v>0</v>
      </c>
      <c r="F50" s="1014"/>
      <c r="G50" s="1015"/>
      <c r="H50" s="580">
        <v>0</v>
      </c>
      <c r="I50" s="1016"/>
      <c r="J50" s="580">
        <v>0</v>
      </c>
      <c r="K50" s="1016"/>
      <c r="L50" s="580">
        <v>0</v>
      </c>
      <c r="M50" s="1016"/>
      <c r="N50" s="580">
        <v>0</v>
      </c>
      <c r="O50" s="1016"/>
      <c r="P50" s="580">
        <v>0</v>
      </c>
      <c r="Q50" s="1016"/>
      <c r="R50" s="580">
        <v>0</v>
      </c>
      <c r="S50" s="1016"/>
      <c r="T50" s="580">
        <v>0</v>
      </c>
      <c r="U50" s="1016"/>
      <c r="V50" s="580">
        <v>0</v>
      </c>
      <c r="W50" s="1016"/>
      <c r="X50" s="580">
        <v>0</v>
      </c>
      <c r="Y50" s="1016"/>
      <c r="Z50" s="580">
        <v>0</v>
      </c>
      <c r="AA50" s="1016"/>
      <c r="AB50" s="580">
        <v>0</v>
      </c>
      <c r="AC50" s="1016"/>
      <c r="AD50" s="580">
        <v>0</v>
      </c>
      <c r="AE50" s="1016"/>
      <c r="AF50" s="580">
        <v>0</v>
      </c>
      <c r="AG50" s="1016"/>
      <c r="AH50" s="580">
        <v>0</v>
      </c>
      <c r="AI50" s="1016"/>
      <c r="AJ50" s="580">
        <v>0</v>
      </c>
      <c r="AK50" s="1016"/>
      <c r="AL50" s="580">
        <v>0</v>
      </c>
      <c r="AM50" s="1016"/>
      <c r="AN50" s="580">
        <v>0</v>
      </c>
      <c r="AO50" s="1016"/>
      <c r="AP50" s="580">
        <v>0</v>
      </c>
      <c r="AQ50" s="1016"/>
      <c r="AR50" s="580">
        <v>0</v>
      </c>
      <c r="AS50" s="1016"/>
      <c r="AT50" s="580">
        <v>0</v>
      </c>
      <c r="AU50" s="1016"/>
      <c r="AV50" s="580">
        <v>0</v>
      </c>
      <c r="AW50" s="1016"/>
      <c r="AX50" s="580">
        <v>0</v>
      </c>
      <c r="AY50" s="1017"/>
      <c r="AZ50" s="1018">
        <v>0</v>
      </c>
      <c r="BA50" s="1019"/>
      <c r="BB50" s="1020">
        <v>0</v>
      </c>
      <c r="BC50" s="931"/>
      <c r="BD50" s="994"/>
      <c r="BE50" s="757" t="s">
        <v>403</v>
      </c>
      <c r="BF50" s="1011"/>
      <c r="BG50" s="1012">
        <v>0</v>
      </c>
      <c r="BH50" s="1013">
        <v>0</v>
      </c>
      <c r="BI50" s="1014"/>
      <c r="BJ50" s="1015"/>
      <c r="BK50" s="580">
        <v>0</v>
      </c>
      <c r="BL50" s="1016"/>
      <c r="BM50" s="580">
        <v>0</v>
      </c>
      <c r="BN50" s="1016"/>
      <c r="BO50" s="580">
        <v>0</v>
      </c>
      <c r="BP50" s="1016"/>
      <c r="BQ50" s="580">
        <v>0</v>
      </c>
      <c r="BR50" s="1016"/>
      <c r="BS50" s="580">
        <v>0</v>
      </c>
      <c r="BT50" s="1016"/>
      <c r="BU50" s="580">
        <v>0</v>
      </c>
      <c r="BV50" s="1016"/>
      <c r="BW50" s="580">
        <v>0</v>
      </c>
      <c r="BX50" s="1016"/>
      <c r="BY50" s="580">
        <v>0</v>
      </c>
      <c r="BZ50" s="1016"/>
      <c r="CA50" s="580">
        <v>0</v>
      </c>
      <c r="CB50" s="1016"/>
      <c r="CC50" s="580">
        <v>0</v>
      </c>
      <c r="CD50" s="1016"/>
      <c r="CE50" s="580">
        <v>0</v>
      </c>
      <c r="CF50" s="1016"/>
      <c r="CG50" s="580">
        <v>0</v>
      </c>
      <c r="CH50" s="1016"/>
      <c r="CI50" s="580">
        <v>0</v>
      </c>
      <c r="CJ50" s="1016"/>
      <c r="CK50" s="580">
        <v>0</v>
      </c>
      <c r="CL50" s="1016"/>
      <c r="CM50" s="580">
        <v>0</v>
      </c>
      <c r="CN50" s="1016"/>
      <c r="CO50" s="580">
        <v>0</v>
      </c>
      <c r="CP50" s="1016"/>
      <c r="CQ50" s="580">
        <v>0</v>
      </c>
      <c r="CR50" s="1016"/>
      <c r="CS50" s="580">
        <v>0</v>
      </c>
      <c r="CT50" s="1016"/>
      <c r="CU50" s="580">
        <v>0</v>
      </c>
      <c r="CV50" s="1016"/>
      <c r="CW50" s="580">
        <v>0</v>
      </c>
      <c r="CX50" s="1016"/>
      <c r="CY50" s="580">
        <v>0</v>
      </c>
      <c r="CZ50" s="1016"/>
      <c r="DA50" s="580">
        <v>0</v>
      </c>
      <c r="DB50" s="1017"/>
      <c r="DC50" s="1018">
        <v>0</v>
      </c>
      <c r="DD50" s="1019"/>
      <c r="DE50" s="1020">
        <v>0</v>
      </c>
      <c r="DF50" s="931"/>
      <c r="DG50" s="994"/>
      <c r="DH50" s="757" t="s">
        <v>403</v>
      </c>
      <c r="DI50" s="1011"/>
      <c r="DJ50" s="1012">
        <v>0</v>
      </c>
      <c r="DK50" s="1013">
        <v>0</v>
      </c>
      <c r="DL50" s="1014"/>
      <c r="DM50" s="1015"/>
      <c r="DN50" s="580">
        <v>0</v>
      </c>
      <c r="DO50" s="1016"/>
      <c r="DP50" s="580">
        <v>0</v>
      </c>
      <c r="DQ50" s="1016"/>
      <c r="DR50" s="580">
        <v>0</v>
      </c>
      <c r="DS50" s="1016"/>
      <c r="DT50" s="580">
        <v>0</v>
      </c>
      <c r="DU50" s="1016"/>
      <c r="DV50" s="580">
        <v>0</v>
      </c>
      <c r="DW50" s="1016"/>
      <c r="DX50" s="580">
        <v>0</v>
      </c>
      <c r="DY50" s="1016"/>
      <c r="DZ50" s="580">
        <v>0</v>
      </c>
      <c r="EA50" s="1016"/>
      <c r="EB50" s="580">
        <v>0</v>
      </c>
      <c r="EC50" s="1016"/>
      <c r="ED50" s="580">
        <v>0</v>
      </c>
      <c r="EE50" s="1016"/>
      <c r="EF50" s="580">
        <v>0</v>
      </c>
      <c r="EG50" s="1016"/>
      <c r="EH50" s="580">
        <v>0</v>
      </c>
      <c r="EI50" s="1016"/>
      <c r="EJ50" s="580">
        <v>0</v>
      </c>
      <c r="EK50" s="1016"/>
      <c r="EL50" s="580">
        <v>0</v>
      </c>
      <c r="EM50" s="1016"/>
      <c r="EN50" s="580">
        <v>0</v>
      </c>
      <c r="EO50" s="1016"/>
      <c r="EP50" s="580">
        <v>0</v>
      </c>
      <c r="EQ50" s="1016"/>
      <c r="ER50" s="580">
        <v>0</v>
      </c>
      <c r="ES50" s="1016"/>
      <c r="ET50" s="580">
        <v>0</v>
      </c>
      <c r="EU50" s="1016"/>
      <c r="EV50" s="580">
        <v>0</v>
      </c>
      <c r="EW50" s="1016"/>
      <c r="EX50" s="580">
        <v>0</v>
      </c>
      <c r="EY50" s="1016"/>
      <c r="EZ50" s="580">
        <v>0</v>
      </c>
      <c r="FA50" s="1016"/>
      <c r="FB50" s="580">
        <v>0</v>
      </c>
      <c r="FC50" s="1016"/>
      <c r="FD50" s="580">
        <v>0</v>
      </c>
      <c r="FE50" s="1017"/>
      <c r="FF50" s="1018">
        <v>0</v>
      </c>
      <c r="FG50" s="1019"/>
      <c r="FH50" s="1020">
        <v>0</v>
      </c>
      <c r="FI50" s="931"/>
      <c r="FJ50" s="994"/>
      <c r="FK50" s="757" t="s">
        <v>406</v>
      </c>
      <c r="FL50" s="1011"/>
      <c r="FM50" s="1012">
        <v>0</v>
      </c>
      <c r="FN50" s="1013">
        <v>0</v>
      </c>
      <c r="FO50" s="1014"/>
      <c r="FP50" s="689"/>
      <c r="FQ50" s="1021"/>
      <c r="FR50" s="580">
        <v>0</v>
      </c>
      <c r="FS50" s="766"/>
      <c r="FT50" s="1021"/>
      <c r="FU50" s="585">
        <v>0</v>
      </c>
      <c r="FV50" s="1022"/>
      <c r="FW50" s="1023"/>
      <c r="FX50" s="1024"/>
      <c r="FY50" s="1025"/>
      <c r="FZ50" s="1026"/>
      <c r="GA50" s="1027"/>
      <c r="GB50" s="1028"/>
      <c r="GC50" s="1029"/>
      <c r="GD50" s="1028"/>
      <c r="GE50" s="1030"/>
      <c r="GF50" s="681"/>
      <c r="GG50" s="595"/>
      <c r="GH50" s="595"/>
      <c r="GI50" s="595"/>
      <c r="GJ50" s="573"/>
      <c r="GK50" s="410" t="s">
        <v>660</v>
      </c>
      <c r="GL50" s="573"/>
      <c r="GM50" s="410"/>
      <c r="GN50" s="573"/>
      <c r="GO50" s="410"/>
      <c r="GP50" s="410"/>
      <c r="GQ50" s="410"/>
      <c r="GR50" s="573"/>
      <c r="GS50" s="946"/>
      <c r="GT50" s="930"/>
      <c r="GU50" s="573" t="s">
        <v>695</v>
      </c>
      <c r="GV50" s="573"/>
      <c r="GW50" s="573"/>
      <c r="GX50" s="573"/>
      <c r="GY50" s="608"/>
      <c r="GZ50" s="572"/>
      <c r="HA50" s="608">
        <v>10</v>
      </c>
      <c r="HB50" s="572" t="s">
        <v>293</v>
      </c>
      <c r="HC50" s="1031"/>
      <c r="HD50" s="412"/>
    </row>
    <row r="51" spans="1:212" ht="20.100000000000001" customHeight="1" thickBot="1">
      <c r="A51" s="1032"/>
      <c r="B51" s="459" t="s">
        <v>445</v>
      </c>
      <c r="C51" s="1033"/>
      <c r="D51" s="778"/>
      <c r="E51" s="789"/>
      <c r="F51" s="1034"/>
      <c r="G51" s="791"/>
      <c r="H51" s="792">
        <v>0</v>
      </c>
      <c r="I51" s="793"/>
      <c r="J51" s="792">
        <v>0</v>
      </c>
      <c r="K51" s="793"/>
      <c r="L51" s="792">
        <v>0</v>
      </c>
      <c r="M51" s="793"/>
      <c r="N51" s="792">
        <v>0</v>
      </c>
      <c r="O51" s="793"/>
      <c r="P51" s="792">
        <v>0</v>
      </c>
      <c r="Q51" s="793"/>
      <c r="R51" s="792">
        <v>0</v>
      </c>
      <c r="S51" s="793"/>
      <c r="T51" s="792">
        <v>0</v>
      </c>
      <c r="U51" s="793"/>
      <c r="V51" s="792">
        <v>0</v>
      </c>
      <c r="W51" s="793"/>
      <c r="X51" s="792">
        <v>0</v>
      </c>
      <c r="Y51" s="793"/>
      <c r="Z51" s="792">
        <v>0</v>
      </c>
      <c r="AA51" s="793"/>
      <c r="AB51" s="792">
        <v>0</v>
      </c>
      <c r="AC51" s="793"/>
      <c r="AD51" s="792">
        <v>0</v>
      </c>
      <c r="AE51" s="793"/>
      <c r="AF51" s="792">
        <v>0</v>
      </c>
      <c r="AG51" s="793"/>
      <c r="AH51" s="792">
        <v>0</v>
      </c>
      <c r="AI51" s="793"/>
      <c r="AJ51" s="792">
        <v>0</v>
      </c>
      <c r="AK51" s="793"/>
      <c r="AL51" s="792">
        <v>0</v>
      </c>
      <c r="AM51" s="793"/>
      <c r="AN51" s="792">
        <v>0</v>
      </c>
      <c r="AO51" s="793"/>
      <c r="AP51" s="792">
        <v>0</v>
      </c>
      <c r="AQ51" s="793"/>
      <c r="AR51" s="792">
        <v>0</v>
      </c>
      <c r="AS51" s="793"/>
      <c r="AT51" s="792">
        <v>0</v>
      </c>
      <c r="AU51" s="793"/>
      <c r="AV51" s="792">
        <v>0</v>
      </c>
      <c r="AW51" s="793"/>
      <c r="AX51" s="792">
        <v>0</v>
      </c>
      <c r="AY51" s="1035"/>
      <c r="AZ51" s="1036">
        <v>0</v>
      </c>
      <c r="BA51" s="1037"/>
      <c r="BB51" s="1038">
        <v>0</v>
      </c>
      <c r="BC51" s="931"/>
      <c r="BD51" s="1032"/>
      <c r="BE51" s="459" t="s">
        <v>445</v>
      </c>
      <c r="BF51" s="1033"/>
      <c r="BG51" s="778"/>
      <c r="BH51" s="789"/>
      <c r="BI51" s="1034"/>
      <c r="BJ51" s="791"/>
      <c r="BK51" s="792">
        <v>0</v>
      </c>
      <c r="BL51" s="793"/>
      <c r="BM51" s="792">
        <v>0</v>
      </c>
      <c r="BN51" s="793"/>
      <c r="BO51" s="792">
        <v>0</v>
      </c>
      <c r="BP51" s="793"/>
      <c r="BQ51" s="792">
        <v>0</v>
      </c>
      <c r="BR51" s="793"/>
      <c r="BS51" s="792">
        <v>0</v>
      </c>
      <c r="BT51" s="793"/>
      <c r="BU51" s="792">
        <v>0</v>
      </c>
      <c r="BV51" s="793"/>
      <c r="BW51" s="792">
        <v>0</v>
      </c>
      <c r="BX51" s="793"/>
      <c r="BY51" s="792">
        <v>0</v>
      </c>
      <c r="BZ51" s="793"/>
      <c r="CA51" s="792">
        <v>0</v>
      </c>
      <c r="CB51" s="793"/>
      <c r="CC51" s="792">
        <v>0</v>
      </c>
      <c r="CD51" s="793"/>
      <c r="CE51" s="792">
        <v>0</v>
      </c>
      <c r="CF51" s="793"/>
      <c r="CG51" s="792">
        <v>0</v>
      </c>
      <c r="CH51" s="793"/>
      <c r="CI51" s="792">
        <v>0</v>
      </c>
      <c r="CJ51" s="793"/>
      <c r="CK51" s="792">
        <v>0</v>
      </c>
      <c r="CL51" s="793"/>
      <c r="CM51" s="792">
        <v>0</v>
      </c>
      <c r="CN51" s="793"/>
      <c r="CO51" s="792">
        <v>0</v>
      </c>
      <c r="CP51" s="793"/>
      <c r="CQ51" s="792">
        <v>0</v>
      </c>
      <c r="CR51" s="793"/>
      <c r="CS51" s="792">
        <v>0</v>
      </c>
      <c r="CT51" s="793"/>
      <c r="CU51" s="792">
        <v>0</v>
      </c>
      <c r="CV51" s="793"/>
      <c r="CW51" s="792">
        <v>0</v>
      </c>
      <c r="CX51" s="793"/>
      <c r="CY51" s="792">
        <v>0</v>
      </c>
      <c r="CZ51" s="793"/>
      <c r="DA51" s="792">
        <v>0</v>
      </c>
      <c r="DB51" s="1035"/>
      <c r="DC51" s="1036">
        <v>0</v>
      </c>
      <c r="DD51" s="1037"/>
      <c r="DE51" s="1038">
        <v>0</v>
      </c>
      <c r="DF51" s="931"/>
      <c r="DG51" s="1032"/>
      <c r="DH51" s="459" t="s">
        <v>444</v>
      </c>
      <c r="DI51" s="1033"/>
      <c r="DJ51" s="778"/>
      <c r="DK51" s="789"/>
      <c r="DL51" s="1034"/>
      <c r="DM51" s="791"/>
      <c r="DN51" s="792">
        <v>0</v>
      </c>
      <c r="DO51" s="793"/>
      <c r="DP51" s="792">
        <v>0</v>
      </c>
      <c r="DQ51" s="793"/>
      <c r="DR51" s="792">
        <v>0</v>
      </c>
      <c r="DS51" s="793"/>
      <c r="DT51" s="792">
        <v>0</v>
      </c>
      <c r="DU51" s="793"/>
      <c r="DV51" s="792">
        <v>0</v>
      </c>
      <c r="DW51" s="793"/>
      <c r="DX51" s="792">
        <v>0</v>
      </c>
      <c r="DY51" s="793"/>
      <c r="DZ51" s="792">
        <v>0</v>
      </c>
      <c r="EA51" s="793"/>
      <c r="EB51" s="792">
        <v>0</v>
      </c>
      <c r="EC51" s="793"/>
      <c r="ED51" s="792">
        <v>0</v>
      </c>
      <c r="EE51" s="793"/>
      <c r="EF51" s="792">
        <v>0</v>
      </c>
      <c r="EG51" s="793"/>
      <c r="EH51" s="792">
        <v>0</v>
      </c>
      <c r="EI51" s="793"/>
      <c r="EJ51" s="792">
        <v>0</v>
      </c>
      <c r="EK51" s="793"/>
      <c r="EL51" s="792">
        <v>0</v>
      </c>
      <c r="EM51" s="793"/>
      <c r="EN51" s="792">
        <v>0</v>
      </c>
      <c r="EO51" s="793"/>
      <c r="EP51" s="792">
        <v>0</v>
      </c>
      <c r="EQ51" s="793"/>
      <c r="ER51" s="792">
        <v>0</v>
      </c>
      <c r="ES51" s="793"/>
      <c r="ET51" s="792">
        <v>0</v>
      </c>
      <c r="EU51" s="793"/>
      <c r="EV51" s="792">
        <v>0</v>
      </c>
      <c r="EW51" s="793"/>
      <c r="EX51" s="792">
        <v>0</v>
      </c>
      <c r="EY51" s="793"/>
      <c r="EZ51" s="792">
        <v>0</v>
      </c>
      <c r="FA51" s="793"/>
      <c r="FB51" s="792">
        <v>0</v>
      </c>
      <c r="FC51" s="793"/>
      <c r="FD51" s="792">
        <v>0</v>
      </c>
      <c r="FE51" s="1035"/>
      <c r="FF51" s="1036">
        <v>0</v>
      </c>
      <c r="FG51" s="1037"/>
      <c r="FH51" s="1038">
        <v>0</v>
      </c>
      <c r="FI51" s="931"/>
      <c r="FJ51" s="1032"/>
      <c r="FK51" s="459" t="s">
        <v>444</v>
      </c>
      <c r="FL51" s="1033"/>
      <c r="FM51" s="781"/>
      <c r="FN51" s="789">
        <v>0</v>
      </c>
      <c r="FO51" s="1034"/>
      <c r="FP51" s="795"/>
      <c r="FQ51" s="796"/>
      <c r="FR51" s="792">
        <v>0</v>
      </c>
      <c r="FS51" s="797"/>
      <c r="FT51" s="796"/>
      <c r="FU51" s="798">
        <v>0</v>
      </c>
      <c r="FV51" s="1022"/>
      <c r="FW51" s="1023"/>
      <c r="FX51" s="1024"/>
      <c r="FY51" s="1025"/>
      <c r="FZ51" s="1026"/>
      <c r="GA51" s="1027"/>
      <c r="GB51" s="1028"/>
      <c r="GC51" s="1029"/>
      <c r="GD51" s="1028"/>
      <c r="GE51" s="1030"/>
      <c r="GF51" s="681"/>
      <c r="GG51" s="595"/>
      <c r="GH51" s="595"/>
      <c r="GI51" s="595"/>
      <c r="GJ51" s="929"/>
      <c r="GK51" s="726"/>
      <c r="GL51" s="1039" t="s">
        <v>390</v>
      </c>
      <c r="GM51" s="1040" t="s">
        <v>596</v>
      </c>
      <c r="GN51" s="1041" t="s">
        <v>313</v>
      </c>
      <c r="GO51" s="1042" t="s">
        <v>662</v>
      </c>
      <c r="GP51" s="1042" t="s">
        <v>503</v>
      </c>
      <c r="GQ51" s="1043" t="s">
        <v>504</v>
      </c>
      <c r="GR51" s="726"/>
      <c r="GS51" s="946"/>
      <c r="GT51" s="756"/>
      <c r="GU51" s="573" t="s">
        <v>663</v>
      </c>
      <c r="GV51" s="573"/>
      <c r="GW51" s="573"/>
      <c r="GX51" s="573"/>
      <c r="GY51" s="410"/>
      <c r="GZ51" s="1044"/>
      <c r="HA51" s="608">
        <v>10</v>
      </c>
      <c r="HB51" s="572" t="s">
        <v>293</v>
      </c>
      <c r="HC51" s="1045"/>
      <c r="HD51" s="412"/>
    </row>
    <row r="52" spans="1:212" ht="20.100000000000001" customHeight="1" thickBot="1">
      <c r="A52" s="1046" t="s">
        <v>446</v>
      </c>
      <c r="B52" s="1047"/>
      <c r="C52" s="1048"/>
      <c r="D52" s="1048"/>
      <c r="E52" s="1049"/>
      <c r="F52" s="1048"/>
      <c r="G52" s="1050"/>
      <c r="H52" s="1051">
        <v>0</v>
      </c>
      <c r="I52" s="1052"/>
      <c r="J52" s="1051">
        <v>0</v>
      </c>
      <c r="K52" s="1052"/>
      <c r="L52" s="1051">
        <v>0</v>
      </c>
      <c r="M52" s="1052"/>
      <c r="N52" s="1051">
        <v>0</v>
      </c>
      <c r="O52" s="1052"/>
      <c r="P52" s="1051">
        <v>0</v>
      </c>
      <c r="Q52" s="1052"/>
      <c r="R52" s="1051">
        <v>0</v>
      </c>
      <c r="S52" s="1052"/>
      <c r="T52" s="1051">
        <v>0</v>
      </c>
      <c r="U52" s="1052"/>
      <c r="V52" s="1051">
        <v>0</v>
      </c>
      <c r="W52" s="1052"/>
      <c r="X52" s="1051">
        <v>792</v>
      </c>
      <c r="Y52" s="1052"/>
      <c r="Z52" s="1051">
        <v>792</v>
      </c>
      <c r="AA52" s="1052"/>
      <c r="AB52" s="1051">
        <v>792</v>
      </c>
      <c r="AC52" s="1052"/>
      <c r="AD52" s="1051">
        <v>475</v>
      </c>
      <c r="AE52" s="1052"/>
      <c r="AF52" s="1051">
        <v>792</v>
      </c>
      <c r="AG52" s="1052"/>
      <c r="AH52" s="1051">
        <v>792</v>
      </c>
      <c r="AI52" s="1052"/>
      <c r="AJ52" s="1051">
        <v>792</v>
      </c>
      <c r="AK52" s="1052"/>
      <c r="AL52" s="1051">
        <v>792</v>
      </c>
      <c r="AM52" s="1052"/>
      <c r="AN52" s="1051">
        <v>792</v>
      </c>
      <c r="AO52" s="1052"/>
      <c r="AP52" s="1051">
        <v>396</v>
      </c>
      <c r="AQ52" s="1052"/>
      <c r="AR52" s="1051">
        <v>0</v>
      </c>
      <c r="AS52" s="1052"/>
      <c r="AT52" s="1051">
        <v>0</v>
      </c>
      <c r="AU52" s="1052"/>
      <c r="AV52" s="1051">
        <v>0</v>
      </c>
      <c r="AW52" s="1052"/>
      <c r="AX52" s="1051">
        <v>0</v>
      </c>
      <c r="AY52" s="1053"/>
      <c r="AZ52" s="1054">
        <v>0</v>
      </c>
      <c r="BA52" s="1055"/>
      <c r="BB52" s="1056">
        <v>0</v>
      </c>
      <c r="BC52" s="974"/>
      <c r="BD52" s="1046" t="s">
        <v>314</v>
      </c>
      <c r="BE52" s="1047"/>
      <c r="BF52" s="1048"/>
      <c r="BG52" s="1048"/>
      <c r="BH52" s="1049"/>
      <c r="BI52" s="1048"/>
      <c r="BJ52" s="1050"/>
      <c r="BK52" s="1051">
        <v>0</v>
      </c>
      <c r="BL52" s="1052"/>
      <c r="BM52" s="1051">
        <v>0</v>
      </c>
      <c r="BN52" s="1052"/>
      <c r="BO52" s="1051">
        <v>0</v>
      </c>
      <c r="BP52" s="1052"/>
      <c r="BQ52" s="1051">
        <v>0</v>
      </c>
      <c r="BR52" s="1052"/>
      <c r="BS52" s="1051">
        <v>0</v>
      </c>
      <c r="BT52" s="1052"/>
      <c r="BU52" s="1051">
        <v>0</v>
      </c>
      <c r="BV52" s="1052"/>
      <c r="BW52" s="1051">
        <v>0</v>
      </c>
      <c r="BX52" s="1052"/>
      <c r="BY52" s="1051">
        <v>0</v>
      </c>
      <c r="BZ52" s="1052"/>
      <c r="CA52" s="1051">
        <v>792</v>
      </c>
      <c r="CB52" s="1052"/>
      <c r="CC52" s="1051">
        <v>792</v>
      </c>
      <c r="CD52" s="1052"/>
      <c r="CE52" s="1051">
        <v>792</v>
      </c>
      <c r="CF52" s="1052"/>
      <c r="CG52" s="1051">
        <v>475</v>
      </c>
      <c r="CH52" s="1052"/>
      <c r="CI52" s="1051">
        <v>792</v>
      </c>
      <c r="CJ52" s="1052"/>
      <c r="CK52" s="1051">
        <v>792</v>
      </c>
      <c r="CL52" s="1052"/>
      <c r="CM52" s="1051">
        <v>792</v>
      </c>
      <c r="CN52" s="1052"/>
      <c r="CO52" s="1051">
        <v>792</v>
      </c>
      <c r="CP52" s="1052"/>
      <c r="CQ52" s="1051">
        <v>792</v>
      </c>
      <c r="CR52" s="1052"/>
      <c r="CS52" s="1051">
        <v>396</v>
      </c>
      <c r="CT52" s="1052"/>
      <c r="CU52" s="1051">
        <v>0</v>
      </c>
      <c r="CV52" s="1052"/>
      <c r="CW52" s="1051">
        <v>0</v>
      </c>
      <c r="CX52" s="1052"/>
      <c r="CY52" s="1051">
        <v>0</v>
      </c>
      <c r="CZ52" s="1052"/>
      <c r="DA52" s="1051">
        <v>0</v>
      </c>
      <c r="DB52" s="1053"/>
      <c r="DC52" s="1054">
        <v>0</v>
      </c>
      <c r="DD52" s="1055"/>
      <c r="DE52" s="1056">
        <v>0</v>
      </c>
      <c r="DF52" s="974"/>
      <c r="DG52" s="1046" t="s">
        <v>446</v>
      </c>
      <c r="DH52" s="1047"/>
      <c r="DI52" s="1048"/>
      <c r="DJ52" s="1048"/>
      <c r="DK52" s="1049"/>
      <c r="DL52" s="1048"/>
      <c r="DM52" s="1050"/>
      <c r="DN52" s="1051">
        <v>0</v>
      </c>
      <c r="DO52" s="1052"/>
      <c r="DP52" s="1051">
        <v>0</v>
      </c>
      <c r="DQ52" s="1052"/>
      <c r="DR52" s="1051">
        <v>0</v>
      </c>
      <c r="DS52" s="1052"/>
      <c r="DT52" s="1051">
        <v>0</v>
      </c>
      <c r="DU52" s="1052"/>
      <c r="DV52" s="1051">
        <v>0</v>
      </c>
      <c r="DW52" s="1052"/>
      <c r="DX52" s="1051">
        <v>0</v>
      </c>
      <c r="DY52" s="1052"/>
      <c r="DZ52" s="1051">
        <v>0</v>
      </c>
      <c r="EA52" s="1052"/>
      <c r="EB52" s="1051">
        <v>0</v>
      </c>
      <c r="EC52" s="1052"/>
      <c r="ED52" s="1051">
        <v>792</v>
      </c>
      <c r="EE52" s="1052"/>
      <c r="EF52" s="1051">
        <v>792</v>
      </c>
      <c r="EG52" s="1052"/>
      <c r="EH52" s="1051">
        <v>792</v>
      </c>
      <c r="EI52" s="1052"/>
      <c r="EJ52" s="1051">
        <v>475</v>
      </c>
      <c r="EK52" s="1052"/>
      <c r="EL52" s="1051">
        <v>792</v>
      </c>
      <c r="EM52" s="1052"/>
      <c r="EN52" s="1051">
        <v>792</v>
      </c>
      <c r="EO52" s="1052"/>
      <c r="EP52" s="1051">
        <v>792</v>
      </c>
      <c r="EQ52" s="1052"/>
      <c r="ER52" s="1051">
        <v>792</v>
      </c>
      <c r="ES52" s="1052"/>
      <c r="ET52" s="1051">
        <v>792</v>
      </c>
      <c r="EU52" s="1052"/>
      <c r="EV52" s="1051">
        <v>396</v>
      </c>
      <c r="EW52" s="1052"/>
      <c r="EX52" s="1051">
        <v>0</v>
      </c>
      <c r="EY52" s="1052"/>
      <c r="EZ52" s="1051">
        <v>0</v>
      </c>
      <c r="FA52" s="1052"/>
      <c r="FB52" s="1051">
        <v>0</v>
      </c>
      <c r="FC52" s="1052"/>
      <c r="FD52" s="1051">
        <v>0</v>
      </c>
      <c r="FE52" s="1053"/>
      <c r="FF52" s="1054">
        <v>0</v>
      </c>
      <c r="FG52" s="1055"/>
      <c r="FH52" s="1056">
        <v>0</v>
      </c>
      <c r="FI52" s="974"/>
      <c r="FJ52" s="1046" t="s">
        <v>446</v>
      </c>
      <c r="FK52" s="1047"/>
      <c r="FL52" s="1048"/>
      <c r="FM52" s="1048"/>
      <c r="FN52" s="1049"/>
      <c r="FO52" s="1048"/>
      <c r="FP52" s="1057"/>
      <c r="FQ52" s="1058"/>
      <c r="FR52" s="1051">
        <v>0</v>
      </c>
      <c r="FS52" s="1059"/>
      <c r="FT52" s="1058"/>
      <c r="FU52" s="1060">
        <v>0</v>
      </c>
      <c r="FV52" s="1061">
        <v>14</v>
      </c>
      <c r="FW52" s="1062">
        <v>792</v>
      </c>
      <c r="FX52" s="1063">
        <v>14</v>
      </c>
      <c r="FY52" s="1062">
        <v>792</v>
      </c>
      <c r="FZ52" s="1063">
        <v>13</v>
      </c>
      <c r="GA52" s="1062">
        <v>792</v>
      </c>
      <c r="GB52" s="1064" t="s">
        <v>621</v>
      </c>
      <c r="GC52" s="1065">
        <v>792</v>
      </c>
      <c r="GD52" s="1064" t="s">
        <v>623</v>
      </c>
      <c r="GE52" s="1066">
        <v>0</v>
      </c>
      <c r="GF52" s="681"/>
      <c r="GG52" s="983"/>
      <c r="GH52" s="983"/>
      <c r="GI52" s="983"/>
      <c r="GJ52" s="929"/>
      <c r="GK52" s="726"/>
      <c r="GL52" s="1067"/>
      <c r="GM52" s="1068"/>
      <c r="GN52" s="1068"/>
      <c r="GO52" s="1069"/>
      <c r="GP52" s="1069"/>
      <c r="GQ52" s="1070"/>
      <c r="GR52" s="946"/>
      <c r="GS52" s="886"/>
      <c r="GT52" s="854"/>
      <c r="GU52" s="523" t="s">
        <v>499</v>
      </c>
      <c r="GV52" s="726"/>
      <c r="GW52" s="929"/>
      <c r="GX52" s="726"/>
      <c r="GY52" s="410"/>
      <c r="GZ52" s="1071"/>
      <c r="HA52" s="946"/>
      <c r="HB52" s="1071"/>
      <c r="HC52" s="555"/>
      <c r="HD52" s="412"/>
    </row>
    <row r="53" spans="1:212" ht="20.100000000000001" customHeight="1" thickTop="1">
      <c r="A53" s="1072" t="s">
        <v>447</v>
      </c>
      <c r="B53" s="1073"/>
      <c r="C53" s="1074"/>
      <c r="D53" s="1074"/>
      <c r="E53" s="1075"/>
      <c r="F53" s="1076"/>
      <c r="G53" s="1077"/>
      <c r="H53" s="1078">
        <v>0</v>
      </c>
      <c r="I53" s="1079"/>
      <c r="J53" s="1078">
        <v>0</v>
      </c>
      <c r="K53" s="1079"/>
      <c r="L53" s="1078">
        <v>0</v>
      </c>
      <c r="M53" s="1079"/>
      <c r="N53" s="1078">
        <v>0</v>
      </c>
      <c r="O53" s="1079"/>
      <c r="P53" s="1078">
        <v>0</v>
      </c>
      <c r="Q53" s="1079"/>
      <c r="R53" s="1078">
        <v>0</v>
      </c>
      <c r="S53" s="1079"/>
      <c r="T53" s="1078">
        <v>0</v>
      </c>
      <c r="U53" s="1079"/>
      <c r="V53" s="1078">
        <v>0</v>
      </c>
      <c r="W53" s="1079"/>
      <c r="X53" s="1078">
        <v>6877</v>
      </c>
      <c r="Y53" s="1079"/>
      <c r="Z53" s="1078">
        <v>6254</v>
      </c>
      <c r="AA53" s="1079"/>
      <c r="AB53" s="1078">
        <v>6633</v>
      </c>
      <c r="AC53" s="1079"/>
      <c r="AD53" s="1078">
        <v>5432</v>
      </c>
      <c r="AE53" s="1079"/>
      <c r="AF53" s="1078">
        <v>7202</v>
      </c>
      <c r="AG53" s="1079"/>
      <c r="AH53" s="1078">
        <v>7203</v>
      </c>
      <c r="AI53" s="1079"/>
      <c r="AJ53" s="1078">
        <v>7023</v>
      </c>
      <c r="AK53" s="1079"/>
      <c r="AL53" s="1078">
        <v>6687</v>
      </c>
      <c r="AM53" s="1079"/>
      <c r="AN53" s="1078">
        <v>6291</v>
      </c>
      <c r="AO53" s="1079"/>
      <c r="AP53" s="1078">
        <v>5241</v>
      </c>
      <c r="AQ53" s="1079"/>
      <c r="AR53" s="1078">
        <v>0</v>
      </c>
      <c r="AS53" s="1079"/>
      <c r="AT53" s="1078">
        <v>0</v>
      </c>
      <c r="AU53" s="1079"/>
      <c r="AV53" s="1078">
        <v>0</v>
      </c>
      <c r="AW53" s="1079"/>
      <c r="AX53" s="1078">
        <v>0</v>
      </c>
      <c r="AY53" s="1080"/>
      <c r="AZ53" s="1081">
        <v>0</v>
      </c>
      <c r="BA53" s="1082"/>
      <c r="BB53" s="1083">
        <v>0</v>
      </c>
      <c r="BC53" s="974"/>
      <c r="BD53" s="1072" t="s">
        <v>315</v>
      </c>
      <c r="BE53" s="1073"/>
      <c r="BF53" s="1074"/>
      <c r="BG53" s="1074"/>
      <c r="BH53" s="1075"/>
      <c r="BI53" s="1076"/>
      <c r="BJ53" s="1077"/>
      <c r="BK53" s="1078">
        <v>0</v>
      </c>
      <c r="BL53" s="1079"/>
      <c r="BM53" s="1078">
        <v>0</v>
      </c>
      <c r="BN53" s="1079"/>
      <c r="BO53" s="1078">
        <v>0</v>
      </c>
      <c r="BP53" s="1079"/>
      <c r="BQ53" s="1078">
        <v>0</v>
      </c>
      <c r="BR53" s="1079"/>
      <c r="BS53" s="1078">
        <v>0</v>
      </c>
      <c r="BT53" s="1079"/>
      <c r="BU53" s="1078">
        <v>0</v>
      </c>
      <c r="BV53" s="1079"/>
      <c r="BW53" s="1078">
        <v>0</v>
      </c>
      <c r="BX53" s="1079"/>
      <c r="BY53" s="1078">
        <v>0</v>
      </c>
      <c r="BZ53" s="1079"/>
      <c r="CA53" s="1078">
        <v>6850</v>
      </c>
      <c r="CB53" s="1079"/>
      <c r="CC53" s="1078">
        <v>6274</v>
      </c>
      <c r="CD53" s="1079"/>
      <c r="CE53" s="1078">
        <v>6705</v>
      </c>
      <c r="CF53" s="1079"/>
      <c r="CG53" s="1078">
        <v>5552</v>
      </c>
      <c r="CH53" s="1079"/>
      <c r="CI53" s="1078">
        <v>7327</v>
      </c>
      <c r="CJ53" s="1079"/>
      <c r="CK53" s="1078">
        <v>7367</v>
      </c>
      <c r="CL53" s="1079"/>
      <c r="CM53" s="1078">
        <v>7219</v>
      </c>
      <c r="CN53" s="1079"/>
      <c r="CO53" s="1078">
        <v>6908</v>
      </c>
      <c r="CP53" s="1079"/>
      <c r="CQ53" s="1078">
        <v>6470</v>
      </c>
      <c r="CR53" s="1079"/>
      <c r="CS53" s="1078">
        <v>5354</v>
      </c>
      <c r="CT53" s="1079"/>
      <c r="CU53" s="1078">
        <v>0</v>
      </c>
      <c r="CV53" s="1079"/>
      <c r="CW53" s="1078">
        <v>0</v>
      </c>
      <c r="CX53" s="1079"/>
      <c r="CY53" s="1078">
        <v>0</v>
      </c>
      <c r="CZ53" s="1079"/>
      <c r="DA53" s="1078">
        <v>0</v>
      </c>
      <c r="DB53" s="1080"/>
      <c r="DC53" s="1081">
        <v>0</v>
      </c>
      <c r="DD53" s="1082"/>
      <c r="DE53" s="1083">
        <v>0</v>
      </c>
      <c r="DF53" s="974"/>
      <c r="DG53" s="1072" t="s">
        <v>315</v>
      </c>
      <c r="DH53" s="1073"/>
      <c r="DI53" s="1074"/>
      <c r="DJ53" s="1074"/>
      <c r="DK53" s="1075"/>
      <c r="DL53" s="1076"/>
      <c r="DM53" s="1077"/>
      <c r="DN53" s="1078">
        <v>0</v>
      </c>
      <c r="DO53" s="1079"/>
      <c r="DP53" s="1078">
        <v>0</v>
      </c>
      <c r="DQ53" s="1079"/>
      <c r="DR53" s="1078">
        <v>0</v>
      </c>
      <c r="DS53" s="1079"/>
      <c r="DT53" s="1078">
        <v>0</v>
      </c>
      <c r="DU53" s="1079"/>
      <c r="DV53" s="1078">
        <v>0</v>
      </c>
      <c r="DW53" s="1079"/>
      <c r="DX53" s="1078">
        <v>0</v>
      </c>
      <c r="DY53" s="1079"/>
      <c r="DZ53" s="1078">
        <v>0</v>
      </c>
      <c r="EA53" s="1079"/>
      <c r="EB53" s="1078">
        <v>0</v>
      </c>
      <c r="EC53" s="1079"/>
      <c r="ED53" s="1078">
        <v>6898</v>
      </c>
      <c r="EE53" s="1079"/>
      <c r="EF53" s="1078">
        <v>6785</v>
      </c>
      <c r="EG53" s="1079"/>
      <c r="EH53" s="1078">
        <v>7405</v>
      </c>
      <c r="EI53" s="1079"/>
      <c r="EJ53" s="1078">
        <v>6277</v>
      </c>
      <c r="EK53" s="1079"/>
      <c r="EL53" s="1078">
        <v>7968</v>
      </c>
      <c r="EM53" s="1079"/>
      <c r="EN53" s="1078">
        <v>7852</v>
      </c>
      <c r="EO53" s="1079"/>
      <c r="EP53" s="1078">
        <v>7475</v>
      </c>
      <c r="EQ53" s="1079"/>
      <c r="ER53" s="1078">
        <v>6886</v>
      </c>
      <c r="ES53" s="1079"/>
      <c r="ET53" s="1078">
        <v>6211</v>
      </c>
      <c r="EU53" s="1079"/>
      <c r="EV53" s="1078">
        <v>4991</v>
      </c>
      <c r="EW53" s="1079"/>
      <c r="EX53" s="1078">
        <v>0</v>
      </c>
      <c r="EY53" s="1079"/>
      <c r="EZ53" s="1078">
        <v>0</v>
      </c>
      <c r="FA53" s="1079"/>
      <c r="FB53" s="1078">
        <v>0</v>
      </c>
      <c r="FC53" s="1079"/>
      <c r="FD53" s="1078">
        <v>0</v>
      </c>
      <c r="FE53" s="1080"/>
      <c r="FF53" s="1081">
        <v>0</v>
      </c>
      <c r="FG53" s="1082"/>
      <c r="FH53" s="1083">
        <v>0</v>
      </c>
      <c r="FI53" s="974"/>
      <c r="FJ53" s="1072" t="s">
        <v>447</v>
      </c>
      <c r="FK53" s="1073"/>
      <c r="FL53" s="1074"/>
      <c r="FM53" s="1074"/>
      <c r="FN53" s="1075"/>
      <c r="FO53" s="1076"/>
      <c r="FP53" s="1084"/>
      <c r="FQ53" s="1085"/>
      <c r="FR53" s="1078">
        <v>5807</v>
      </c>
      <c r="FS53" s="1086"/>
      <c r="FT53" s="1085"/>
      <c r="FU53" s="1087">
        <v>5861</v>
      </c>
      <c r="FV53" s="1088">
        <v>14</v>
      </c>
      <c r="FW53" s="1089">
        <v>7203</v>
      </c>
      <c r="FX53" s="1090">
        <v>14</v>
      </c>
      <c r="FY53" s="1089">
        <v>7367</v>
      </c>
      <c r="FZ53" s="1090">
        <v>13</v>
      </c>
      <c r="GA53" s="1089">
        <v>7968</v>
      </c>
      <c r="GB53" s="1091" t="s">
        <v>621</v>
      </c>
      <c r="GC53" s="1089">
        <v>7968</v>
      </c>
      <c r="GD53" s="1091" t="s">
        <v>623</v>
      </c>
      <c r="GE53" s="1092">
        <v>5861</v>
      </c>
      <c r="GF53" s="681"/>
      <c r="GG53" s="983"/>
      <c r="GH53" s="983"/>
      <c r="GI53" s="983"/>
      <c r="GJ53" s="946"/>
      <c r="GK53" s="410"/>
      <c r="GL53" s="1093">
        <v>10</v>
      </c>
      <c r="GM53" s="1094">
        <v>1</v>
      </c>
      <c r="GN53" s="1095">
        <v>0.92</v>
      </c>
      <c r="GO53" s="1096">
        <v>4.2</v>
      </c>
      <c r="GP53" s="1096">
        <v>8</v>
      </c>
      <c r="GQ53" s="1097">
        <v>12.2</v>
      </c>
      <c r="GR53" s="573"/>
      <c r="GS53" s="476"/>
      <c r="GT53" s="854"/>
      <c r="GU53" s="573" t="s">
        <v>696</v>
      </c>
      <c r="GV53" s="573"/>
      <c r="GW53" s="573"/>
      <c r="GX53" s="573"/>
      <c r="GY53" s="410"/>
      <c r="GZ53" s="406"/>
      <c r="HA53" s="608">
        <v>15</v>
      </c>
      <c r="HB53" s="572" t="s">
        <v>293</v>
      </c>
      <c r="HC53" s="792"/>
      <c r="HD53" s="412"/>
    </row>
    <row r="54" spans="1:212" ht="20.100000000000001" customHeight="1">
      <c r="A54" s="1098" t="s">
        <v>316</v>
      </c>
      <c r="B54" s="1099"/>
      <c r="C54" s="1100"/>
      <c r="D54" s="1101"/>
      <c r="E54" s="1102"/>
      <c r="F54" s="1103"/>
      <c r="G54" s="1104"/>
      <c r="H54" s="1105">
        <v>0</v>
      </c>
      <c r="I54" s="1106"/>
      <c r="J54" s="1105">
        <v>0</v>
      </c>
      <c r="K54" s="1106"/>
      <c r="L54" s="1105">
        <v>0</v>
      </c>
      <c r="M54" s="1106"/>
      <c r="N54" s="1105">
        <v>0</v>
      </c>
      <c r="O54" s="1106"/>
      <c r="P54" s="1105">
        <v>0</v>
      </c>
      <c r="Q54" s="1106"/>
      <c r="R54" s="1105">
        <v>0</v>
      </c>
      <c r="S54" s="1106"/>
      <c r="T54" s="1105">
        <v>0</v>
      </c>
      <c r="U54" s="1106"/>
      <c r="V54" s="1105">
        <v>0</v>
      </c>
      <c r="W54" s="1106"/>
      <c r="X54" s="1105">
        <v>59.5</v>
      </c>
      <c r="Y54" s="1106"/>
      <c r="Z54" s="1105">
        <v>54.1</v>
      </c>
      <c r="AA54" s="1106"/>
      <c r="AB54" s="1105">
        <v>57.4</v>
      </c>
      <c r="AC54" s="1106"/>
      <c r="AD54" s="1105">
        <v>47</v>
      </c>
      <c r="AE54" s="1106"/>
      <c r="AF54" s="1105">
        <v>62.3</v>
      </c>
      <c r="AG54" s="1106"/>
      <c r="AH54" s="1105">
        <v>62.3</v>
      </c>
      <c r="AI54" s="1106"/>
      <c r="AJ54" s="1105">
        <v>60.8</v>
      </c>
      <c r="AK54" s="1106"/>
      <c r="AL54" s="1105">
        <v>57.9</v>
      </c>
      <c r="AM54" s="1106"/>
      <c r="AN54" s="1105">
        <v>54.4</v>
      </c>
      <c r="AO54" s="1106"/>
      <c r="AP54" s="1105">
        <v>45.3</v>
      </c>
      <c r="AQ54" s="1106"/>
      <c r="AR54" s="1105">
        <v>0</v>
      </c>
      <c r="AS54" s="1106"/>
      <c r="AT54" s="1105">
        <v>0</v>
      </c>
      <c r="AU54" s="1106"/>
      <c r="AV54" s="1105">
        <v>0</v>
      </c>
      <c r="AW54" s="1106"/>
      <c r="AX54" s="1105">
        <v>0</v>
      </c>
      <c r="AY54" s="1106"/>
      <c r="AZ54" s="1105">
        <v>0</v>
      </c>
      <c r="BA54" s="1106"/>
      <c r="BB54" s="1107">
        <v>0</v>
      </c>
      <c r="BC54" s="1010"/>
      <c r="BD54" s="1098" t="s">
        <v>316</v>
      </c>
      <c r="BE54" s="1099"/>
      <c r="BF54" s="1100"/>
      <c r="BG54" s="1101"/>
      <c r="BH54" s="1102"/>
      <c r="BI54" s="1103"/>
      <c r="BJ54" s="1104"/>
      <c r="BK54" s="1105">
        <v>0</v>
      </c>
      <c r="BL54" s="1106"/>
      <c r="BM54" s="1105">
        <v>0</v>
      </c>
      <c r="BN54" s="1106"/>
      <c r="BO54" s="1105">
        <v>0</v>
      </c>
      <c r="BP54" s="1106"/>
      <c r="BQ54" s="1105">
        <v>0</v>
      </c>
      <c r="BR54" s="1106"/>
      <c r="BS54" s="1105">
        <v>0</v>
      </c>
      <c r="BT54" s="1106"/>
      <c r="BU54" s="1105">
        <v>0</v>
      </c>
      <c r="BV54" s="1106"/>
      <c r="BW54" s="1105">
        <v>0</v>
      </c>
      <c r="BX54" s="1106"/>
      <c r="BY54" s="1105">
        <v>0</v>
      </c>
      <c r="BZ54" s="1106"/>
      <c r="CA54" s="1105">
        <v>59.3</v>
      </c>
      <c r="CB54" s="1106"/>
      <c r="CC54" s="1105">
        <v>54.3</v>
      </c>
      <c r="CD54" s="1106"/>
      <c r="CE54" s="1105">
        <v>58</v>
      </c>
      <c r="CF54" s="1106"/>
      <c r="CG54" s="1105">
        <v>48</v>
      </c>
      <c r="CH54" s="1106"/>
      <c r="CI54" s="1105">
        <v>63.4</v>
      </c>
      <c r="CJ54" s="1106"/>
      <c r="CK54" s="1105">
        <v>63.7</v>
      </c>
      <c r="CL54" s="1106"/>
      <c r="CM54" s="1105">
        <v>62.5</v>
      </c>
      <c r="CN54" s="1106"/>
      <c r="CO54" s="1105">
        <v>59.8</v>
      </c>
      <c r="CP54" s="1106"/>
      <c r="CQ54" s="1105">
        <v>56</v>
      </c>
      <c r="CR54" s="1106"/>
      <c r="CS54" s="1105">
        <v>46.3</v>
      </c>
      <c r="CT54" s="1106"/>
      <c r="CU54" s="1105">
        <v>0</v>
      </c>
      <c r="CV54" s="1106"/>
      <c r="CW54" s="1105">
        <v>0</v>
      </c>
      <c r="CX54" s="1106"/>
      <c r="CY54" s="1105">
        <v>0</v>
      </c>
      <c r="CZ54" s="1106"/>
      <c r="DA54" s="1105">
        <v>0</v>
      </c>
      <c r="DB54" s="1106"/>
      <c r="DC54" s="1105">
        <v>0</v>
      </c>
      <c r="DD54" s="1106"/>
      <c r="DE54" s="1107">
        <v>0</v>
      </c>
      <c r="DF54" s="1010"/>
      <c r="DG54" s="1098" t="s">
        <v>316</v>
      </c>
      <c r="DH54" s="1099"/>
      <c r="DI54" s="1100"/>
      <c r="DJ54" s="1101"/>
      <c r="DK54" s="1102"/>
      <c r="DL54" s="1103"/>
      <c r="DM54" s="1104"/>
      <c r="DN54" s="1105">
        <v>0</v>
      </c>
      <c r="DO54" s="1106"/>
      <c r="DP54" s="1105">
        <v>0</v>
      </c>
      <c r="DQ54" s="1106"/>
      <c r="DR54" s="1105">
        <v>0</v>
      </c>
      <c r="DS54" s="1106"/>
      <c r="DT54" s="1105">
        <v>0</v>
      </c>
      <c r="DU54" s="1106"/>
      <c r="DV54" s="1105">
        <v>0</v>
      </c>
      <c r="DW54" s="1106"/>
      <c r="DX54" s="1105">
        <v>0</v>
      </c>
      <c r="DY54" s="1106"/>
      <c r="DZ54" s="1105">
        <v>0</v>
      </c>
      <c r="EA54" s="1106"/>
      <c r="EB54" s="1105">
        <v>0</v>
      </c>
      <c r="EC54" s="1106"/>
      <c r="ED54" s="1105">
        <v>59.7</v>
      </c>
      <c r="EE54" s="1106"/>
      <c r="EF54" s="1105">
        <v>58.7</v>
      </c>
      <c r="EG54" s="1106"/>
      <c r="EH54" s="1105">
        <v>64.099999999999994</v>
      </c>
      <c r="EI54" s="1106"/>
      <c r="EJ54" s="1105">
        <v>54.3</v>
      </c>
      <c r="EK54" s="1106"/>
      <c r="EL54" s="1105">
        <v>68.900000000000006</v>
      </c>
      <c r="EM54" s="1106"/>
      <c r="EN54" s="1105">
        <v>67.900000000000006</v>
      </c>
      <c r="EO54" s="1106"/>
      <c r="EP54" s="1105">
        <v>64.7</v>
      </c>
      <c r="EQ54" s="1106"/>
      <c r="ER54" s="1105">
        <v>59.6</v>
      </c>
      <c r="ES54" s="1106"/>
      <c r="ET54" s="1105">
        <v>53.7</v>
      </c>
      <c r="EU54" s="1106"/>
      <c r="EV54" s="1105">
        <v>43.2</v>
      </c>
      <c r="EW54" s="1106"/>
      <c r="EX54" s="1105">
        <v>0</v>
      </c>
      <c r="EY54" s="1106"/>
      <c r="EZ54" s="1105">
        <v>0</v>
      </c>
      <c r="FA54" s="1106"/>
      <c r="FB54" s="1105">
        <v>0</v>
      </c>
      <c r="FC54" s="1106"/>
      <c r="FD54" s="1105">
        <v>0</v>
      </c>
      <c r="FE54" s="1106"/>
      <c r="FF54" s="1105">
        <v>0</v>
      </c>
      <c r="FG54" s="1106"/>
      <c r="FH54" s="1107">
        <v>0</v>
      </c>
      <c r="FI54" s="1010"/>
      <c r="FJ54" s="1098" t="s">
        <v>316</v>
      </c>
      <c r="FK54" s="1099"/>
      <c r="FL54" s="1100"/>
      <c r="FM54" s="1101"/>
      <c r="FN54" s="1102"/>
      <c r="FO54" s="1103"/>
      <c r="FP54" s="1108"/>
      <c r="FQ54" s="1106"/>
      <c r="FR54" s="1105">
        <v>50.2</v>
      </c>
      <c r="FS54" s="1109"/>
      <c r="FT54" s="1106"/>
      <c r="FU54" s="1110">
        <v>50.7</v>
      </c>
      <c r="FV54" s="1109"/>
      <c r="FW54" s="1105">
        <f>IF(面積=0,0,ROUND(FW53/面積,1))</f>
        <v>62.3</v>
      </c>
      <c r="FX54" s="1109"/>
      <c r="FY54" s="1105">
        <f>IF(面積=0,0,ROUND(FY53/面積,1))</f>
        <v>63.7</v>
      </c>
      <c r="FZ54" s="1109"/>
      <c r="GA54" s="1105">
        <f>IF(面積=0,0,ROUND(GA53/面積,1))</f>
        <v>68.900000000000006</v>
      </c>
      <c r="GB54" s="1109"/>
      <c r="GC54" s="1105">
        <f>IF(面積=0,0,ROUND(GC53/面積,1))</f>
        <v>68.900000000000006</v>
      </c>
      <c r="GD54" s="1109"/>
      <c r="GE54" s="1107">
        <f>IF(面積=0,0,ROUND(GE53/面積,1))</f>
        <v>50.7</v>
      </c>
      <c r="GF54" s="681"/>
      <c r="GG54" s="930"/>
      <c r="GH54" s="930"/>
      <c r="GI54" s="930"/>
      <c r="GJ54" s="573"/>
      <c r="GK54" s="572"/>
      <c r="GL54" s="1093">
        <v>11</v>
      </c>
      <c r="GM54" s="1094">
        <v>2</v>
      </c>
      <c r="GN54" s="1095">
        <v>0.85</v>
      </c>
      <c r="GO54" s="1096">
        <v>3.9</v>
      </c>
      <c r="GP54" s="1096">
        <v>8</v>
      </c>
      <c r="GQ54" s="1097">
        <v>11.9</v>
      </c>
      <c r="GR54" s="523"/>
      <c r="GS54" s="573"/>
      <c r="GT54" s="854"/>
      <c r="GU54" s="1111" t="s">
        <v>697</v>
      </c>
      <c r="GV54" s="1111"/>
      <c r="GW54" s="1111"/>
      <c r="GX54" s="1111"/>
      <c r="GY54" s="768"/>
      <c r="GZ54" s="1112"/>
      <c r="HA54" s="1113">
        <v>25</v>
      </c>
      <c r="HB54" s="1114" t="s">
        <v>479</v>
      </c>
      <c r="HC54" s="522"/>
      <c r="HD54" s="412"/>
    </row>
    <row r="55" spans="1:212" ht="20.100000000000001" customHeight="1" thickBot="1">
      <c r="A55" s="383"/>
      <c r="B55" s="383"/>
      <c r="C55" s="383"/>
      <c r="D55" s="383"/>
      <c r="E55" s="384"/>
      <c r="F55" s="384"/>
      <c r="G55" s="384"/>
      <c r="H55" s="1115"/>
      <c r="I55" s="412"/>
      <c r="J55" s="412"/>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84"/>
      <c r="AH55" s="384"/>
      <c r="AI55" s="384"/>
      <c r="AJ55" s="384"/>
      <c r="AK55" s="384"/>
      <c r="AL55" s="384"/>
      <c r="AM55" s="384"/>
      <c r="AN55" s="384"/>
      <c r="AO55" s="384"/>
      <c r="AP55" s="384"/>
      <c r="AQ55" s="384"/>
      <c r="AR55" s="384"/>
      <c r="AS55" s="384"/>
      <c r="AT55" s="384"/>
      <c r="AU55" s="384"/>
      <c r="AV55" s="384"/>
      <c r="AW55" s="384"/>
      <c r="AX55" s="384"/>
      <c r="AY55" s="384"/>
      <c r="AZ55" s="384"/>
      <c r="BA55" s="384"/>
      <c r="BB55" s="384"/>
      <c r="BC55" s="386"/>
      <c r="BD55" s="383"/>
      <c r="BE55" s="383"/>
      <c r="BF55" s="383"/>
      <c r="BG55" s="383"/>
      <c r="BH55" s="384"/>
      <c r="BI55" s="384"/>
      <c r="BJ55" s="384"/>
      <c r="BK55" s="1115"/>
      <c r="BL55" s="412"/>
      <c r="BM55" s="412"/>
      <c r="BN55" s="384"/>
      <c r="BO55" s="384"/>
      <c r="BP55" s="384"/>
      <c r="BQ55" s="384"/>
      <c r="BR55" s="384"/>
      <c r="BS55" s="384"/>
      <c r="BT55" s="384"/>
      <c r="BU55" s="384"/>
      <c r="BV55" s="384"/>
      <c r="BW55" s="384"/>
      <c r="BX55" s="384"/>
      <c r="BY55" s="384"/>
      <c r="BZ55" s="384"/>
      <c r="CA55" s="384"/>
      <c r="CB55" s="384"/>
      <c r="CC55" s="384"/>
      <c r="CD55" s="384"/>
      <c r="CE55" s="384"/>
      <c r="CF55" s="384"/>
      <c r="CG55" s="384"/>
      <c r="CH55" s="384"/>
      <c r="CI55" s="384"/>
      <c r="CJ55" s="384"/>
      <c r="CK55" s="384"/>
      <c r="CL55" s="384"/>
      <c r="CM55" s="384"/>
      <c r="CN55" s="384"/>
      <c r="CO55" s="384"/>
      <c r="CP55" s="384"/>
      <c r="CQ55" s="384"/>
      <c r="CR55" s="384"/>
      <c r="CS55" s="384"/>
      <c r="CT55" s="384"/>
      <c r="CU55" s="384"/>
      <c r="CV55" s="384"/>
      <c r="CW55" s="384"/>
      <c r="CX55" s="384"/>
      <c r="CY55" s="384"/>
      <c r="CZ55" s="384"/>
      <c r="DA55" s="384"/>
      <c r="DB55" s="384"/>
      <c r="DC55" s="384"/>
      <c r="DD55" s="384"/>
      <c r="DE55" s="384"/>
      <c r="DF55" s="386"/>
      <c r="DG55" s="383"/>
      <c r="DH55" s="383"/>
      <c r="DI55" s="383"/>
      <c r="DJ55" s="383"/>
      <c r="DK55" s="384"/>
      <c r="DL55" s="384"/>
      <c r="DM55" s="384"/>
      <c r="DN55" s="1115"/>
      <c r="DO55" s="412"/>
      <c r="DP55" s="412"/>
      <c r="DQ55" s="384"/>
      <c r="DR55" s="384"/>
      <c r="DS55" s="384"/>
      <c r="DT55" s="384"/>
      <c r="DU55" s="384"/>
      <c r="DV55" s="384"/>
      <c r="DW55" s="384"/>
      <c r="DX55" s="384"/>
      <c r="DY55" s="384"/>
      <c r="DZ55" s="384"/>
      <c r="EA55" s="384"/>
      <c r="EB55" s="384"/>
      <c r="EC55" s="384"/>
      <c r="ED55" s="384"/>
      <c r="EE55" s="384"/>
      <c r="EF55" s="384"/>
      <c r="EG55" s="384"/>
      <c r="EH55" s="384"/>
      <c r="EI55" s="384"/>
      <c r="EJ55" s="384"/>
      <c r="EK55" s="384"/>
      <c r="EL55" s="384"/>
      <c r="EM55" s="384"/>
      <c r="EN55" s="384"/>
      <c r="EO55" s="384"/>
      <c r="EP55" s="384"/>
      <c r="EQ55" s="384"/>
      <c r="ER55" s="384"/>
      <c r="ES55" s="384"/>
      <c r="ET55" s="384"/>
      <c r="EU55" s="384"/>
      <c r="EV55" s="384"/>
      <c r="EW55" s="384"/>
      <c r="EX55" s="384"/>
      <c r="EY55" s="384"/>
      <c r="EZ55" s="384"/>
      <c r="FA55" s="384"/>
      <c r="FB55" s="384"/>
      <c r="FC55" s="384"/>
      <c r="FD55" s="384"/>
      <c r="FE55" s="384"/>
      <c r="FF55" s="384"/>
      <c r="FG55" s="384"/>
      <c r="FH55" s="384"/>
      <c r="FI55" s="386"/>
      <c r="FJ55" s="383"/>
      <c r="FK55" s="383"/>
      <c r="FL55" s="383"/>
      <c r="FM55" s="383"/>
      <c r="FN55" s="384"/>
      <c r="FO55" s="384"/>
      <c r="FP55" s="384"/>
      <c r="FQ55" s="412"/>
      <c r="FR55" s="1115"/>
      <c r="FS55" s="412"/>
      <c r="FT55" s="412"/>
      <c r="FU55" s="412"/>
      <c r="FV55" s="383"/>
      <c r="FW55" s="383"/>
      <c r="FX55" s="383"/>
      <c r="FY55" s="383"/>
      <c r="FZ55" s="383"/>
      <c r="GA55" s="383"/>
      <c r="GB55" s="383"/>
      <c r="GC55" s="383"/>
      <c r="GD55" s="383"/>
      <c r="GE55" s="1116"/>
      <c r="GF55" s="681"/>
      <c r="GG55" s="388"/>
      <c r="GH55" s="388"/>
      <c r="GI55" s="388"/>
      <c r="GJ55" s="523"/>
      <c r="GK55" s="410"/>
      <c r="GL55" s="1117">
        <v>12</v>
      </c>
      <c r="GM55" s="1118">
        <v>3</v>
      </c>
      <c r="GN55" s="1095">
        <v>0.78</v>
      </c>
      <c r="GO55" s="1096">
        <v>3.6</v>
      </c>
      <c r="GP55" s="1096">
        <v>8</v>
      </c>
      <c r="GQ55" s="1097">
        <v>11.6</v>
      </c>
      <c r="GR55" s="523"/>
      <c r="GS55" s="523"/>
      <c r="GT55" s="1119"/>
      <c r="GU55" s="1120"/>
      <c r="GV55" s="572"/>
      <c r="GW55" s="523"/>
      <c r="GX55" s="572"/>
      <c r="GY55" s="388"/>
      <c r="GZ55" s="522"/>
      <c r="HA55" s="573"/>
      <c r="HB55" s="522"/>
      <c r="HC55" s="388"/>
      <c r="HD55" s="384"/>
    </row>
    <row r="56" spans="1:212" ht="20.100000000000001" customHeight="1">
      <c r="A56" s="1121" t="s">
        <v>317</v>
      </c>
      <c r="B56" s="1122"/>
      <c r="C56" s="1122"/>
      <c r="D56" s="1122"/>
      <c r="E56" s="1123"/>
      <c r="F56" s="1124"/>
      <c r="G56" s="1125">
        <v>1</v>
      </c>
      <c r="H56" s="1126"/>
      <c r="I56" s="1127">
        <v>2</v>
      </c>
      <c r="J56" s="1126"/>
      <c r="K56" s="1127">
        <v>3</v>
      </c>
      <c r="L56" s="1126"/>
      <c r="M56" s="1127">
        <v>4</v>
      </c>
      <c r="N56" s="1126"/>
      <c r="O56" s="1127">
        <v>5</v>
      </c>
      <c r="P56" s="1126"/>
      <c r="Q56" s="1127">
        <v>6</v>
      </c>
      <c r="R56" s="1126"/>
      <c r="S56" s="1127">
        <v>7</v>
      </c>
      <c r="T56" s="1126"/>
      <c r="U56" s="1127">
        <v>8</v>
      </c>
      <c r="V56" s="1126"/>
      <c r="W56" s="1127">
        <v>9</v>
      </c>
      <c r="X56" s="1126"/>
      <c r="Y56" s="1127">
        <v>10</v>
      </c>
      <c r="Z56" s="1126"/>
      <c r="AA56" s="1127">
        <v>11</v>
      </c>
      <c r="AB56" s="1126"/>
      <c r="AC56" s="1127">
        <v>12</v>
      </c>
      <c r="AD56" s="1126"/>
      <c r="AE56" s="1127">
        <v>13</v>
      </c>
      <c r="AF56" s="1126"/>
      <c r="AG56" s="1127">
        <v>14</v>
      </c>
      <c r="AH56" s="1126"/>
      <c r="AI56" s="1127">
        <v>15</v>
      </c>
      <c r="AJ56" s="1126"/>
      <c r="AK56" s="1127">
        <v>16</v>
      </c>
      <c r="AL56" s="1126"/>
      <c r="AM56" s="1127">
        <v>17</v>
      </c>
      <c r="AN56" s="1126"/>
      <c r="AO56" s="1127">
        <v>18</v>
      </c>
      <c r="AP56" s="1126"/>
      <c r="AQ56" s="1127">
        <v>19</v>
      </c>
      <c r="AR56" s="1126"/>
      <c r="AS56" s="1127">
        <v>20</v>
      </c>
      <c r="AT56" s="1126"/>
      <c r="AU56" s="1127">
        <v>21</v>
      </c>
      <c r="AV56" s="1126"/>
      <c r="AW56" s="1127">
        <v>22</v>
      </c>
      <c r="AX56" s="1126"/>
      <c r="AY56" s="1127">
        <v>23</v>
      </c>
      <c r="AZ56" s="1126"/>
      <c r="BA56" s="1127">
        <v>24</v>
      </c>
      <c r="BB56" s="1128"/>
      <c r="BC56" s="1031"/>
      <c r="BD56" s="1121" t="s">
        <v>317</v>
      </c>
      <c r="BE56" s="1122"/>
      <c r="BF56" s="1122"/>
      <c r="BG56" s="1122"/>
      <c r="BH56" s="1123"/>
      <c r="BI56" s="1124"/>
      <c r="BJ56" s="1125">
        <v>1</v>
      </c>
      <c r="BK56" s="1126"/>
      <c r="BL56" s="1127">
        <v>2</v>
      </c>
      <c r="BM56" s="1126"/>
      <c r="BN56" s="1127">
        <v>3</v>
      </c>
      <c r="BO56" s="1126"/>
      <c r="BP56" s="1127">
        <v>4</v>
      </c>
      <c r="BQ56" s="1126"/>
      <c r="BR56" s="1127">
        <v>5</v>
      </c>
      <c r="BS56" s="1126"/>
      <c r="BT56" s="1127">
        <v>6</v>
      </c>
      <c r="BU56" s="1126"/>
      <c r="BV56" s="1127">
        <v>7</v>
      </c>
      <c r="BW56" s="1126"/>
      <c r="BX56" s="1127">
        <v>8</v>
      </c>
      <c r="BY56" s="1126"/>
      <c r="BZ56" s="1127">
        <v>9</v>
      </c>
      <c r="CA56" s="1126"/>
      <c r="CB56" s="1127">
        <v>10</v>
      </c>
      <c r="CC56" s="1126"/>
      <c r="CD56" s="1127">
        <v>11</v>
      </c>
      <c r="CE56" s="1126"/>
      <c r="CF56" s="1127">
        <v>12</v>
      </c>
      <c r="CG56" s="1126"/>
      <c r="CH56" s="1127">
        <v>13</v>
      </c>
      <c r="CI56" s="1126"/>
      <c r="CJ56" s="1127">
        <v>14</v>
      </c>
      <c r="CK56" s="1126"/>
      <c r="CL56" s="1127">
        <v>15</v>
      </c>
      <c r="CM56" s="1126"/>
      <c r="CN56" s="1127">
        <v>16</v>
      </c>
      <c r="CO56" s="1126"/>
      <c r="CP56" s="1127">
        <v>17</v>
      </c>
      <c r="CQ56" s="1126"/>
      <c r="CR56" s="1127">
        <v>18</v>
      </c>
      <c r="CS56" s="1126"/>
      <c r="CT56" s="1127">
        <v>19</v>
      </c>
      <c r="CU56" s="1126"/>
      <c r="CV56" s="1127">
        <v>20</v>
      </c>
      <c r="CW56" s="1126"/>
      <c r="CX56" s="1127">
        <v>21</v>
      </c>
      <c r="CY56" s="1126"/>
      <c r="CZ56" s="1127">
        <v>22</v>
      </c>
      <c r="DA56" s="1126"/>
      <c r="DB56" s="1127">
        <v>23</v>
      </c>
      <c r="DC56" s="1126"/>
      <c r="DD56" s="1127">
        <v>24</v>
      </c>
      <c r="DE56" s="1128"/>
      <c r="DF56" s="1031"/>
      <c r="DG56" s="1121" t="s">
        <v>317</v>
      </c>
      <c r="DH56" s="1122"/>
      <c r="DI56" s="1122"/>
      <c r="DJ56" s="1122"/>
      <c r="DK56" s="1123"/>
      <c r="DL56" s="1124"/>
      <c r="DM56" s="1125">
        <v>1</v>
      </c>
      <c r="DN56" s="1126"/>
      <c r="DO56" s="1127">
        <v>2</v>
      </c>
      <c r="DP56" s="1126"/>
      <c r="DQ56" s="1127">
        <v>3</v>
      </c>
      <c r="DR56" s="1126"/>
      <c r="DS56" s="1127">
        <v>4</v>
      </c>
      <c r="DT56" s="1126"/>
      <c r="DU56" s="1127">
        <v>5</v>
      </c>
      <c r="DV56" s="1126"/>
      <c r="DW56" s="1127">
        <v>6</v>
      </c>
      <c r="DX56" s="1126"/>
      <c r="DY56" s="1127">
        <v>7</v>
      </c>
      <c r="DZ56" s="1126"/>
      <c r="EA56" s="1127">
        <v>8</v>
      </c>
      <c r="EB56" s="1126"/>
      <c r="EC56" s="1127">
        <v>9</v>
      </c>
      <c r="ED56" s="1126"/>
      <c r="EE56" s="1127">
        <v>10</v>
      </c>
      <c r="EF56" s="1126"/>
      <c r="EG56" s="1127">
        <v>11</v>
      </c>
      <c r="EH56" s="1126"/>
      <c r="EI56" s="1127">
        <v>12</v>
      </c>
      <c r="EJ56" s="1126"/>
      <c r="EK56" s="1127">
        <v>13</v>
      </c>
      <c r="EL56" s="1126"/>
      <c r="EM56" s="1127">
        <v>14</v>
      </c>
      <c r="EN56" s="1126"/>
      <c r="EO56" s="1127">
        <v>15</v>
      </c>
      <c r="EP56" s="1126"/>
      <c r="EQ56" s="1127">
        <v>16</v>
      </c>
      <c r="ER56" s="1126"/>
      <c r="ES56" s="1127">
        <v>17</v>
      </c>
      <c r="ET56" s="1126"/>
      <c r="EU56" s="1127">
        <v>18</v>
      </c>
      <c r="EV56" s="1126"/>
      <c r="EW56" s="1127">
        <v>19</v>
      </c>
      <c r="EX56" s="1126"/>
      <c r="EY56" s="1127">
        <v>20</v>
      </c>
      <c r="EZ56" s="1126"/>
      <c r="FA56" s="1127">
        <v>21</v>
      </c>
      <c r="FB56" s="1126"/>
      <c r="FC56" s="1127">
        <v>22</v>
      </c>
      <c r="FD56" s="1126"/>
      <c r="FE56" s="1127">
        <v>23</v>
      </c>
      <c r="FF56" s="1126"/>
      <c r="FG56" s="1127">
        <v>24</v>
      </c>
      <c r="FH56" s="1128"/>
      <c r="FI56" s="1031"/>
      <c r="FJ56" s="1121" t="s">
        <v>318</v>
      </c>
      <c r="FK56" s="1122"/>
      <c r="FL56" s="1122"/>
      <c r="FM56" s="1122"/>
      <c r="FN56" s="1123"/>
      <c r="FO56" s="1123"/>
      <c r="FP56" s="1129" t="s">
        <v>328</v>
      </c>
      <c r="FQ56" s="1130"/>
      <c r="FR56" s="1131"/>
      <c r="FS56" s="1132" t="s">
        <v>261</v>
      </c>
      <c r="FT56" s="1133"/>
      <c r="FU56" s="1134"/>
      <c r="FV56" s="1135" t="s">
        <v>320</v>
      </c>
      <c r="FW56" s="1136"/>
      <c r="FX56" s="1137" t="s">
        <v>321</v>
      </c>
      <c r="FY56" s="1138"/>
      <c r="FZ56" s="1139" t="s">
        <v>322</v>
      </c>
      <c r="GA56" s="1140"/>
      <c r="GB56" s="1141" t="s">
        <v>323</v>
      </c>
      <c r="GC56" s="1126"/>
      <c r="GD56" s="1141" t="s">
        <v>324</v>
      </c>
      <c r="GE56" s="1128"/>
      <c r="GF56" s="681"/>
      <c r="GG56" s="476"/>
      <c r="GH56" s="476"/>
      <c r="GI56" s="476"/>
      <c r="GJ56" s="523"/>
      <c r="GK56" s="572"/>
      <c r="GL56" s="1093">
        <v>13</v>
      </c>
      <c r="GM56" s="1094">
        <v>4</v>
      </c>
      <c r="GN56" s="1095">
        <v>0.72</v>
      </c>
      <c r="GO56" s="1096">
        <v>3.3</v>
      </c>
      <c r="GP56" s="1096">
        <v>8</v>
      </c>
      <c r="GQ56" s="1097">
        <v>11.3</v>
      </c>
      <c r="GR56" s="523"/>
      <c r="GS56" s="522"/>
      <c r="GT56" s="1257"/>
      <c r="GU56" s="571"/>
      <c r="GV56" s="572"/>
      <c r="GW56" s="571"/>
      <c r="GX56" s="572"/>
      <c r="GY56" s="572"/>
      <c r="GZ56" s="493"/>
      <c r="HA56" s="571"/>
      <c r="HB56" s="493"/>
      <c r="HC56" s="479"/>
    </row>
    <row r="57" spans="1:212" ht="20.100000000000001" customHeight="1">
      <c r="A57" s="1142"/>
      <c r="B57" s="1143"/>
      <c r="C57" s="1143"/>
      <c r="D57" s="1143"/>
      <c r="E57" s="1144"/>
      <c r="F57" s="1145"/>
      <c r="G57" s="1146" t="s">
        <v>325</v>
      </c>
      <c r="H57" s="1147" t="s">
        <v>289</v>
      </c>
      <c r="I57" s="1148" t="s">
        <v>325</v>
      </c>
      <c r="J57" s="1147" t="s">
        <v>289</v>
      </c>
      <c r="K57" s="1148" t="s">
        <v>325</v>
      </c>
      <c r="L57" s="1147" t="s">
        <v>289</v>
      </c>
      <c r="M57" s="1148" t="s">
        <v>325</v>
      </c>
      <c r="N57" s="1147" t="s">
        <v>289</v>
      </c>
      <c r="O57" s="1148" t="s">
        <v>325</v>
      </c>
      <c r="P57" s="1147" t="s">
        <v>289</v>
      </c>
      <c r="Q57" s="1148" t="s">
        <v>325</v>
      </c>
      <c r="R57" s="1147" t="s">
        <v>289</v>
      </c>
      <c r="S57" s="1148" t="s">
        <v>325</v>
      </c>
      <c r="T57" s="1147" t="s">
        <v>289</v>
      </c>
      <c r="U57" s="1148" t="s">
        <v>325</v>
      </c>
      <c r="V57" s="1147" t="s">
        <v>289</v>
      </c>
      <c r="W57" s="1148" t="s">
        <v>325</v>
      </c>
      <c r="X57" s="1147" t="s">
        <v>289</v>
      </c>
      <c r="Y57" s="1148" t="s">
        <v>325</v>
      </c>
      <c r="Z57" s="1147" t="s">
        <v>289</v>
      </c>
      <c r="AA57" s="1148" t="s">
        <v>325</v>
      </c>
      <c r="AB57" s="1147" t="s">
        <v>289</v>
      </c>
      <c r="AC57" s="1148" t="s">
        <v>325</v>
      </c>
      <c r="AD57" s="1147" t="s">
        <v>325</v>
      </c>
      <c r="AE57" s="1148" t="s">
        <v>325</v>
      </c>
      <c r="AF57" s="1147" t="s">
        <v>289</v>
      </c>
      <c r="AG57" s="1148" t="s">
        <v>325</v>
      </c>
      <c r="AH57" s="1147" t="s">
        <v>289</v>
      </c>
      <c r="AI57" s="1148" t="s">
        <v>325</v>
      </c>
      <c r="AJ57" s="1147" t="s">
        <v>289</v>
      </c>
      <c r="AK57" s="1148" t="s">
        <v>325</v>
      </c>
      <c r="AL57" s="1147" t="s">
        <v>289</v>
      </c>
      <c r="AM57" s="1148" t="s">
        <v>325</v>
      </c>
      <c r="AN57" s="1147" t="s">
        <v>289</v>
      </c>
      <c r="AO57" s="1148" t="s">
        <v>325</v>
      </c>
      <c r="AP57" s="1147" t="s">
        <v>289</v>
      </c>
      <c r="AQ57" s="1148" t="s">
        <v>325</v>
      </c>
      <c r="AR57" s="1147" t="s">
        <v>289</v>
      </c>
      <c r="AS57" s="1148" t="s">
        <v>325</v>
      </c>
      <c r="AT57" s="1147" t="s">
        <v>289</v>
      </c>
      <c r="AU57" s="1148" t="s">
        <v>325</v>
      </c>
      <c r="AV57" s="1147" t="s">
        <v>289</v>
      </c>
      <c r="AW57" s="1148" t="s">
        <v>325</v>
      </c>
      <c r="AX57" s="1147" t="s">
        <v>289</v>
      </c>
      <c r="AY57" s="1148" t="s">
        <v>325</v>
      </c>
      <c r="AZ57" s="1147" t="s">
        <v>289</v>
      </c>
      <c r="BA57" s="1149" t="s">
        <v>325</v>
      </c>
      <c r="BB57" s="1150" t="s">
        <v>289</v>
      </c>
      <c r="BC57" s="1045"/>
      <c r="BD57" s="1142"/>
      <c r="BE57" s="1143"/>
      <c r="BF57" s="1143"/>
      <c r="BG57" s="1143"/>
      <c r="BH57" s="1144"/>
      <c r="BI57" s="1145"/>
      <c r="BJ57" s="1146" t="s">
        <v>325</v>
      </c>
      <c r="BK57" s="1147" t="s">
        <v>289</v>
      </c>
      <c r="BL57" s="1148" t="s">
        <v>325</v>
      </c>
      <c r="BM57" s="1147" t="s">
        <v>289</v>
      </c>
      <c r="BN57" s="1148" t="s">
        <v>325</v>
      </c>
      <c r="BO57" s="1147" t="s">
        <v>289</v>
      </c>
      <c r="BP57" s="1148" t="s">
        <v>325</v>
      </c>
      <c r="BQ57" s="1147" t="s">
        <v>289</v>
      </c>
      <c r="BR57" s="1148" t="s">
        <v>325</v>
      </c>
      <c r="BS57" s="1147" t="s">
        <v>289</v>
      </c>
      <c r="BT57" s="1148" t="s">
        <v>325</v>
      </c>
      <c r="BU57" s="1147" t="s">
        <v>289</v>
      </c>
      <c r="BV57" s="1148" t="s">
        <v>325</v>
      </c>
      <c r="BW57" s="1147" t="s">
        <v>289</v>
      </c>
      <c r="BX57" s="1148" t="s">
        <v>325</v>
      </c>
      <c r="BY57" s="1147" t="s">
        <v>289</v>
      </c>
      <c r="BZ57" s="1148" t="s">
        <v>325</v>
      </c>
      <c r="CA57" s="1147" t="s">
        <v>289</v>
      </c>
      <c r="CB57" s="1148" t="s">
        <v>325</v>
      </c>
      <c r="CC57" s="1147" t="s">
        <v>289</v>
      </c>
      <c r="CD57" s="1148" t="s">
        <v>325</v>
      </c>
      <c r="CE57" s="1147" t="s">
        <v>289</v>
      </c>
      <c r="CF57" s="1148" t="s">
        <v>325</v>
      </c>
      <c r="CG57" s="1147" t="s">
        <v>325</v>
      </c>
      <c r="CH57" s="1148" t="s">
        <v>325</v>
      </c>
      <c r="CI57" s="1147" t="s">
        <v>289</v>
      </c>
      <c r="CJ57" s="1148" t="s">
        <v>325</v>
      </c>
      <c r="CK57" s="1147" t="s">
        <v>289</v>
      </c>
      <c r="CL57" s="1148" t="s">
        <v>325</v>
      </c>
      <c r="CM57" s="1147" t="s">
        <v>289</v>
      </c>
      <c r="CN57" s="1148" t="s">
        <v>325</v>
      </c>
      <c r="CO57" s="1147" t="s">
        <v>289</v>
      </c>
      <c r="CP57" s="1148" t="s">
        <v>325</v>
      </c>
      <c r="CQ57" s="1147" t="s">
        <v>289</v>
      </c>
      <c r="CR57" s="1148" t="s">
        <v>325</v>
      </c>
      <c r="CS57" s="1147" t="s">
        <v>289</v>
      </c>
      <c r="CT57" s="1148" t="s">
        <v>325</v>
      </c>
      <c r="CU57" s="1147" t="s">
        <v>289</v>
      </c>
      <c r="CV57" s="1148" t="s">
        <v>325</v>
      </c>
      <c r="CW57" s="1147" t="s">
        <v>289</v>
      </c>
      <c r="CX57" s="1148" t="s">
        <v>325</v>
      </c>
      <c r="CY57" s="1147" t="s">
        <v>289</v>
      </c>
      <c r="CZ57" s="1148" t="s">
        <v>325</v>
      </c>
      <c r="DA57" s="1147" t="s">
        <v>289</v>
      </c>
      <c r="DB57" s="1148" t="s">
        <v>325</v>
      </c>
      <c r="DC57" s="1147" t="s">
        <v>289</v>
      </c>
      <c r="DD57" s="1149" t="s">
        <v>325</v>
      </c>
      <c r="DE57" s="1150" t="s">
        <v>289</v>
      </c>
      <c r="DF57" s="1045"/>
      <c r="DG57" s="1142"/>
      <c r="DH57" s="1143"/>
      <c r="DI57" s="1143"/>
      <c r="DJ57" s="1143"/>
      <c r="DK57" s="1144"/>
      <c r="DL57" s="1145"/>
      <c r="DM57" s="1146" t="s">
        <v>325</v>
      </c>
      <c r="DN57" s="1147" t="s">
        <v>289</v>
      </c>
      <c r="DO57" s="1148" t="s">
        <v>325</v>
      </c>
      <c r="DP57" s="1147" t="s">
        <v>289</v>
      </c>
      <c r="DQ57" s="1148" t="s">
        <v>325</v>
      </c>
      <c r="DR57" s="1147" t="s">
        <v>289</v>
      </c>
      <c r="DS57" s="1148" t="s">
        <v>325</v>
      </c>
      <c r="DT57" s="1147" t="s">
        <v>289</v>
      </c>
      <c r="DU57" s="1148" t="s">
        <v>325</v>
      </c>
      <c r="DV57" s="1147" t="s">
        <v>289</v>
      </c>
      <c r="DW57" s="1148" t="s">
        <v>325</v>
      </c>
      <c r="DX57" s="1147" t="s">
        <v>289</v>
      </c>
      <c r="DY57" s="1148" t="s">
        <v>325</v>
      </c>
      <c r="DZ57" s="1147" t="s">
        <v>289</v>
      </c>
      <c r="EA57" s="1148" t="s">
        <v>325</v>
      </c>
      <c r="EB57" s="1147" t="s">
        <v>289</v>
      </c>
      <c r="EC57" s="1148" t="s">
        <v>325</v>
      </c>
      <c r="ED57" s="1147" t="s">
        <v>289</v>
      </c>
      <c r="EE57" s="1148" t="s">
        <v>325</v>
      </c>
      <c r="EF57" s="1147" t="s">
        <v>289</v>
      </c>
      <c r="EG57" s="1148" t="s">
        <v>325</v>
      </c>
      <c r="EH57" s="1147" t="s">
        <v>289</v>
      </c>
      <c r="EI57" s="1148" t="s">
        <v>325</v>
      </c>
      <c r="EJ57" s="1147" t="s">
        <v>325</v>
      </c>
      <c r="EK57" s="1148" t="s">
        <v>325</v>
      </c>
      <c r="EL57" s="1147" t="s">
        <v>289</v>
      </c>
      <c r="EM57" s="1148" t="s">
        <v>325</v>
      </c>
      <c r="EN57" s="1147" t="s">
        <v>289</v>
      </c>
      <c r="EO57" s="1148" t="s">
        <v>325</v>
      </c>
      <c r="EP57" s="1147" t="s">
        <v>289</v>
      </c>
      <c r="EQ57" s="1148" t="s">
        <v>325</v>
      </c>
      <c r="ER57" s="1147" t="s">
        <v>289</v>
      </c>
      <c r="ES57" s="1148" t="s">
        <v>325</v>
      </c>
      <c r="ET57" s="1147" t="s">
        <v>289</v>
      </c>
      <c r="EU57" s="1148" t="s">
        <v>325</v>
      </c>
      <c r="EV57" s="1147" t="s">
        <v>289</v>
      </c>
      <c r="EW57" s="1148" t="s">
        <v>325</v>
      </c>
      <c r="EX57" s="1147" t="s">
        <v>289</v>
      </c>
      <c r="EY57" s="1148" t="s">
        <v>325</v>
      </c>
      <c r="EZ57" s="1147" t="s">
        <v>289</v>
      </c>
      <c r="FA57" s="1148" t="s">
        <v>325</v>
      </c>
      <c r="FB57" s="1147" t="s">
        <v>289</v>
      </c>
      <c r="FC57" s="1148" t="s">
        <v>325</v>
      </c>
      <c r="FD57" s="1147" t="s">
        <v>289</v>
      </c>
      <c r="FE57" s="1148" t="s">
        <v>325</v>
      </c>
      <c r="FF57" s="1147" t="s">
        <v>289</v>
      </c>
      <c r="FG57" s="1149" t="s">
        <v>325</v>
      </c>
      <c r="FH57" s="1150" t="s">
        <v>289</v>
      </c>
      <c r="FI57" s="1045"/>
      <c r="FJ57" s="1142"/>
      <c r="FK57" s="1143"/>
      <c r="FL57" s="1143"/>
      <c r="FM57" s="1143"/>
      <c r="FN57" s="1144"/>
      <c r="FO57" s="1145"/>
      <c r="FP57" s="1151" t="s">
        <v>272</v>
      </c>
      <c r="FQ57" s="1149" t="s">
        <v>325</v>
      </c>
      <c r="FR57" s="1147" t="s">
        <v>290</v>
      </c>
      <c r="FS57" s="1152" t="s">
        <v>272</v>
      </c>
      <c r="FT57" s="1149" t="s">
        <v>325</v>
      </c>
      <c r="FU57" s="1153" t="s">
        <v>290</v>
      </c>
      <c r="FV57" s="1154" t="s">
        <v>272</v>
      </c>
      <c r="FW57" s="1147" t="s">
        <v>289</v>
      </c>
      <c r="FX57" s="1152" t="s">
        <v>272</v>
      </c>
      <c r="FY57" s="1147" t="s">
        <v>289</v>
      </c>
      <c r="FZ57" s="1152" t="s">
        <v>272</v>
      </c>
      <c r="GA57" s="1147" t="s">
        <v>289</v>
      </c>
      <c r="GB57" s="1152" t="s">
        <v>272</v>
      </c>
      <c r="GC57" s="1147" t="s">
        <v>289</v>
      </c>
      <c r="GD57" s="1152" t="s">
        <v>272</v>
      </c>
      <c r="GE57" s="1150" t="s">
        <v>290</v>
      </c>
      <c r="GF57" s="681"/>
      <c r="GG57" s="648"/>
      <c r="GH57" s="648"/>
      <c r="GI57" s="648"/>
      <c r="GJ57" s="946"/>
      <c r="GK57" s="406"/>
      <c r="GL57" s="1117">
        <v>14</v>
      </c>
      <c r="GM57" s="1118">
        <v>5</v>
      </c>
      <c r="GN57" s="1095">
        <v>0.66</v>
      </c>
      <c r="GO57" s="1096">
        <v>3</v>
      </c>
      <c r="GP57" s="1096">
        <v>8</v>
      </c>
      <c r="GQ57" s="1097">
        <v>11</v>
      </c>
      <c r="GR57" s="946"/>
      <c r="GS57" s="522"/>
      <c r="GT57" s="1257"/>
      <c r="GU57" s="571"/>
      <c r="GV57" s="571"/>
      <c r="GW57" s="493"/>
      <c r="GX57" s="1260"/>
      <c r="GY57" s="572"/>
      <c r="GZ57" s="493"/>
      <c r="HA57" s="571"/>
      <c r="HB57" s="493"/>
      <c r="HC57" s="1045"/>
    </row>
    <row r="58" spans="1:212" ht="20.100000000000001" customHeight="1">
      <c r="A58" s="1155" t="s">
        <v>885</v>
      </c>
      <c r="B58" s="1156"/>
      <c r="C58" s="1156"/>
      <c r="D58" s="1156"/>
      <c r="E58" s="1157"/>
      <c r="F58" s="1158"/>
      <c r="G58" s="1159"/>
      <c r="H58" s="1160"/>
      <c r="I58" s="1161"/>
      <c r="J58" s="1160"/>
      <c r="K58" s="1161"/>
      <c r="L58" s="1160"/>
      <c r="M58" s="1161"/>
      <c r="N58" s="1160"/>
      <c r="O58" s="1161"/>
      <c r="P58" s="1160"/>
      <c r="Q58" s="1161"/>
      <c r="R58" s="1160"/>
      <c r="S58" s="1161"/>
      <c r="T58" s="1160"/>
      <c r="U58" s="1161"/>
      <c r="V58" s="1160"/>
      <c r="W58" s="1161"/>
      <c r="X58" s="1160">
        <v>360</v>
      </c>
      <c r="Y58" s="1161"/>
      <c r="Z58" s="1160">
        <v>360</v>
      </c>
      <c r="AA58" s="1161"/>
      <c r="AB58" s="1160">
        <v>360</v>
      </c>
      <c r="AC58" s="1161"/>
      <c r="AD58" s="1160">
        <v>360</v>
      </c>
      <c r="AE58" s="1161"/>
      <c r="AF58" s="1160">
        <v>360</v>
      </c>
      <c r="AG58" s="1161"/>
      <c r="AH58" s="1160">
        <v>360</v>
      </c>
      <c r="AI58" s="1161"/>
      <c r="AJ58" s="1160">
        <v>360</v>
      </c>
      <c r="AK58" s="1161"/>
      <c r="AL58" s="1160">
        <v>360</v>
      </c>
      <c r="AM58" s="1161"/>
      <c r="AN58" s="1160">
        <v>360</v>
      </c>
      <c r="AO58" s="1161"/>
      <c r="AP58" s="1160">
        <v>360</v>
      </c>
      <c r="AQ58" s="1161"/>
      <c r="AR58" s="1160"/>
      <c r="AS58" s="1161"/>
      <c r="AT58" s="1160"/>
      <c r="AU58" s="1161"/>
      <c r="AV58" s="1160"/>
      <c r="AW58" s="1161"/>
      <c r="AX58" s="1160"/>
      <c r="AY58" s="1161"/>
      <c r="AZ58" s="1160"/>
      <c r="BA58" s="1161"/>
      <c r="BB58" s="554"/>
      <c r="BC58" s="556"/>
      <c r="BD58" s="1155" t="s">
        <v>756</v>
      </c>
      <c r="BE58" s="1156"/>
      <c r="BF58" s="1156"/>
      <c r="BG58" s="1156"/>
      <c r="BH58" s="1157"/>
      <c r="BI58" s="1158"/>
      <c r="BJ58" s="1159"/>
      <c r="BK58" s="1160"/>
      <c r="BL58" s="1161"/>
      <c r="BM58" s="1160"/>
      <c r="BN58" s="1161"/>
      <c r="BO58" s="1160"/>
      <c r="BP58" s="1161"/>
      <c r="BQ58" s="1160"/>
      <c r="BR58" s="1161"/>
      <c r="BS58" s="1160"/>
      <c r="BT58" s="1161"/>
      <c r="BU58" s="1160"/>
      <c r="BV58" s="1161"/>
      <c r="BW58" s="1160"/>
      <c r="BX58" s="1161"/>
      <c r="BY58" s="1160"/>
      <c r="BZ58" s="1161"/>
      <c r="CA58" s="1160">
        <v>360</v>
      </c>
      <c r="CB58" s="1161"/>
      <c r="CC58" s="1160">
        <v>360</v>
      </c>
      <c r="CD58" s="1161"/>
      <c r="CE58" s="1160">
        <v>360</v>
      </c>
      <c r="CF58" s="1161"/>
      <c r="CG58" s="1160">
        <v>360</v>
      </c>
      <c r="CH58" s="1161"/>
      <c r="CI58" s="1160">
        <v>360</v>
      </c>
      <c r="CJ58" s="1161"/>
      <c r="CK58" s="1160">
        <v>360</v>
      </c>
      <c r="CL58" s="1161"/>
      <c r="CM58" s="1160">
        <v>360</v>
      </c>
      <c r="CN58" s="1161"/>
      <c r="CO58" s="1160">
        <v>360</v>
      </c>
      <c r="CP58" s="1161"/>
      <c r="CQ58" s="1160">
        <v>360</v>
      </c>
      <c r="CR58" s="1161"/>
      <c r="CS58" s="1160">
        <v>360</v>
      </c>
      <c r="CT58" s="1161"/>
      <c r="CU58" s="1160"/>
      <c r="CV58" s="1161"/>
      <c r="CW58" s="1160"/>
      <c r="CX58" s="1161"/>
      <c r="CY58" s="1160"/>
      <c r="CZ58" s="1161"/>
      <c r="DA58" s="1160"/>
      <c r="DB58" s="1161"/>
      <c r="DC58" s="1160"/>
      <c r="DD58" s="1161"/>
      <c r="DE58" s="554"/>
      <c r="DF58" s="555"/>
      <c r="DG58" s="1155" t="s">
        <v>757</v>
      </c>
      <c r="DH58" s="1156"/>
      <c r="DI58" s="1156"/>
      <c r="DJ58" s="1156"/>
      <c r="DK58" s="1157"/>
      <c r="DL58" s="1158"/>
      <c r="DM58" s="1159"/>
      <c r="DN58" s="1160"/>
      <c r="DO58" s="1161"/>
      <c r="DP58" s="1160"/>
      <c r="DQ58" s="1161"/>
      <c r="DR58" s="1160"/>
      <c r="DS58" s="1161"/>
      <c r="DT58" s="1160"/>
      <c r="DU58" s="1161"/>
      <c r="DV58" s="1160"/>
      <c r="DW58" s="1161"/>
      <c r="DX58" s="1160"/>
      <c r="DY58" s="1161"/>
      <c r="DZ58" s="1160"/>
      <c r="EA58" s="1161"/>
      <c r="EB58" s="1160"/>
      <c r="EC58" s="1161"/>
      <c r="ED58" s="1160">
        <v>360</v>
      </c>
      <c r="EE58" s="1161"/>
      <c r="EF58" s="1160">
        <v>360</v>
      </c>
      <c r="EG58" s="1161"/>
      <c r="EH58" s="1160">
        <v>360</v>
      </c>
      <c r="EI58" s="1161"/>
      <c r="EJ58" s="1160">
        <v>360</v>
      </c>
      <c r="EK58" s="1161"/>
      <c r="EL58" s="1160">
        <v>360</v>
      </c>
      <c r="EM58" s="1161"/>
      <c r="EN58" s="1160">
        <v>360</v>
      </c>
      <c r="EO58" s="1161"/>
      <c r="EP58" s="1160">
        <v>360</v>
      </c>
      <c r="EQ58" s="1161"/>
      <c r="ER58" s="1160">
        <v>360</v>
      </c>
      <c r="ES58" s="1161"/>
      <c r="ET58" s="1160">
        <v>360</v>
      </c>
      <c r="EU58" s="1161"/>
      <c r="EV58" s="1160">
        <v>360</v>
      </c>
      <c r="EW58" s="1161"/>
      <c r="EX58" s="1160"/>
      <c r="EY58" s="1161"/>
      <c r="EZ58" s="1160"/>
      <c r="FA58" s="1161"/>
      <c r="FB58" s="1160"/>
      <c r="FC58" s="1161"/>
      <c r="FD58" s="1160"/>
      <c r="FE58" s="1161"/>
      <c r="FF58" s="1160"/>
      <c r="FG58" s="1161"/>
      <c r="FH58" s="554"/>
      <c r="FI58" s="556"/>
      <c r="FJ58" s="1155" t="s">
        <v>756</v>
      </c>
      <c r="FK58" s="1156"/>
      <c r="FL58" s="1156"/>
      <c r="FM58" s="1156"/>
      <c r="FN58" s="1157"/>
      <c r="FO58" s="1158"/>
      <c r="FP58" s="1162"/>
      <c r="FQ58" s="1163"/>
      <c r="FR58" s="1160">
        <v>360</v>
      </c>
      <c r="FS58" s="1164"/>
      <c r="FT58" s="1163"/>
      <c r="FU58" s="1165">
        <v>360</v>
      </c>
      <c r="FV58" s="1166"/>
      <c r="FW58" s="1167"/>
      <c r="FX58" s="1168"/>
      <c r="FY58" s="1167"/>
      <c r="FZ58" s="1168"/>
      <c r="GA58" s="1167"/>
      <c r="GB58" s="1168"/>
      <c r="GC58" s="1167"/>
      <c r="GD58" s="1168"/>
      <c r="GE58" s="1169"/>
      <c r="GF58" s="681"/>
      <c r="GG58" s="595"/>
      <c r="GH58" s="595"/>
      <c r="GI58" s="595"/>
      <c r="GJ58" s="946"/>
      <c r="GK58" s="1170"/>
      <c r="GL58" s="1093">
        <v>15</v>
      </c>
      <c r="GM58" s="1094">
        <v>6</v>
      </c>
      <c r="GN58" s="1095">
        <v>0.61</v>
      </c>
      <c r="GO58" s="1096">
        <v>2.8</v>
      </c>
      <c r="GP58" s="1096">
        <v>8</v>
      </c>
      <c r="GQ58" s="1097">
        <v>10.8</v>
      </c>
      <c r="GR58" s="946"/>
      <c r="GS58" s="523"/>
      <c r="GT58" s="682"/>
      <c r="GU58" s="493"/>
      <c r="GV58" s="571"/>
      <c r="GW58" s="493"/>
      <c r="GX58" s="1260"/>
      <c r="GY58" s="1258"/>
      <c r="GZ58" s="572"/>
      <c r="HA58" s="571"/>
      <c r="HB58" s="493"/>
      <c r="HC58" s="555"/>
      <c r="HD58" s="1171"/>
    </row>
    <row r="59" spans="1:212" ht="20.100000000000001" customHeight="1">
      <c r="A59" s="1172" t="s">
        <v>760</v>
      </c>
      <c r="B59" s="1173"/>
      <c r="C59" s="1173"/>
      <c r="D59" s="1174" t="s">
        <v>759</v>
      </c>
      <c r="E59" s="1175"/>
      <c r="F59" s="1014"/>
      <c r="G59" s="1176">
        <v>0</v>
      </c>
      <c r="H59" s="578">
        <v>0</v>
      </c>
      <c r="I59" s="1177">
        <v>0</v>
      </c>
      <c r="J59" s="580">
        <v>0</v>
      </c>
      <c r="K59" s="1177">
        <v>0</v>
      </c>
      <c r="L59" s="580">
        <v>0</v>
      </c>
      <c r="M59" s="1177">
        <v>0</v>
      </c>
      <c r="N59" s="580">
        <v>0</v>
      </c>
      <c r="O59" s="1177">
        <v>0</v>
      </c>
      <c r="P59" s="580">
        <v>0</v>
      </c>
      <c r="Q59" s="1177">
        <v>0</v>
      </c>
      <c r="R59" s="580">
        <v>0</v>
      </c>
      <c r="S59" s="1177">
        <v>0</v>
      </c>
      <c r="T59" s="580">
        <v>0</v>
      </c>
      <c r="U59" s="1177">
        <v>0</v>
      </c>
      <c r="V59" s="580">
        <v>0</v>
      </c>
      <c r="W59" s="1177">
        <v>17.100000000000001</v>
      </c>
      <c r="X59" s="580">
        <v>2052</v>
      </c>
      <c r="Y59" s="1177">
        <v>18.600000000000001</v>
      </c>
      <c r="Z59" s="580">
        <v>2232</v>
      </c>
      <c r="AA59" s="1177">
        <v>20</v>
      </c>
      <c r="AB59" s="580">
        <v>2400</v>
      </c>
      <c r="AC59" s="1177">
        <v>20.2</v>
      </c>
      <c r="AD59" s="580">
        <v>2424</v>
      </c>
      <c r="AE59" s="1177">
        <v>21</v>
      </c>
      <c r="AF59" s="580">
        <v>2520</v>
      </c>
      <c r="AG59" s="1177">
        <v>20.8</v>
      </c>
      <c r="AH59" s="580">
        <v>2496</v>
      </c>
      <c r="AI59" s="1177">
        <v>21.5</v>
      </c>
      <c r="AJ59" s="580">
        <v>2580</v>
      </c>
      <c r="AK59" s="1177">
        <v>20.9</v>
      </c>
      <c r="AL59" s="580">
        <v>2508</v>
      </c>
      <c r="AM59" s="1177">
        <v>19.600000000000001</v>
      </c>
      <c r="AN59" s="580">
        <v>2352</v>
      </c>
      <c r="AO59" s="1177">
        <v>18.899999999999999</v>
      </c>
      <c r="AP59" s="580">
        <v>2268</v>
      </c>
      <c r="AQ59" s="1177">
        <v>0</v>
      </c>
      <c r="AR59" s="580">
        <v>0</v>
      </c>
      <c r="AS59" s="1177">
        <v>0</v>
      </c>
      <c r="AT59" s="580">
        <v>0</v>
      </c>
      <c r="AU59" s="1177">
        <v>0</v>
      </c>
      <c r="AV59" s="580">
        <v>0</v>
      </c>
      <c r="AW59" s="1177">
        <v>0</v>
      </c>
      <c r="AX59" s="580">
        <v>0</v>
      </c>
      <c r="AY59" s="1177">
        <v>0</v>
      </c>
      <c r="AZ59" s="580">
        <v>0</v>
      </c>
      <c r="BA59" s="1177">
        <v>0</v>
      </c>
      <c r="BB59" s="582">
        <v>0</v>
      </c>
      <c r="BC59" s="556"/>
      <c r="BD59" s="1172" t="s">
        <v>758</v>
      </c>
      <c r="BE59" s="1173"/>
      <c r="BF59" s="1173"/>
      <c r="BG59" s="1174" t="s">
        <v>759</v>
      </c>
      <c r="BH59" s="1175"/>
      <c r="BI59" s="1014"/>
      <c r="BJ59" s="1176">
        <v>0</v>
      </c>
      <c r="BK59" s="578">
        <v>0</v>
      </c>
      <c r="BL59" s="1177">
        <v>0</v>
      </c>
      <c r="BM59" s="580">
        <v>0</v>
      </c>
      <c r="BN59" s="1177">
        <v>0</v>
      </c>
      <c r="BO59" s="580">
        <v>0</v>
      </c>
      <c r="BP59" s="1177">
        <v>0</v>
      </c>
      <c r="BQ59" s="580">
        <v>0</v>
      </c>
      <c r="BR59" s="1177">
        <v>0</v>
      </c>
      <c r="BS59" s="580">
        <v>0</v>
      </c>
      <c r="BT59" s="1177">
        <v>0</v>
      </c>
      <c r="BU59" s="580">
        <v>0</v>
      </c>
      <c r="BV59" s="1177">
        <v>0</v>
      </c>
      <c r="BW59" s="580">
        <v>0</v>
      </c>
      <c r="BX59" s="1177">
        <v>0</v>
      </c>
      <c r="BY59" s="580">
        <v>0</v>
      </c>
      <c r="BZ59" s="1177">
        <v>14.3</v>
      </c>
      <c r="CA59" s="580">
        <v>1716</v>
      </c>
      <c r="CB59" s="1177">
        <v>15.9</v>
      </c>
      <c r="CC59" s="580">
        <v>1908</v>
      </c>
      <c r="CD59" s="1177">
        <v>16.2</v>
      </c>
      <c r="CE59" s="580">
        <v>1944</v>
      </c>
      <c r="CF59" s="1177">
        <v>15.9</v>
      </c>
      <c r="CG59" s="580">
        <v>1908</v>
      </c>
      <c r="CH59" s="1177">
        <v>16</v>
      </c>
      <c r="CI59" s="580">
        <v>1920</v>
      </c>
      <c r="CJ59" s="1177">
        <v>15.8</v>
      </c>
      <c r="CK59" s="580">
        <v>1896</v>
      </c>
      <c r="CL59" s="1177">
        <v>16</v>
      </c>
      <c r="CM59" s="580">
        <v>1920</v>
      </c>
      <c r="CN59" s="1177">
        <v>15.2</v>
      </c>
      <c r="CO59" s="580">
        <v>1824</v>
      </c>
      <c r="CP59" s="1177">
        <v>15.2</v>
      </c>
      <c r="CQ59" s="580">
        <v>1824</v>
      </c>
      <c r="CR59" s="1177">
        <v>14.9</v>
      </c>
      <c r="CS59" s="580">
        <v>1788</v>
      </c>
      <c r="CT59" s="1177">
        <v>0</v>
      </c>
      <c r="CU59" s="580">
        <v>0</v>
      </c>
      <c r="CV59" s="1177">
        <v>0</v>
      </c>
      <c r="CW59" s="580">
        <v>0</v>
      </c>
      <c r="CX59" s="1177">
        <v>0</v>
      </c>
      <c r="CY59" s="580">
        <v>0</v>
      </c>
      <c r="CZ59" s="1177">
        <v>0</v>
      </c>
      <c r="DA59" s="580">
        <v>0</v>
      </c>
      <c r="DB59" s="1177">
        <v>0</v>
      </c>
      <c r="DC59" s="580">
        <v>0</v>
      </c>
      <c r="DD59" s="1177">
        <v>0</v>
      </c>
      <c r="DE59" s="582">
        <v>0</v>
      </c>
      <c r="DF59" s="555"/>
      <c r="DG59" s="1172" t="s">
        <v>758</v>
      </c>
      <c r="DH59" s="1173"/>
      <c r="DI59" s="1173"/>
      <c r="DJ59" s="1174" t="s">
        <v>759</v>
      </c>
      <c r="DK59" s="1175"/>
      <c r="DL59" s="1014"/>
      <c r="DM59" s="1176">
        <v>0</v>
      </c>
      <c r="DN59" s="578">
        <v>0</v>
      </c>
      <c r="DO59" s="1177">
        <v>0</v>
      </c>
      <c r="DP59" s="580">
        <v>0</v>
      </c>
      <c r="DQ59" s="1177">
        <v>0</v>
      </c>
      <c r="DR59" s="580">
        <v>0</v>
      </c>
      <c r="DS59" s="1177">
        <v>0</v>
      </c>
      <c r="DT59" s="580">
        <v>0</v>
      </c>
      <c r="DU59" s="1177">
        <v>0</v>
      </c>
      <c r="DV59" s="580">
        <v>0</v>
      </c>
      <c r="DW59" s="1177">
        <v>0</v>
      </c>
      <c r="DX59" s="580">
        <v>0</v>
      </c>
      <c r="DY59" s="1177">
        <v>0</v>
      </c>
      <c r="DZ59" s="580">
        <v>0</v>
      </c>
      <c r="EA59" s="1177">
        <v>0</v>
      </c>
      <c r="EB59" s="580">
        <v>0</v>
      </c>
      <c r="EC59" s="1177">
        <v>0</v>
      </c>
      <c r="ED59" s="580">
        <v>0</v>
      </c>
      <c r="EE59" s="1177">
        <v>0</v>
      </c>
      <c r="EF59" s="580">
        <v>0</v>
      </c>
      <c r="EG59" s="1177">
        <v>0</v>
      </c>
      <c r="EH59" s="580">
        <v>0</v>
      </c>
      <c r="EI59" s="1177">
        <v>0</v>
      </c>
      <c r="EJ59" s="580">
        <v>0</v>
      </c>
      <c r="EK59" s="1177">
        <v>0</v>
      </c>
      <c r="EL59" s="580">
        <v>0</v>
      </c>
      <c r="EM59" s="1177">
        <v>0.3</v>
      </c>
      <c r="EN59" s="580">
        <v>36</v>
      </c>
      <c r="EO59" s="1177">
        <v>0.6</v>
      </c>
      <c r="EP59" s="580">
        <v>72</v>
      </c>
      <c r="EQ59" s="1177">
        <v>0</v>
      </c>
      <c r="ER59" s="580">
        <v>0</v>
      </c>
      <c r="ES59" s="1177">
        <v>0</v>
      </c>
      <c r="ET59" s="580">
        <v>0</v>
      </c>
      <c r="EU59" s="1177">
        <v>0</v>
      </c>
      <c r="EV59" s="580">
        <v>0</v>
      </c>
      <c r="EW59" s="1177">
        <v>0</v>
      </c>
      <c r="EX59" s="580">
        <v>0</v>
      </c>
      <c r="EY59" s="1177">
        <v>0</v>
      </c>
      <c r="EZ59" s="580">
        <v>0</v>
      </c>
      <c r="FA59" s="1177">
        <v>0</v>
      </c>
      <c r="FB59" s="580">
        <v>0</v>
      </c>
      <c r="FC59" s="1177">
        <v>0</v>
      </c>
      <c r="FD59" s="580">
        <v>0</v>
      </c>
      <c r="FE59" s="1177">
        <v>0</v>
      </c>
      <c r="FF59" s="580">
        <v>0</v>
      </c>
      <c r="FG59" s="1177">
        <v>0</v>
      </c>
      <c r="FH59" s="582">
        <v>0</v>
      </c>
      <c r="FI59" s="556"/>
      <c r="FJ59" s="1172" t="s">
        <v>758</v>
      </c>
      <c r="FK59" s="1173"/>
      <c r="FL59" s="1173"/>
      <c r="FM59" s="1174" t="s">
        <v>759</v>
      </c>
      <c r="FN59" s="1175"/>
      <c r="FO59" s="1014"/>
      <c r="FP59" s="618">
        <v>9</v>
      </c>
      <c r="FQ59" s="1178">
        <v>34.5</v>
      </c>
      <c r="FR59" s="1179">
        <v>4140</v>
      </c>
      <c r="FS59" s="1180">
        <v>9</v>
      </c>
      <c r="FT59" s="1178">
        <v>33.1</v>
      </c>
      <c r="FU59" s="1181">
        <v>3972</v>
      </c>
      <c r="FV59" s="1261" t="s">
        <v>762</v>
      </c>
      <c r="FW59" s="1262"/>
      <c r="FX59" s="1263" t="s">
        <v>761</v>
      </c>
      <c r="FY59" s="1262"/>
      <c r="FZ59" s="1263" t="s">
        <v>761</v>
      </c>
      <c r="GA59" s="1262"/>
      <c r="GB59" s="1263" t="s">
        <v>761</v>
      </c>
      <c r="GC59" s="1262"/>
      <c r="GD59" s="1263" t="s">
        <v>762</v>
      </c>
      <c r="GE59" s="1267"/>
      <c r="GF59" s="681"/>
      <c r="GG59" s="1186"/>
      <c r="GH59" s="1186"/>
      <c r="GI59" s="1186"/>
      <c r="GJ59" s="886"/>
      <c r="GK59" s="406"/>
      <c r="GL59" s="1117">
        <v>16</v>
      </c>
      <c r="GM59" s="1118">
        <v>7</v>
      </c>
      <c r="GN59" s="1095">
        <v>0.56000000000000005</v>
      </c>
      <c r="GO59" s="1096">
        <v>2.6</v>
      </c>
      <c r="GP59" s="1096">
        <v>8</v>
      </c>
      <c r="GQ59" s="1097">
        <v>10.6</v>
      </c>
      <c r="GR59" s="886"/>
      <c r="GS59" s="388"/>
      <c r="GT59" s="1259"/>
      <c r="GU59" s="572"/>
      <c r="GV59" s="493"/>
      <c r="GW59" s="493"/>
      <c r="GX59" s="1260"/>
      <c r="GY59" s="1258"/>
      <c r="GZ59" s="572"/>
      <c r="HA59" s="571"/>
      <c r="HB59" s="493"/>
      <c r="HC59" s="1171"/>
      <c r="HD59" s="1187"/>
    </row>
    <row r="60" spans="1:212" ht="20.100000000000001" customHeight="1">
      <c r="A60" s="1172"/>
      <c r="B60" s="1173"/>
      <c r="C60" s="1173"/>
      <c r="D60" s="1188"/>
      <c r="E60" s="1188"/>
      <c r="F60" s="1189">
        <v>0</v>
      </c>
      <c r="G60" s="577"/>
      <c r="H60" s="578"/>
      <c r="I60" s="581"/>
      <c r="J60" s="580"/>
      <c r="K60" s="581"/>
      <c r="L60" s="580"/>
      <c r="M60" s="581"/>
      <c r="N60" s="580"/>
      <c r="O60" s="581"/>
      <c r="P60" s="580"/>
      <c r="Q60" s="581"/>
      <c r="R60" s="580"/>
      <c r="S60" s="581"/>
      <c r="T60" s="580"/>
      <c r="U60" s="581"/>
      <c r="V60" s="580"/>
      <c r="W60" s="581"/>
      <c r="X60" s="580">
        <v>0</v>
      </c>
      <c r="Y60" s="581"/>
      <c r="Z60" s="580">
        <v>0</v>
      </c>
      <c r="AA60" s="581"/>
      <c r="AB60" s="580">
        <v>0</v>
      </c>
      <c r="AC60" s="581"/>
      <c r="AD60" s="580">
        <v>0</v>
      </c>
      <c r="AE60" s="581"/>
      <c r="AF60" s="580">
        <v>0</v>
      </c>
      <c r="AG60" s="581"/>
      <c r="AH60" s="580">
        <v>0</v>
      </c>
      <c r="AI60" s="581"/>
      <c r="AJ60" s="580">
        <v>0</v>
      </c>
      <c r="AK60" s="581"/>
      <c r="AL60" s="580">
        <v>0</v>
      </c>
      <c r="AM60" s="581"/>
      <c r="AN60" s="580">
        <v>0</v>
      </c>
      <c r="AO60" s="581"/>
      <c r="AP60" s="580">
        <v>0</v>
      </c>
      <c r="AQ60" s="581"/>
      <c r="AR60" s="580"/>
      <c r="AS60" s="581"/>
      <c r="AT60" s="580"/>
      <c r="AU60" s="581"/>
      <c r="AV60" s="580"/>
      <c r="AW60" s="581"/>
      <c r="AX60" s="580"/>
      <c r="AY60" s="581"/>
      <c r="AZ60" s="580"/>
      <c r="BA60" s="581"/>
      <c r="BB60" s="582"/>
      <c r="BC60" s="556"/>
      <c r="BD60" s="1172"/>
      <c r="BE60" s="1173"/>
      <c r="BF60" s="1173"/>
      <c r="BG60" s="1188"/>
      <c r="BH60" s="1188"/>
      <c r="BI60" s="1189"/>
      <c r="BJ60" s="577"/>
      <c r="BK60" s="578"/>
      <c r="BL60" s="581"/>
      <c r="BM60" s="580"/>
      <c r="BN60" s="581"/>
      <c r="BO60" s="580"/>
      <c r="BP60" s="581"/>
      <c r="BQ60" s="580"/>
      <c r="BR60" s="581"/>
      <c r="BS60" s="580"/>
      <c r="BT60" s="581"/>
      <c r="BU60" s="580"/>
      <c r="BV60" s="581"/>
      <c r="BW60" s="580"/>
      <c r="BX60" s="581"/>
      <c r="BY60" s="580"/>
      <c r="BZ60" s="581"/>
      <c r="CA60" s="580">
        <v>0</v>
      </c>
      <c r="CB60" s="581"/>
      <c r="CC60" s="580">
        <v>0</v>
      </c>
      <c r="CD60" s="581"/>
      <c r="CE60" s="580">
        <v>0</v>
      </c>
      <c r="CF60" s="581"/>
      <c r="CG60" s="580">
        <v>0</v>
      </c>
      <c r="CH60" s="581"/>
      <c r="CI60" s="580">
        <v>0</v>
      </c>
      <c r="CJ60" s="581"/>
      <c r="CK60" s="580">
        <v>0</v>
      </c>
      <c r="CL60" s="581"/>
      <c r="CM60" s="580">
        <v>0</v>
      </c>
      <c r="CN60" s="581"/>
      <c r="CO60" s="580">
        <v>0</v>
      </c>
      <c r="CP60" s="581"/>
      <c r="CQ60" s="580">
        <v>0</v>
      </c>
      <c r="CR60" s="581"/>
      <c r="CS60" s="580">
        <v>0</v>
      </c>
      <c r="CT60" s="581"/>
      <c r="CU60" s="580"/>
      <c r="CV60" s="581"/>
      <c r="CW60" s="580"/>
      <c r="CX60" s="581"/>
      <c r="CY60" s="580"/>
      <c r="CZ60" s="581"/>
      <c r="DA60" s="580"/>
      <c r="DB60" s="581"/>
      <c r="DC60" s="580"/>
      <c r="DD60" s="581"/>
      <c r="DE60" s="582"/>
      <c r="DF60" s="555"/>
      <c r="DG60" s="1172"/>
      <c r="DH60" s="1173"/>
      <c r="DI60" s="1173"/>
      <c r="DJ60" s="1188"/>
      <c r="DK60" s="1188"/>
      <c r="DL60" s="1189"/>
      <c r="DM60" s="577"/>
      <c r="DN60" s="578"/>
      <c r="DO60" s="581"/>
      <c r="DP60" s="580"/>
      <c r="DQ60" s="581"/>
      <c r="DR60" s="580"/>
      <c r="DS60" s="581"/>
      <c r="DT60" s="580"/>
      <c r="DU60" s="581"/>
      <c r="DV60" s="580"/>
      <c r="DW60" s="581"/>
      <c r="DX60" s="580"/>
      <c r="DY60" s="581"/>
      <c r="DZ60" s="580"/>
      <c r="EA60" s="581"/>
      <c r="EB60" s="580"/>
      <c r="EC60" s="581"/>
      <c r="ED60" s="580">
        <v>0</v>
      </c>
      <c r="EE60" s="581"/>
      <c r="EF60" s="580">
        <v>0</v>
      </c>
      <c r="EG60" s="581"/>
      <c r="EH60" s="580">
        <v>0</v>
      </c>
      <c r="EI60" s="581"/>
      <c r="EJ60" s="580">
        <v>0</v>
      </c>
      <c r="EK60" s="581"/>
      <c r="EL60" s="580">
        <v>0</v>
      </c>
      <c r="EM60" s="581"/>
      <c r="EN60" s="580">
        <v>0</v>
      </c>
      <c r="EO60" s="581"/>
      <c r="EP60" s="580">
        <v>0</v>
      </c>
      <c r="EQ60" s="581"/>
      <c r="ER60" s="580">
        <v>0</v>
      </c>
      <c r="ES60" s="581"/>
      <c r="ET60" s="580">
        <v>0</v>
      </c>
      <c r="EU60" s="581"/>
      <c r="EV60" s="580">
        <v>0</v>
      </c>
      <c r="EW60" s="581"/>
      <c r="EX60" s="580"/>
      <c r="EY60" s="581"/>
      <c r="EZ60" s="580"/>
      <c r="FA60" s="581"/>
      <c r="FB60" s="580"/>
      <c r="FC60" s="581"/>
      <c r="FD60" s="580"/>
      <c r="FE60" s="581"/>
      <c r="FF60" s="580"/>
      <c r="FG60" s="581"/>
      <c r="FH60" s="582"/>
      <c r="FI60" s="556"/>
      <c r="FJ60" s="1172"/>
      <c r="FK60" s="1173"/>
      <c r="FL60" s="1173"/>
      <c r="FM60" s="1190"/>
      <c r="FN60" s="1191"/>
      <c r="FO60" s="1014"/>
      <c r="FP60" s="618"/>
      <c r="FQ60" s="614"/>
      <c r="FR60" s="1179"/>
      <c r="FS60" s="1180"/>
      <c r="FT60" s="614"/>
      <c r="FU60" s="1181"/>
      <c r="FV60" s="1182"/>
      <c r="FW60" s="1183"/>
      <c r="FX60" s="1184"/>
      <c r="FY60" s="1183"/>
      <c r="FZ60" s="1184"/>
      <c r="GA60" s="1183"/>
      <c r="GB60" s="1184"/>
      <c r="GC60" s="1183"/>
      <c r="GD60" s="1184"/>
      <c r="GE60" s="1185"/>
      <c r="GF60" s="681"/>
      <c r="GG60" s="388"/>
      <c r="GH60" s="388"/>
      <c r="GI60" s="388"/>
      <c r="GJ60" s="388"/>
      <c r="GK60" s="388"/>
      <c r="GL60" s="1093">
        <v>17</v>
      </c>
      <c r="GM60" s="1094">
        <v>8</v>
      </c>
      <c r="GN60" s="1095">
        <v>0.51</v>
      </c>
      <c r="GO60" s="1096">
        <v>2.2999999999999998</v>
      </c>
      <c r="GP60" s="1096">
        <v>8</v>
      </c>
      <c r="GQ60" s="1097">
        <v>10.3</v>
      </c>
      <c r="GR60" s="388"/>
      <c r="GS60" s="476"/>
      <c r="GT60" s="1259"/>
      <c r="GU60" s="493"/>
      <c r="GV60" s="572"/>
      <c r="GW60" s="493"/>
      <c r="GX60" s="572"/>
      <c r="GY60" s="493"/>
      <c r="GZ60" s="493"/>
      <c r="HA60" s="571"/>
      <c r="HB60" s="493"/>
      <c r="HC60" s="1192"/>
      <c r="HD60" s="1031"/>
    </row>
    <row r="61" spans="1:212" ht="20.100000000000001" customHeight="1">
      <c r="A61" s="1193" t="s">
        <v>763</v>
      </c>
      <c r="B61" s="1194"/>
      <c r="C61" s="1194"/>
      <c r="D61" s="1194"/>
      <c r="E61" s="1194"/>
      <c r="F61" s="1195"/>
      <c r="G61" s="1196"/>
      <c r="H61" s="1197">
        <v>0</v>
      </c>
      <c r="I61" s="1198"/>
      <c r="J61" s="1199">
        <v>0</v>
      </c>
      <c r="K61" s="1198"/>
      <c r="L61" s="1199">
        <v>0</v>
      </c>
      <c r="M61" s="1198"/>
      <c r="N61" s="1199">
        <v>0</v>
      </c>
      <c r="O61" s="1198"/>
      <c r="P61" s="1199">
        <v>0</v>
      </c>
      <c r="Q61" s="1198"/>
      <c r="R61" s="1199">
        <v>0</v>
      </c>
      <c r="S61" s="1198"/>
      <c r="T61" s="1199">
        <v>0</v>
      </c>
      <c r="U61" s="1198"/>
      <c r="V61" s="1199">
        <v>0</v>
      </c>
      <c r="W61" s="1198"/>
      <c r="X61" s="1199">
        <v>8929</v>
      </c>
      <c r="Y61" s="1198"/>
      <c r="Z61" s="1199">
        <v>8486</v>
      </c>
      <c r="AA61" s="1198"/>
      <c r="AB61" s="1199">
        <v>9033</v>
      </c>
      <c r="AC61" s="1198"/>
      <c r="AD61" s="1199">
        <v>7856</v>
      </c>
      <c r="AE61" s="1198"/>
      <c r="AF61" s="1199">
        <v>9722</v>
      </c>
      <c r="AG61" s="1198"/>
      <c r="AH61" s="1199">
        <v>9699</v>
      </c>
      <c r="AI61" s="1198"/>
      <c r="AJ61" s="1199">
        <v>9603</v>
      </c>
      <c r="AK61" s="1198"/>
      <c r="AL61" s="1199">
        <v>9195</v>
      </c>
      <c r="AM61" s="1198"/>
      <c r="AN61" s="1199">
        <v>8643</v>
      </c>
      <c r="AO61" s="1198"/>
      <c r="AP61" s="1199">
        <v>7509</v>
      </c>
      <c r="AQ61" s="1198"/>
      <c r="AR61" s="1199">
        <v>0</v>
      </c>
      <c r="AS61" s="1198"/>
      <c r="AT61" s="1199">
        <v>0</v>
      </c>
      <c r="AU61" s="1198"/>
      <c r="AV61" s="1199">
        <v>0</v>
      </c>
      <c r="AW61" s="1198"/>
      <c r="AX61" s="1199">
        <v>0</v>
      </c>
      <c r="AY61" s="1198"/>
      <c r="AZ61" s="1199">
        <v>0</v>
      </c>
      <c r="BA61" s="1198"/>
      <c r="BB61" s="1200">
        <v>0</v>
      </c>
      <c r="BC61" s="556"/>
      <c r="BD61" s="1193" t="s">
        <v>763</v>
      </c>
      <c r="BE61" s="1194"/>
      <c r="BF61" s="1194"/>
      <c r="BG61" s="1194"/>
      <c r="BH61" s="1194"/>
      <c r="BI61" s="1195"/>
      <c r="BJ61" s="1196"/>
      <c r="BK61" s="1197">
        <v>0</v>
      </c>
      <c r="BL61" s="1198"/>
      <c r="BM61" s="1199">
        <v>0</v>
      </c>
      <c r="BN61" s="1198"/>
      <c r="BO61" s="1199">
        <v>0</v>
      </c>
      <c r="BP61" s="1198"/>
      <c r="BQ61" s="1199">
        <v>0</v>
      </c>
      <c r="BR61" s="1198"/>
      <c r="BS61" s="1199">
        <v>0</v>
      </c>
      <c r="BT61" s="1198"/>
      <c r="BU61" s="1199">
        <v>0</v>
      </c>
      <c r="BV61" s="1198"/>
      <c r="BW61" s="1199">
        <v>0</v>
      </c>
      <c r="BX61" s="1198"/>
      <c r="BY61" s="1199">
        <v>0</v>
      </c>
      <c r="BZ61" s="1198"/>
      <c r="CA61" s="1199">
        <v>8566</v>
      </c>
      <c r="CB61" s="1198"/>
      <c r="CC61" s="1199">
        <v>8182</v>
      </c>
      <c r="CD61" s="1198"/>
      <c r="CE61" s="1199">
        <v>8649</v>
      </c>
      <c r="CF61" s="1198"/>
      <c r="CG61" s="1199">
        <v>7460</v>
      </c>
      <c r="CH61" s="1198"/>
      <c r="CI61" s="1199">
        <v>9247</v>
      </c>
      <c r="CJ61" s="1198"/>
      <c r="CK61" s="1199">
        <v>9263</v>
      </c>
      <c r="CL61" s="1198"/>
      <c r="CM61" s="1199">
        <v>9139</v>
      </c>
      <c r="CN61" s="1198"/>
      <c r="CO61" s="1199">
        <v>8732</v>
      </c>
      <c r="CP61" s="1198"/>
      <c r="CQ61" s="1199">
        <v>8294</v>
      </c>
      <c r="CR61" s="1198"/>
      <c r="CS61" s="1199">
        <v>7142</v>
      </c>
      <c r="CT61" s="1198"/>
      <c r="CU61" s="1199">
        <v>0</v>
      </c>
      <c r="CV61" s="1198"/>
      <c r="CW61" s="1199">
        <v>0</v>
      </c>
      <c r="CX61" s="1198"/>
      <c r="CY61" s="1199">
        <v>0</v>
      </c>
      <c r="CZ61" s="1198"/>
      <c r="DA61" s="1199">
        <v>0</v>
      </c>
      <c r="DB61" s="1198"/>
      <c r="DC61" s="1199">
        <v>0</v>
      </c>
      <c r="DD61" s="1198"/>
      <c r="DE61" s="1200">
        <v>0</v>
      </c>
      <c r="DF61" s="555"/>
      <c r="DG61" s="1193" t="s">
        <v>763</v>
      </c>
      <c r="DH61" s="1194"/>
      <c r="DI61" s="1194"/>
      <c r="DJ61" s="1194"/>
      <c r="DK61" s="1194"/>
      <c r="DL61" s="1195"/>
      <c r="DM61" s="1196"/>
      <c r="DN61" s="1197">
        <v>0</v>
      </c>
      <c r="DO61" s="1198"/>
      <c r="DP61" s="1199">
        <v>0</v>
      </c>
      <c r="DQ61" s="1198"/>
      <c r="DR61" s="1199">
        <v>0</v>
      </c>
      <c r="DS61" s="1198"/>
      <c r="DT61" s="1199">
        <v>0</v>
      </c>
      <c r="DU61" s="1198"/>
      <c r="DV61" s="1199">
        <v>0</v>
      </c>
      <c r="DW61" s="1198"/>
      <c r="DX61" s="1199">
        <v>0</v>
      </c>
      <c r="DY61" s="1198"/>
      <c r="DZ61" s="1199">
        <v>0</v>
      </c>
      <c r="EA61" s="1198"/>
      <c r="EB61" s="1199">
        <v>0</v>
      </c>
      <c r="EC61" s="1198"/>
      <c r="ED61" s="1199">
        <v>6898</v>
      </c>
      <c r="EE61" s="1198"/>
      <c r="EF61" s="1199">
        <v>6785</v>
      </c>
      <c r="EG61" s="1198"/>
      <c r="EH61" s="1199">
        <v>7405</v>
      </c>
      <c r="EI61" s="1198"/>
      <c r="EJ61" s="1199">
        <v>6277</v>
      </c>
      <c r="EK61" s="1198"/>
      <c r="EL61" s="1199">
        <v>7968</v>
      </c>
      <c r="EM61" s="1198"/>
      <c r="EN61" s="1199">
        <v>7888</v>
      </c>
      <c r="EO61" s="1198"/>
      <c r="EP61" s="1199">
        <v>7547</v>
      </c>
      <c r="EQ61" s="1198"/>
      <c r="ER61" s="1199">
        <v>6886</v>
      </c>
      <c r="ES61" s="1198"/>
      <c r="ET61" s="1199">
        <v>6211</v>
      </c>
      <c r="EU61" s="1198"/>
      <c r="EV61" s="1199">
        <v>4991</v>
      </c>
      <c r="EW61" s="1198"/>
      <c r="EX61" s="1199">
        <v>0</v>
      </c>
      <c r="EY61" s="1198"/>
      <c r="EZ61" s="1199">
        <v>0</v>
      </c>
      <c r="FA61" s="1198"/>
      <c r="FB61" s="1199">
        <v>0</v>
      </c>
      <c r="FC61" s="1198"/>
      <c r="FD61" s="1199">
        <v>0</v>
      </c>
      <c r="FE61" s="1198"/>
      <c r="FF61" s="1199">
        <v>0</v>
      </c>
      <c r="FG61" s="1198"/>
      <c r="FH61" s="1200">
        <v>0</v>
      </c>
      <c r="FI61" s="556"/>
      <c r="FJ61" s="1193" t="s">
        <v>763</v>
      </c>
      <c r="FK61" s="1194"/>
      <c r="FL61" s="1194"/>
      <c r="FM61" s="1194"/>
      <c r="FN61" s="1194"/>
      <c r="FO61" s="1194"/>
      <c r="FP61" s="1201"/>
      <c r="FQ61" s="1202"/>
      <c r="FR61" s="1203">
        <v>9947</v>
      </c>
      <c r="FS61" s="1204"/>
      <c r="FT61" s="1202"/>
      <c r="FU61" s="1205">
        <v>9833</v>
      </c>
      <c r="FV61" s="1264" t="s">
        <v>762</v>
      </c>
      <c r="FW61" s="1265"/>
      <c r="FX61" s="1266" t="s">
        <v>762</v>
      </c>
      <c r="FY61" s="1265"/>
      <c r="FZ61" s="1266" t="s">
        <v>761</v>
      </c>
      <c r="GA61" s="1265"/>
      <c r="GB61" s="1266" t="s">
        <v>762</v>
      </c>
      <c r="GC61" s="1265"/>
      <c r="GD61" s="1266" t="s">
        <v>762</v>
      </c>
      <c r="GE61" s="1268"/>
      <c r="GF61" s="681"/>
      <c r="GG61" s="476"/>
      <c r="GH61" s="476"/>
      <c r="GI61" s="476"/>
      <c r="GJ61" s="476"/>
      <c r="GK61" s="479"/>
      <c r="GL61" s="1117">
        <v>18</v>
      </c>
      <c r="GM61" s="1206">
        <v>9</v>
      </c>
      <c r="GN61" s="1095">
        <v>0.47</v>
      </c>
      <c r="GO61" s="1096">
        <v>2.2000000000000002</v>
      </c>
      <c r="GP61" s="1096">
        <v>8</v>
      </c>
      <c r="GQ61" s="1097">
        <v>10.199999999999999</v>
      </c>
      <c r="GR61" s="476"/>
      <c r="GS61" s="573"/>
      <c r="GT61" s="1259"/>
      <c r="GU61" s="682"/>
      <c r="GV61" s="682"/>
      <c r="GW61" s="682"/>
      <c r="GX61" s="682"/>
      <c r="GY61" s="572"/>
      <c r="GZ61" s="493"/>
      <c r="HA61" s="572"/>
      <c r="HB61" s="493"/>
    </row>
    <row r="62" spans="1:212" ht="20.100000000000001" customHeight="1" thickBot="1">
      <c r="A62" s="1208"/>
      <c r="B62" s="1208"/>
      <c r="C62" s="1208"/>
      <c r="D62" s="1208"/>
      <c r="E62" s="1208"/>
      <c r="F62" s="1208"/>
      <c r="G62" s="1208"/>
      <c r="H62" s="1208"/>
      <c r="I62" s="1208"/>
      <c r="J62" s="1208"/>
      <c r="K62" s="1208"/>
      <c r="L62" s="1208"/>
      <c r="M62" s="1208"/>
      <c r="N62" s="1208"/>
      <c r="O62" s="1208"/>
      <c r="P62" s="1208"/>
      <c r="Q62" s="1208"/>
      <c r="R62" s="1208"/>
      <c r="S62" s="1208"/>
      <c r="T62" s="1208"/>
      <c r="U62" s="1208"/>
      <c r="V62" s="1208"/>
      <c r="W62" s="1208"/>
      <c r="X62" s="1208"/>
      <c r="Y62" s="1208"/>
      <c r="Z62" s="1208"/>
      <c r="AA62" s="1208"/>
      <c r="AB62" s="1208"/>
      <c r="AC62" s="1208"/>
      <c r="AD62" s="1208"/>
      <c r="AE62" s="1208"/>
      <c r="AF62" s="1208"/>
      <c r="AG62" s="1208"/>
      <c r="AH62" s="1208"/>
      <c r="AI62" s="1208"/>
      <c r="AJ62" s="1208"/>
      <c r="AK62" s="1208"/>
      <c r="AL62" s="1208"/>
      <c r="AM62" s="1208"/>
      <c r="AN62" s="1208"/>
      <c r="AO62" s="1208"/>
      <c r="AP62" s="1208"/>
      <c r="AQ62" s="1208"/>
      <c r="AR62" s="1208"/>
      <c r="AS62" s="1208"/>
      <c r="AT62" s="1208"/>
      <c r="AU62" s="1208"/>
      <c r="AV62" s="1208"/>
      <c r="AW62" s="1208"/>
      <c r="AX62" s="1208"/>
      <c r="AY62" s="1208"/>
      <c r="AZ62" s="1208"/>
      <c r="BA62" s="1208"/>
      <c r="BB62" s="1208"/>
      <c r="BC62" s="386"/>
      <c r="BD62" s="1208"/>
      <c r="BE62" s="1208"/>
      <c r="BF62" s="1208"/>
      <c r="BG62" s="1208"/>
      <c r="BH62" s="1208"/>
      <c r="BI62" s="1208"/>
      <c r="BJ62" s="1208"/>
      <c r="BK62" s="1208"/>
      <c r="BL62" s="1208"/>
      <c r="BM62" s="1208"/>
      <c r="BN62" s="1208"/>
      <c r="BO62" s="1208"/>
      <c r="BP62" s="1208"/>
      <c r="BQ62" s="1208"/>
      <c r="BR62" s="1208"/>
      <c r="BS62" s="1208"/>
      <c r="BT62" s="1208"/>
      <c r="BU62" s="1208"/>
      <c r="BV62" s="1208"/>
      <c r="BW62" s="1208"/>
      <c r="BX62" s="1208"/>
      <c r="BY62" s="1208"/>
      <c r="BZ62" s="1208"/>
      <c r="CA62" s="1208"/>
      <c r="CB62" s="1208"/>
      <c r="CC62" s="1208"/>
      <c r="CD62" s="1208"/>
      <c r="CE62" s="1208"/>
      <c r="CF62" s="1208"/>
      <c r="CG62" s="1208"/>
      <c r="CH62" s="1208"/>
      <c r="CI62" s="1208"/>
      <c r="CJ62" s="1208"/>
      <c r="CK62" s="1208"/>
      <c r="CL62" s="1208"/>
      <c r="CM62" s="1208"/>
      <c r="CN62" s="1208"/>
      <c r="CO62" s="1208"/>
      <c r="CP62" s="1208"/>
      <c r="CQ62" s="1208"/>
      <c r="CR62" s="1208"/>
      <c r="CS62" s="1208"/>
      <c r="CT62" s="1208"/>
      <c r="CU62" s="1208"/>
      <c r="CV62" s="1208"/>
      <c r="CW62" s="1208"/>
      <c r="CX62" s="1208"/>
      <c r="CY62" s="1208"/>
      <c r="CZ62" s="1208"/>
      <c r="DA62" s="1208"/>
      <c r="DB62" s="1208"/>
      <c r="DC62" s="1208"/>
      <c r="DD62" s="1208"/>
      <c r="DE62" s="1208"/>
      <c r="DF62" s="386"/>
      <c r="DG62" s="1208"/>
      <c r="DH62" s="1208"/>
      <c r="DI62" s="1208"/>
      <c r="DJ62" s="1208"/>
      <c r="DK62" s="1208"/>
      <c r="DL62" s="1208"/>
      <c r="DM62" s="1208"/>
      <c r="DN62" s="1208"/>
      <c r="DO62" s="1208"/>
      <c r="DP62" s="1208"/>
      <c r="DQ62" s="1208"/>
      <c r="DR62" s="1208"/>
      <c r="DS62" s="1208"/>
      <c r="DT62" s="1208"/>
      <c r="DU62" s="1208"/>
      <c r="DV62" s="1208"/>
      <c r="DW62" s="1208"/>
      <c r="DX62" s="1208"/>
      <c r="DY62" s="1208"/>
      <c r="DZ62" s="1208"/>
      <c r="EA62" s="1208"/>
      <c r="EB62" s="1208"/>
      <c r="EC62" s="1208"/>
      <c r="ED62" s="1208"/>
      <c r="EE62" s="1208"/>
      <c r="EF62" s="1208"/>
      <c r="EG62" s="1208"/>
      <c r="EH62" s="1208"/>
      <c r="EI62" s="1208"/>
      <c r="EJ62" s="1208"/>
      <c r="EK62" s="1208"/>
      <c r="EL62" s="1208"/>
      <c r="EM62" s="1208"/>
      <c r="EN62" s="1208"/>
      <c r="EO62" s="1208"/>
      <c r="EP62" s="1208"/>
      <c r="EQ62" s="1208"/>
      <c r="ER62" s="1208"/>
      <c r="ES62" s="1208"/>
      <c r="ET62" s="1208"/>
      <c r="EU62" s="1208"/>
      <c r="EV62" s="1208"/>
      <c r="EW62" s="1208"/>
      <c r="EX62" s="1208"/>
      <c r="EY62" s="1208"/>
      <c r="EZ62" s="1208"/>
      <c r="FA62" s="1208"/>
      <c r="FB62" s="1208"/>
      <c r="FC62" s="1208"/>
      <c r="FD62" s="1208"/>
      <c r="FE62" s="1208"/>
      <c r="FF62" s="1208"/>
      <c r="FG62" s="1208"/>
      <c r="FH62" s="1208"/>
      <c r="FI62" s="386"/>
      <c r="FJ62" s="1208"/>
      <c r="FK62" s="1208"/>
      <c r="FL62" s="1208"/>
      <c r="FM62" s="1208"/>
      <c r="FN62" s="1208"/>
      <c r="FO62" s="1208"/>
      <c r="FP62" s="1208"/>
      <c r="FQ62" s="1208"/>
      <c r="FR62" s="1208"/>
      <c r="FS62" s="1208"/>
      <c r="FT62" s="1208"/>
      <c r="FU62" s="1208"/>
      <c r="FV62" s="1208"/>
      <c r="FW62" s="1208"/>
      <c r="FX62" s="1208"/>
      <c r="FY62" s="1208"/>
      <c r="FZ62" s="1208"/>
      <c r="GA62" s="1208"/>
      <c r="GB62" s="1208"/>
      <c r="GC62" s="1208"/>
      <c r="GD62" s="1208"/>
      <c r="GE62" s="1209"/>
      <c r="GF62" s="681"/>
      <c r="GG62" s="648"/>
      <c r="GH62" s="648"/>
      <c r="GI62" s="648"/>
      <c r="GJ62" s="573"/>
      <c r="GK62" s="479"/>
      <c r="GL62" s="476"/>
      <c r="GM62" s="479"/>
      <c r="GN62" s="476"/>
      <c r="GO62" s="479"/>
      <c r="GP62" s="479"/>
      <c r="GQ62" s="479"/>
      <c r="GR62" s="476"/>
      <c r="GS62" s="523"/>
      <c r="GT62" s="572"/>
      <c r="GU62" s="682"/>
      <c r="GV62" s="682"/>
      <c r="GW62" s="682"/>
      <c r="GX62" s="682"/>
      <c r="GY62" s="572"/>
      <c r="GZ62" s="493"/>
      <c r="HA62" s="572"/>
      <c r="HB62" s="493"/>
      <c r="HC62" s="1031"/>
    </row>
    <row r="63" spans="1:212" ht="20.100000000000001" customHeight="1">
      <c r="A63" s="1210" t="s">
        <v>326</v>
      </c>
      <c r="B63" s="1123"/>
      <c r="C63" s="1123"/>
      <c r="D63" s="1123"/>
      <c r="E63" s="1123"/>
      <c r="F63" s="1124"/>
      <c r="G63" s="1125">
        <v>1</v>
      </c>
      <c r="H63" s="1126"/>
      <c r="I63" s="1127">
        <v>2</v>
      </c>
      <c r="J63" s="1126"/>
      <c r="K63" s="1127">
        <v>3</v>
      </c>
      <c r="L63" s="1126"/>
      <c r="M63" s="1127">
        <v>4</v>
      </c>
      <c r="N63" s="1126"/>
      <c r="O63" s="1127">
        <v>5</v>
      </c>
      <c r="P63" s="1126"/>
      <c r="Q63" s="1127">
        <v>6</v>
      </c>
      <c r="R63" s="1126"/>
      <c r="S63" s="1127">
        <v>7</v>
      </c>
      <c r="T63" s="1126"/>
      <c r="U63" s="1127">
        <v>8</v>
      </c>
      <c r="V63" s="1126"/>
      <c r="W63" s="1127">
        <v>9</v>
      </c>
      <c r="X63" s="1126"/>
      <c r="Y63" s="1127">
        <v>10</v>
      </c>
      <c r="Z63" s="1126"/>
      <c r="AA63" s="1127">
        <v>11</v>
      </c>
      <c r="AB63" s="1126"/>
      <c r="AC63" s="1127">
        <v>12</v>
      </c>
      <c r="AD63" s="1126"/>
      <c r="AE63" s="1127">
        <v>13</v>
      </c>
      <c r="AF63" s="1126"/>
      <c r="AG63" s="1127">
        <v>14</v>
      </c>
      <c r="AH63" s="1126"/>
      <c r="AI63" s="1127">
        <v>15</v>
      </c>
      <c r="AJ63" s="1126"/>
      <c r="AK63" s="1127">
        <v>16</v>
      </c>
      <c r="AL63" s="1126"/>
      <c r="AM63" s="1127">
        <v>17</v>
      </c>
      <c r="AN63" s="1126"/>
      <c r="AO63" s="1127">
        <v>18</v>
      </c>
      <c r="AP63" s="1126"/>
      <c r="AQ63" s="1127">
        <v>19</v>
      </c>
      <c r="AR63" s="1126"/>
      <c r="AS63" s="1127">
        <v>20</v>
      </c>
      <c r="AT63" s="1126"/>
      <c r="AU63" s="1127">
        <v>21</v>
      </c>
      <c r="AV63" s="1126"/>
      <c r="AW63" s="1127">
        <v>22</v>
      </c>
      <c r="AX63" s="1126"/>
      <c r="AY63" s="1127">
        <v>23</v>
      </c>
      <c r="AZ63" s="1126"/>
      <c r="BA63" s="1127">
        <v>24</v>
      </c>
      <c r="BB63" s="1128"/>
      <c r="BC63" s="1031"/>
      <c r="BD63" s="1211" t="s">
        <v>327</v>
      </c>
      <c r="BE63" s="1212"/>
      <c r="BF63" s="1212"/>
      <c r="BG63" s="1212"/>
      <c r="BH63" s="1123"/>
      <c r="BI63" s="1124"/>
      <c r="BJ63" s="1125">
        <v>1</v>
      </c>
      <c r="BK63" s="1126"/>
      <c r="BL63" s="1127">
        <v>2</v>
      </c>
      <c r="BM63" s="1126"/>
      <c r="BN63" s="1127">
        <v>3</v>
      </c>
      <c r="BO63" s="1126"/>
      <c r="BP63" s="1127">
        <v>4</v>
      </c>
      <c r="BQ63" s="1126"/>
      <c r="BR63" s="1127">
        <v>5</v>
      </c>
      <c r="BS63" s="1126"/>
      <c r="BT63" s="1127">
        <v>6</v>
      </c>
      <c r="BU63" s="1126"/>
      <c r="BV63" s="1127">
        <v>7</v>
      </c>
      <c r="BW63" s="1126"/>
      <c r="BX63" s="1127">
        <v>8</v>
      </c>
      <c r="BY63" s="1126"/>
      <c r="BZ63" s="1127">
        <v>9</v>
      </c>
      <c r="CA63" s="1126"/>
      <c r="CB63" s="1127">
        <v>10</v>
      </c>
      <c r="CC63" s="1126"/>
      <c r="CD63" s="1127">
        <v>11</v>
      </c>
      <c r="CE63" s="1126"/>
      <c r="CF63" s="1127">
        <v>12</v>
      </c>
      <c r="CG63" s="1126"/>
      <c r="CH63" s="1127">
        <v>13</v>
      </c>
      <c r="CI63" s="1126"/>
      <c r="CJ63" s="1127">
        <v>14</v>
      </c>
      <c r="CK63" s="1126"/>
      <c r="CL63" s="1127">
        <v>15</v>
      </c>
      <c r="CM63" s="1126"/>
      <c r="CN63" s="1127">
        <v>16</v>
      </c>
      <c r="CO63" s="1126"/>
      <c r="CP63" s="1127">
        <v>17</v>
      </c>
      <c r="CQ63" s="1126"/>
      <c r="CR63" s="1127">
        <v>18</v>
      </c>
      <c r="CS63" s="1126"/>
      <c r="CT63" s="1127">
        <v>19</v>
      </c>
      <c r="CU63" s="1126"/>
      <c r="CV63" s="1127">
        <v>20</v>
      </c>
      <c r="CW63" s="1126"/>
      <c r="CX63" s="1127">
        <v>21</v>
      </c>
      <c r="CY63" s="1126"/>
      <c r="CZ63" s="1127">
        <v>22</v>
      </c>
      <c r="DA63" s="1126"/>
      <c r="DB63" s="1127">
        <v>23</v>
      </c>
      <c r="DC63" s="1126"/>
      <c r="DD63" s="1127">
        <v>24</v>
      </c>
      <c r="DE63" s="1128"/>
      <c r="DF63" s="1031"/>
      <c r="DG63" s="1210" t="s">
        <v>326</v>
      </c>
      <c r="DH63" s="1123"/>
      <c r="DI63" s="1123"/>
      <c r="DJ63" s="1123"/>
      <c r="DK63" s="1123"/>
      <c r="DL63" s="1124"/>
      <c r="DM63" s="1125">
        <v>1</v>
      </c>
      <c r="DN63" s="1126"/>
      <c r="DO63" s="1127">
        <v>2</v>
      </c>
      <c r="DP63" s="1126"/>
      <c r="DQ63" s="1127">
        <v>3</v>
      </c>
      <c r="DR63" s="1126"/>
      <c r="DS63" s="1127">
        <v>4</v>
      </c>
      <c r="DT63" s="1126"/>
      <c r="DU63" s="1127">
        <v>5</v>
      </c>
      <c r="DV63" s="1126"/>
      <c r="DW63" s="1127">
        <v>6</v>
      </c>
      <c r="DX63" s="1126"/>
      <c r="DY63" s="1127">
        <v>7</v>
      </c>
      <c r="DZ63" s="1126"/>
      <c r="EA63" s="1127">
        <v>8</v>
      </c>
      <c r="EB63" s="1126"/>
      <c r="EC63" s="1127">
        <v>9</v>
      </c>
      <c r="ED63" s="1126"/>
      <c r="EE63" s="1127">
        <v>10</v>
      </c>
      <c r="EF63" s="1126"/>
      <c r="EG63" s="1127">
        <v>11</v>
      </c>
      <c r="EH63" s="1126"/>
      <c r="EI63" s="1127">
        <v>12</v>
      </c>
      <c r="EJ63" s="1126"/>
      <c r="EK63" s="1127">
        <v>13</v>
      </c>
      <c r="EL63" s="1126"/>
      <c r="EM63" s="1127">
        <v>14</v>
      </c>
      <c r="EN63" s="1126"/>
      <c r="EO63" s="1127">
        <v>15</v>
      </c>
      <c r="EP63" s="1126"/>
      <c r="EQ63" s="1127">
        <v>16</v>
      </c>
      <c r="ER63" s="1126"/>
      <c r="ES63" s="1127">
        <v>17</v>
      </c>
      <c r="ET63" s="1126"/>
      <c r="EU63" s="1127">
        <v>18</v>
      </c>
      <c r="EV63" s="1126"/>
      <c r="EW63" s="1127">
        <v>19</v>
      </c>
      <c r="EX63" s="1126"/>
      <c r="EY63" s="1127">
        <v>20</v>
      </c>
      <c r="EZ63" s="1126"/>
      <c r="FA63" s="1127">
        <v>21</v>
      </c>
      <c r="FB63" s="1126"/>
      <c r="FC63" s="1127">
        <v>22</v>
      </c>
      <c r="FD63" s="1126"/>
      <c r="FE63" s="1127">
        <v>23</v>
      </c>
      <c r="FF63" s="1126"/>
      <c r="FG63" s="1127">
        <v>24</v>
      </c>
      <c r="FH63" s="1128"/>
      <c r="FI63" s="1031"/>
      <c r="FJ63" s="1210" t="s">
        <v>326</v>
      </c>
      <c r="FK63" s="1123"/>
      <c r="FL63" s="1123"/>
      <c r="FM63" s="1123"/>
      <c r="FN63" s="1123"/>
      <c r="FO63" s="1124"/>
      <c r="FP63" s="1129" t="s">
        <v>328</v>
      </c>
      <c r="FQ63" s="1130"/>
      <c r="FR63" s="1131"/>
      <c r="FS63" s="1132" t="s">
        <v>261</v>
      </c>
      <c r="FT63" s="1133"/>
      <c r="FU63" s="1134"/>
      <c r="FV63" s="1135" t="s">
        <v>320</v>
      </c>
      <c r="FW63" s="1136"/>
      <c r="FX63" s="1137" t="s">
        <v>321</v>
      </c>
      <c r="FY63" s="1138"/>
      <c r="FZ63" s="1139" t="s">
        <v>322</v>
      </c>
      <c r="GA63" s="1140"/>
      <c r="GB63" s="1141" t="s">
        <v>323</v>
      </c>
      <c r="GC63" s="1126"/>
      <c r="GD63" s="1141" t="s">
        <v>324</v>
      </c>
      <c r="GE63" s="1128"/>
      <c r="GF63" s="681"/>
      <c r="GG63" s="595"/>
      <c r="GH63" s="595"/>
      <c r="GI63" s="595"/>
      <c r="GJ63" s="1257"/>
      <c r="GK63" s="1257"/>
      <c r="GL63" s="571"/>
      <c r="GM63" s="493"/>
      <c r="GN63" s="571"/>
      <c r="GO63" s="493"/>
      <c r="GP63" s="493"/>
      <c r="GQ63" s="493"/>
      <c r="GR63" s="571"/>
      <c r="GS63" s="523"/>
      <c r="GT63" s="572"/>
      <c r="GU63" s="571"/>
      <c r="GV63" s="493"/>
      <c r="GW63" s="571"/>
      <c r="GX63" s="493"/>
      <c r="GY63" s="493"/>
      <c r="GZ63" s="493"/>
      <c r="HA63" s="572"/>
      <c r="HB63" s="493"/>
      <c r="HC63" s="1045"/>
    </row>
    <row r="64" spans="1:212" ht="20.100000000000001" customHeight="1">
      <c r="A64" s="1213"/>
      <c r="B64" s="1144"/>
      <c r="C64" s="1144"/>
      <c r="D64" s="1144"/>
      <c r="E64" s="1144"/>
      <c r="F64" s="1145"/>
      <c r="G64" s="1146"/>
      <c r="H64" s="1147" t="s">
        <v>329</v>
      </c>
      <c r="I64" s="1148"/>
      <c r="J64" s="1147" t="s">
        <v>329</v>
      </c>
      <c r="K64" s="1148"/>
      <c r="L64" s="1147" t="s">
        <v>329</v>
      </c>
      <c r="M64" s="1148"/>
      <c r="N64" s="1147" t="s">
        <v>329</v>
      </c>
      <c r="O64" s="1148"/>
      <c r="P64" s="1147" t="s">
        <v>329</v>
      </c>
      <c r="Q64" s="1148"/>
      <c r="R64" s="1147" t="s">
        <v>329</v>
      </c>
      <c r="S64" s="1148"/>
      <c r="T64" s="1147" t="s">
        <v>329</v>
      </c>
      <c r="U64" s="1148"/>
      <c r="V64" s="1147" t="s">
        <v>329</v>
      </c>
      <c r="W64" s="1148"/>
      <c r="X64" s="1147" t="s">
        <v>329</v>
      </c>
      <c r="Y64" s="1148"/>
      <c r="Z64" s="1147" t="s">
        <v>329</v>
      </c>
      <c r="AA64" s="1148"/>
      <c r="AB64" s="1147" t="s">
        <v>329</v>
      </c>
      <c r="AC64" s="1148"/>
      <c r="AD64" s="1147" t="s">
        <v>329</v>
      </c>
      <c r="AE64" s="1148"/>
      <c r="AF64" s="1147" t="s">
        <v>329</v>
      </c>
      <c r="AG64" s="1148"/>
      <c r="AH64" s="1147" t="s">
        <v>329</v>
      </c>
      <c r="AI64" s="1148"/>
      <c r="AJ64" s="1147" t="s">
        <v>329</v>
      </c>
      <c r="AK64" s="1148"/>
      <c r="AL64" s="1147" t="s">
        <v>329</v>
      </c>
      <c r="AM64" s="1148"/>
      <c r="AN64" s="1147" t="s">
        <v>329</v>
      </c>
      <c r="AO64" s="1148"/>
      <c r="AP64" s="1147" t="s">
        <v>329</v>
      </c>
      <c r="AQ64" s="1148"/>
      <c r="AR64" s="1147" t="s">
        <v>329</v>
      </c>
      <c r="AS64" s="1148"/>
      <c r="AT64" s="1147" t="s">
        <v>329</v>
      </c>
      <c r="AU64" s="1148"/>
      <c r="AV64" s="1147" t="s">
        <v>329</v>
      </c>
      <c r="AW64" s="1148"/>
      <c r="AX64" s="1147" t="s">
        <v>329</v>
      </c>
      <c r="AY64" s="1148"/>
      <c r="AZ64" s="1147" t="s">
        <v>329</v>
      </c>
      <c r="BA64" s="1148"/>
      <c r="BB64" s="1150" t="s">
        <v>329</v>
      </c>
      <c r="BC64" s="1045"/>
      <c r="BD64" s="1214"/>
      <c r="BE64" s="1215"/>
      <c r="BF64" s="1215"/>
      <c r="BG64" s="1215"/>
      <c r="BH64" s="1144"/>
      <c r="BI64" s="1145"/>
      <c r="BJ64" s="1146"/>
      <c r="BK64" s="1147" t="s">
        <v>329</v>
      </c>
      <c r="BL64" s="1148"/>
      <c r="BM64" s="1147" t="s">
        <v>329</v>
      </c>
      <c r="BN64" s="1148"/>
      <c r="BO64" s="1147" t="s">
        <v>329</v>
      </c>
      <c r="BP64" s="1148"/>
      <c r="BQ64" s="1147" t="s">
        <v>329</v>
      </c>
      <c r="BR64" s="1148"/>
      <c r="BS64" s="1147" t="s">
        <v>329</v>
      </c>
      <c r="BT64" s="1148"/>
      <c r="BU64" s="1147" t="s">
        <v>329</v>
      </c>
      <c r="BV64" s="1148"/>
      <c r="BW64" s="1147" t="s">
        <v>329</v>
      </c>
      <c r="BX64" s="1148"/>
      <c r="BY64" s="1147" t="s">
        <v>329</v>
      </c>
      <c r="BZ64" s="1148"/>
      <c r="CA64" s="1147" t="s">
        <v>329</v>
      </c>
      <c r="CB64" s="1148"/>
      <c r="CC64" s="1147" t="s">
        <v>329</v>
      </c>
      <c r="CD64" s="1148"/>
      <c r="CE64" s="1147" t="s">
        <v>329</v>
      </c>
      <c r="CF64" s="1148"/>
      <c r="CG64" s="1147" t="s">
        <v>329</v>
      </c>
      <c r="CH64" s="1148"/>
      <c r="CI64" s="1147" t="s">
        <v>329</v>
      </c>
      <c r="CJ64" s="1148"/>
      <c r="CK64" s="1147" t="s">
        <v>329</v>
      </c>
      <c r="CL64" s="1148"/>
      <c r="CM64" s="1147" t="s">
        <v>329</v>
      </c>
      <c r="CN64" s="1148"/>
      <c r="CO64" s="1147" t="s">
        <v>329</v>
      </c>
      <c r="CP64" s="1148"/>
      <c r="CQ64" s="1147" t="s">
        <v>329</v>
      </c>
      <c r="CR64" s="1148"/>
      <c r="CS64" s="1147" t="s">
        <v>329</v>
      </c>
      <c r="CT64" s="1148"/>
      <c r="CU64" s="1147" t="s">
        <v>329</v>
      </c>
      <c r="CV64" s="1148"/>
      <c r="CW64" s="1147" t="s">
        <v>329</v>
      </c>
      <c r="CX64" s="1148"/>
      <c r="CY64" s="1147" t="s">
        <v>329</v>
      </c>
      <c r="CZ64" s="1148"/>
      <c r="DA64" s="1147" t="s">
        <v>329</v>
      </c>
      <c r="DB64" s="1148"/>
      <c r="DC64" s="1147" t="s">
        <v>329</v>
      </c>
      <c r="DD64" s="1148"/>
      <c r="DE64" s="1150" t="s">
        <v>329</v>
      </c>
      <c r="DF64" s="1045"/>
      <c r="DG64" s="1213"/>
      <c r="DH64" s="1144"/>
      <c r="DI64" s="1144"/>
      <c r="DJ64" s="1144"/>
      <c r="DK64" s="1144"/>
      <c r="DL64" s="1145"/>
      <c r="DM64" s="1146"/>
      <c r="DN64" s="1147" t="s">
        <v>329</v>
      </c>
      <c r="DO64" s="1148"/>
      <c r="DP64" s="1147" t="s">
        <v>329</v>
      </c>
      <c r="DQ64" s="1148"/>
      <c r="DR64" s="1147" t="s">
        <v>329</v>
      </c>
      <c r="DS64" s="1148"/>
      <c r="DT64" s="1147" t="s">
        <v>329</v>
      </c>
      <c r="DU64" s="1148"/>
      <c r="DV64" s="1147" t="s">
        <v>329</v>
      </c>
      <c r="DW64" s="1148"/>
      <c r="DX64" s="1147" t="s">
        <v>329</v>
      </c>
      <c r="DY64" s="1148"/>
      <c r="DZ64" s="1147" t="s">
        <v>329</v>
      </c>
      <c r="EA64" s="1148"/>
      <c r="EB64" s="1147" t="s">
        <v>329</v>
      </c>
      <c r="EC64" s="1148"/>
      <c r="ED64" s="1147" t="s">
        <v>329</v>
      </c>
      <c r="EE64" s="1148"/>
      <c r="EF64" s="1147" t="s">
        <v>329</v>
      </c>
      <c r="EG64" s="1148"/>
      <c r="EH64" s="1147" t="s">
        <v>329</v>
      </c>
      <c r="EI64" s="1148"/>
      <c r="EJ64" s="1147" t="s">
        <v>329</v>
      </c>
      <c r="EK64" s="1148"/>
      <c r="EL64" s="1147" t="s">
        <v>329</v>
      </c>
      <c r="EM64" s="1148"/>
      <c r="EN64" s="1147" t="s">
        <v>329</v>
      </c>
      <c r="EO64" s="1148"/>
      <c r="EP64" s="1147" t="s">
        <v>329</v>
      </c>
      <c r="EQ64" s="1148"/>
      <c r="ER64" s="1147" t="s">
        <v>329</v>
      </c>
      <c r="ES64" s="1148"/>
      <c r="ET64" s="1147" t="s">
        <v>329</v>
      </c>
      <c r="EU64" s="1148"/>
      <c r="EV64" s="1147" t="s">
        <v>329</v>
      </c>
      <c r="EW64" s="1148"/>
      <c r="EX64" s="1147" t="s">
        <v>329</v>
      </c>
      <c r="EY64" s="1148"/>
      <c r="EZ64" s="1147" t="s">
        <v>329</v>
      </c>
      <c r="FA64" s="1148"/>
      <c r="FB64" s="1147" t="s">
        <v>329</v>
      </c>
      <c r="FC64" s="1148"/>
      <c r="FD64" s="1147" t="s">
        <v>329</v>
      </c>
      <c r="FE64" s="1148"/>
      <c r="FF64" s="1147" t="s">
        <v>329</v>
      </c>
      <c r="FG64" s="1148"/>
      <c r="FH64" s="1150" t="s">
        <v>329</v>
      </c>
      <c r="FI64" s="1045"/>
      <c r="FJ64" s="1213"/>
      <c r="FK64" s="1144"/>
      <c r="FL64" s="1144"/>
      <c r="FM64" s="1144"/>
      <c r="FN64" s="1144"/>
      <c r="FO64" s="1145"/>
      <c r="FP64" s="1151" t="s">
        <v>272</v>
      </c>
      <c r="FQ64" s="1149" t="s">
        <v>330</v>
      </c>
      <c r="FR64" s="1147" t="s">
        <v>329</v>
      </c>
      <c r="FS64" s="1152" t="s">
        <v>272</v>
      </c>
      <c r="FT64" s="1149" t="s">
        <v>330</v>
      </c>
      <c r="FU64" s="1153" t="s">
        <v>329</v>
      </c>
      <c r="FV64" s="1154" t="s">
        <v>272</v>
      </c>
      <c r="FW64" s="1147" t="s">
        <v>329</v>
      </c>
      <c r="FX64" s="1152" t="s">
        <v>272</v>
      </c>
      <c r="FY64" s="1147" t="s">
        <v>329</v>
      </c>
      <c r="FZ64" s="1152" t="s">
        <v>272</v>
      </c>
      <c r="GA64" s="1147" t="s">
        <v>329</v>
      </c>
      <c r="GB64" s="1152" t="s">
        <v>272</v>
      </c>
      <c r="GC64" s="1147" t="s">
        <v>329</v>
      </c>
      <c r="GD64" s="1152" t="s">
        <v>272</v>
      </c>
      <c r="GE64" s="1150" t="s">
        <v>329</v>
      </c>
      <c r="GF64" s="681"/>
      <c r="GG64" s="1186"/>
      <c r="GH64" s="1186"/>
      <c r="GI64" s="1186"/>
      <c r="GJ64" s="493"/>
      <c r="GK64" s="493"/>
      <c r="GL64" s="571"/>
      <c r="GM64" s="493"/>
      <c r="GN64" s="571"/>
      <c r="GO64" s="493"/>
      <c r="GP64" s="493"/>
      <c r="GQ64" s="493"/>
      <c r="GR64" s="571"/>
      <c r="GS64" s="406"/>
      <c r="GT64" s="1259"/>
      <c r="GU64" s="571"/>
      <c r="GV64" s="493"/>
      <c r="GW64" s="571"/>
      <c r="GX64" s="493"/>
      <c r="GY64" s="493"/>
      <c r="GZ64" s="572"/>
      <c r="HA64" s="572"/>
      <c r="HB64" s="572"/>
      <c r="HC64" s="555"/>
    </row>
    <row r="65" spans="1:211" ht="20.100000000000001" customHeight="1">
      <c r="A65" s="1155"/>
      <c r="B65" s="1156"/>
      <c r="C65" s="1156"/>
      <c r="D65" s="1216"/>
      <c r="E65" s="1217"/>
      <c r="F65" s="1218"/>
      <c r="G65" s="1219"/>
      <c r="H65" s="1160"/>
      <c r="I65" s="1220"/>
      <c r="J65" s="1221"/>
      <c r="K65" s="1222"/>
      <c r="L65" s="1221"/>
      <c r="M65" s="1222"/>
      <c r="N65" s="1221"/>
      <c r="O65" s="1222"/>
      <c r="P65" s="1221"/>
      <c r="Q65" s="1222"/>
      <c r="R65" s="1221"/>
      <c r="S65" s="1222"/>
      <c r="T65" s="1221"/>
      <c r="U65" s="1222"/>
      <c r="V65" s="1221"/>
      <c r="W65" s="1222"/>
      <c r="X65" s="1221">
        <v>0</v>
      </c>
      <c r="Y65" s="1222"/>
      <c r="Z65" s="1221">
        <v>0</v>
      </c>
      <c r="AA65" s="1222"/>
      <c r="AB65" s="1221">
        <v>0</v>
      </c>
      <c r="AC65" s="1222"/>
      <c r="AD65" s="1221">
        <v>0</v>
      </c>
      <c r="AE65" s="1222"/>
      <c r="AF65" s="1221">
        <v>0</v>
      </c>
      <c r="AG65" s="1222"/>
      <c r="AH65" s="1221">
        <v>0</v>
      </c>
      <c r="AI65" s="1222"/>
      <c r="AJ65" s="1221">
        <v>0</v>
      </c>
      <c r="AK65" s="1222"/>
      <c r="AL65" s="1221">
        <v>0</v>
      </c>
      <c r="AM65" s="1222"/>
      <c r="AN65" s="1221">
        <v>0</v>
      </c>
      <c r="AO65" s="1222"/>
      <c r="AP65" s="1221">
        <v>0</v>
      </c>
      <c r="AQ65" s="1222"/>
      <c r="AR65" s="1221"/>
      <c r="AS65" s="1222"/>
      <c r="AT65" s="1221"/>
      <c r="AU65" s="1222"/>
      <c r="AV65" s="1221"/>
      <c r="AW65" s="1222"/>
      <c r="AX65" s="1221"/>
      <c r="AY65" s="1222"/>
      <c r="AZ65" s="1221"/>
      <c r="BA65" s="1222"/>
      <c r="BB65" s="554"/>
      <c r="BC65" s="556"/>
      <c r="BD65" s="1155"/>
      <c r="BE65" s="1156"/>
      <c r="BF65" s="1156"/>
      <c r="BG65" s="1216"/>
      <c r="BH65" s="1217"/>
      <c r="BI65" s="1218"/>
      <c r="BJ65" s="1219"/>
      <c r="BK65" s="1160"/>
      <c r="BL65" s="1220"/>
      <c r="BM65" s="1221"/>
      <c r="BN65" s="1222"/>
      <c r="BO65" s="1221"/>
      <c r="BP65" s="1222"/>
      <c r="BQ65" s="1221"/>
      <c r="BR65" s="1222"/>
      <c r="BS65" s="1221"/>
      <c r="BT65" s="1222"/>
      <c r="BU65" s="1221"/>
      <c r="BV65" s="1222"/>
      <c r="BW65" s="1221"/>
      <c r="BX65" s="1222"/>
      <c r="BY65" s="1221"/>
      <c r="BZ65" s="1222"/>
      <c r="CA65" s="1221">
        <v>0</v>
      </c>
      <c r="CB65" s="1222"/>
      <c r="CC65" s="1221">
        <v>0</v>
      </c>
      <c r="CD65" s="1222"/>
      <c r="CE65" s="1221">
        <v>0</v>
      </c>
      <c r="CF65" s="1222"/>
      <c r="CG65" s="1221">
        <v>0</v>
      </c>
      <c r="CH65" s="1222"/>
      <c r="CI65" s="1221">
        <v>0</v>
      </c>
      <c r="CJ65" s="1222"/>
      <c r="CK65" s="1221">
        <v>0</v>
      </c>
      <c r="CL65" s="1222"/>
      <c r="CM65" s="1221">
        <v>0</v>
      </c>
      <c r="CN65" s="1222"/>
      <c r="CO65" s="1221">
        <v>0</v>
      </c>
      <c r="CP65" s="1222"/>
      <c r="CQ65" s="1221">
        <v>0</v>
      </c>
      <c r="CR65" s="1222"/>
      <c r="CS65" s="1221">
        <v>0</v>
      </c>
      <c r="CT65" s="1222"/>
      <c r="CU65" s="1221"/>
      <c r="CV65" s="1222"/>
      <c r="CW65" s="1221"/>
      <c r="CX65" s="1222"/>
      <c r="CY65" s="1221"/>
      <c r="CZ65" s="1222"/>
      <c r="DA65" s="1221"/>
      <c r="DB65" s="1222"/>
      <c r="DC65" s="1221"/>
      <c r="DD65" s="1222"/>
      <c r="DE65" s="554"/>
      <c r="DF65" s="555"/>
      <c r="DG65" s="1155"/>
      <c r="DH65" s="1156"/>
      <c r="DI65" s="1156"/>
      <c r="DJ65" s="1216"/>
      <c r="DK65" s="1217"/>
      <c r="DL65" s="1218"/>
      <c r="DM65" s="1219"/>
      <c r="DN65" s="1160"/>
      <c r="DO65" s="1220"/>
      <c r="DP65" s="1221"/>
      <c r="DQ65" s="1222"/>
      <c r="DR65" s="1221"/>
      <c r="DS65" s="1222"/>
      <c r="DT65" s="1221"/>
      <c r="DU65" s="1222"/>
      <c r="DV65" s="1221"/>
      <c r="DW65" s="1222"/>
      <c r="DX65" s="1221"/>
      <c r="DY65" s="1222"/>
      <c r="DZ65" s="1221"/>
      <c r="EA65" s="1222"/>
      <c r="EB65" s="1221"/>
      <c r="EC65" s="1222"/>
      <c r="ED65" s="1221">
        <v>0</v>
      </c>
      <c r="EE65" s="1222"/>
      <c r="EF65" s="1221">
        <v>0</v>
      </c>
      <c r="EG65" s="1222"/>
      <c r="EH65" s="1221">
        <v>0</v>
      </c>
      <c r="EI65" s="1222"/>
      <c r="EJ65" s="1221">
        <v>0</v>
      </c>
      <c r="EK65" s="1222"/>
      <c r="EL65" s="1221">
        <v>0</v>
      </c>
      <c r="EM65" s="1222"/>
      <c r="EN65" s="1221">
        <v>0</v>
      </c>
      <c r="EO65" s="1222"/>
      <c r="EP65" s="1221">
        <v>0</v>
      </c>
      <c r="EQ65" s="1222"/>
      <c r="ER65" s="1221">
        <v>0</v>
      </c>
      <c r="ES65" s="1222"/>
      <c r="ET65" s="1221">
        <v>0</v>
      </c>
      <c r="EU65" s="1222"/>
      <c r="EV65" s="1221">
        <v>0</v>
      </c>
      <c r="EW65" s="1222"/>
      <c r="EX65" s="1221"/>
      <c r="EY65" s="1222"/>
      <c r="EZ65" s="1221"/>
      <c r="FA65" s="1222"/>
      <c r="FB65" s="1221"/>
      <c r="FC65" s="1222"/>
      <c r="FD65" s="1221"/>
      <c r="FE65" s="1222"/>
      <c r="FF65" s="1221"/>
      <c r="FG65" s="1222"/>
      <c r="FH65" s="554"/>
      <c r="FI65" s="556"/>
      <c r="FJ65" s="1155"/>
      <c r="FK65" s="1156"/>
      <c r="FL65" s="1223"/>
      <c r="FM65" s="1223"/>
      <c r="FN65" s="1223"/>
      <c r="FO65" s="1218"/>
      <c r="FP65" s="1162"/>
      <c r="FQ65" s="1220"/>
      <c r="FR65" s="1160">
        <v>0</v>
      </c>
      <c r="FS65" s="1224"/>
      <c r="FT65" s="1220"/>
      <c r="FU65" s="1165">
        <v>0</v>
      </c>
      <c r="FV65" s="1224"/>
      <c r="FW65" s="1225">
        <v>0</v>
      </c>
      <c r="FX65" s="1164"/>
      <c r="FY65" s="1225">
        <v>0</v>
      </c>
      <c r="FZ65" s="1164"/>
      <c r="GA65" s="1225">
        <v>0</v>
      </c>
      <c r="GB65" s="1164"/>
      <c r="GC65" s="1225">
        <v>0</v>
      </c>
      <c r="GD65" s="1226"/>
      <c r="GE65" s="1227"/>
      <c r="GF65" s="681"/>
      <c r="GG65" s="595"/>
      <c r="GH65" s="595"/>
      <c r="GI65" s="595"/>
      <c r="GJ65" s="388"/>
      <c r="GK65" s="522"/>
      <c r="GL65" s="522"/>
      <c r="GM65" s="522"/>
      <c r="GN65" s="522"/>
      <c r="GO65" s="522"/>
      <c r="GP65" s="522"/>
      <c r="GQ65" s="522"/>
      <c r="GR65" s="522"/>
      <c r="GS65" s="406"/>
      <c r="GT65" s="1259"/>
      <c r="GU65" s="493"/>
      <c r="GV65" s="493"/>
      <c r="GW65" s="493"/>
      <c r="GX65" s="493"/>
      <c r="GY65" s="493"/>
      <c r="GZ65" s="572"/>
      <c r="HA65" s="572"/>
      <c r="HB65" s="572"/>
      <c r="HC65" s="555"/>
    </row>
    <row r="66" spans="1:211" ht="20.100000000000001" customHeight="1">
      <c r="A66" s="1193"/>
      <c r="B66" s="1194"/>
      <c r="C66" s="1194"/>
      <c r="D66" s="1194"/>
      <c r="E66" s="1194"/>
      <c r="F66" s="1195"/>
      <c r="G66" s="1228"/>
      <c r="H66" s="1229"/>
      <c r="I66" s="1202"/>
      <c r="J66" s="1230"/>
      <c r="K66" s="1231"/>
      <c r="L66" s="1230"/>
      <c r="M66" s="1231"/>
      <c r="N66" s="1230"/>
      <c r="O66" s="1231"/>
      <c r="P66" s="1230"/>
      <c r="Q66" s="1231"/>
      <c r="R66" s="1230"/>
      <c r="S66" s="1231"/>
      <c r="T66" s="1230"/>
      <c r="U66" s="1231"/>
      <c r="V66" s="1230"/>
      <c r="W66" s="1231"/>
      <c r="X66" s="1230"/>
      <c r="Y66" s="1231"/>
      <c r="Z66" s="1230"/>
      <c r="AA66" s="1231"/>
      <c r="AB66" s="1230"/>
      <c r="AC66" s="1231"/>
      <c r="AD66" s="1230"/>
      <c r="AE66" s="1231"/>
      <c r="AF66" s="1230"/>
      <c r="AG66" s="1231"/>
      <c r="AH66" s="1230"/>
      <c r="AI66" s="1231"/>
      <c r="AJ66" s="1230"/>
      <c r="AK66" s="1231"/>
      <c r="AL66" s="1230"/>
      <c r="AM66" s="1231"/>
      <c r="AN66" s="1230"/>
      <c r="AO66" s="1231"/>
      <c r="AP66" s="1230"/>
      <c r="AQ66" s="1231"/>
      <c r="AR66" s="1230"/>
      <c r="AS66" s="1231"/>
      <c r="AT66" s="1230"/>
      <c r="AU66" s="1231"/>
      <c r="AV66" s="1230"/>
      <c r="AW66" s="1231"/>
      <c r="AX66" s="1230"/>
      <c r="AY66" s="1231"/>
      <c r="AZ66" s="1230"/>
      <c r="BA66" s="1231"/>
      <c r="BB66" s="1232"/>
      <c r="BC66" s="556"/>
      <c r="BD66" s="1193"/>
      <c r="BE66" s="1194"/>
      <c r="BF66" s="1194"/>
      <c r="BG66" s="1194"/>
      <c r="BH66" s="1194"/>
      <c r="BI66" s="1195"/>
      <c r="BJ66" s="1228"/>
      <c r="BK66" s="1229"/>
      <c r="BL66" s="1202"/>
      <c r="BM66" s="1230"/>
      <c r="BN66" s="1231"/>
      <c r="BO66" s="1230"/>
      <c r="BP66" s="1231"/>
      <c r="BQ66" s="1230"/>
      <c r="BR66" s="1231"/>
      <c r="BS66" s="1230"/>
      <c r="BT66" s="1231"/>
      <c r="BU66" s="1230"/>
      <c r="BV66" s="1231"/>
      <c r="BW66" s="1230"/>
      <c r="BX66" s="1231"/>
      <c r="BY66" s="1230"/>
      <c r="BZ66" s="1231"/>
      <c r="CA66" s="1230"/>
      <c r="CB66" s="1231"/>
      <c r="CC66" s="1230"/>
      <c r="CD66" s="1231"/>
      <c r="CE66" s="1230"/>
      <c r="CF66" s="1231"/>
      <c r="CG66" s="1230"/>
      <c r="CH66" s="1231"/>
      <c r="CI66" s="1230"/>
      <c r="CJ66" s="1231"/>
      <c r="CK66" s="1230"/>
      <c r="CL66" s="1231"/>
      <c r="CM66" s="1230"/>
      <c r="CN66" s="1231"/>
      <c r="CO66" s="1230"/>
      <c r="CP66" s="1231"/>
      <c r="CQ66" s="1230"/>
      <c r="CR66" s="1231"/>
      <c r="CS66" s="1230"/>
      <c r="CT66" s="1231"/>
      <c r="CU66" s="1230"/>
      <c r="CV66" s="1231"/>
      <c r="CW66" s="1230"/>
      <c r="CX66" s="1231"/>
      <c r="CY66" s="1230"/>
      <c r="CZ66" s="1231"/>
      <c r="DA66" s="1230"/>
      <c r="DB66" s="1231"/>
      <c r="DC66" s="1230"/>
      <c r="DD66" s="1231"/>
      <c r="DE66" s="1232"/>
      <c r="DF66" s="555"/>
      <c r="DG66" s="1193"/>
      <c r="DH66" s="1194"/>
      <c r="DI66" s="1194"/>
      <c r="DJ66" s="1194"/>
      <c r="DK66" s="1194"/>
      <c r="DL66" s="1195"/>
      <c r="DM66" s="1228"/>
      <c r="DN66" s="1229"/>
      <c r="DO66" s="1202"/>
      <c r="DP66" s="1230"/>
      <c r="DQ66" s="1231"/>
      <c r="DR66" s="1230"/>
      <c r="DS66" s="1231"/>
      <c r="DT66" s="1230"/>
      <c r="DU66" s="1231"/>
      <c r="DV66" s="1230"/>
      <c r="DW66" s="1231"/>
      <c r="DX66" s="1230"/>
      <c r="DY66" s="1231"/>
      <c r="DZ66" s="1230"/>
      <c r="EA66" s="1231"/>
      <c r="EB66" s="1230"/>
      <c r="EC66" s="1231"/>
      <c r="ED66" s="1230"/>
      <c r="EE66" s="1231"/>
      <c r="EF66" s="1230"/>
      <c r="EG66" s="1231"/>
      <c r="EH66" s="1230"/>
      <c r="EI66" s="1231"/>
      <c r="EJ66" s="1230"/>
      <c r="EK66" s="1231"/>
      <c r="EL66" s="1230"/>
      <c r="EM66" s="1231"/>
      <c r="EN66" s="1230"/>
      <c r="EO66" s="1231"/>
      <c r="EP66" s="1230"/>
      <c r="EQ66" s="1231"/>
      <c r="ER66" s="1230"/>
      <c r="ES66" s="1231"/>
      <c r="ET66" s="1230"/>
      <c r="EU66" s="1231"/>
      <c r="EV66" s="1230"/>
      <c r="EW66" s="1231"/>
      <c r="EX66" s="1230"/>
      <c r="EY66" s="1231"/>
      <c r="EZ66" s="1230"/>
      <c r="FA66" s="1231"/>
      <c r="FB66" s="1230"/>
      <c r="FC66" s="1231"/>
      <c r="FD66" s="1230"/>
      <c r="FE66" s="1231"/>
      <c r="FF66" s="1230"/>
      <c r="FG66" s="1231"/>
      <c r="FH66" s="1232"/>
      <c r="FI66" s="556"/>
      <c r="FJ66" s="1193" t="s">
        <v>876</v>
      </c>
      <c r="FK66" s="1194"/>
      <c r="FL66" s="1233"/>
      <c r="FM66" s="1234" t="s">
        <v>766</v>
      </c>
      <c r="FN66" s="1235"/>
      <c r="FO66" s="1195"/>
      <c r="FP66" s="1201">
        <v>9</v>
      </c>
      <c r="FQ66" s="1236">
        <v>4.3</v>
      </c>
      <c r="FR66" s="1237">
        <v>1.9</v>
      </c>
      <c r="FS66" s="1204">
        <v>9</v>
      </c>
      <c r="FT66" s="1236">
        <v>3.6</v>
      </c>
      <c r="FU66" s="1238">
        <v>1.6</v>
      </c>
      <c r="FV66" s="1239"/>
      <c r="FW66" s="1240"/>
      <c r="FX66" s="1240"/>
      <c r="FY66" s="1240"/>
      <c r="FZ66" s="1240"/>
      <c r="GA66" s="1240"/>
      <c r="GB66" s="1240"/>
      <c r="GC66" s="1241"/>
      <c r="GD66" s="1204"/>
      <c r="GE66" s="1242">
        <v>1.9</v>
      </c>
      <c r="GF66" s="681"/>
      <c r="GG66" s="388"/>
      <c r="GH66" s="388"/>
      <c r="GI66" s="388"/>
      <c r="GJ66" s="476"/>
      <c r="GK66" s="522"/>
      <c r="GL66" s="523"/>
      <c r="GM66" s="522"/>
      <c r="GN66" s="523"/>
      <c r="GO66" s="522"/>
      <c r="GP66" s="522"/>
      <c r="GQ66" s="522"/>
      <c r="GR66" s="523"/>
      <c r="GT66" s="1259"/>
      <c r="GU66" s="572"/>
      <c r="GV66" s="572"/>
      <c r="GW66" s="572"/>
      <c r="GX66" s="572"/>
      <c r="GY66" s="572"/>
      <c r="GZ66" s="493"/>
      <c r="HA66" s="493"/>
      <c r="HB66" s="493"/>
      <c r="HC66" s="403"/>
    </row>
    <row r="67" spans="1:211" ht="20.100000000000001" customHeight="1" thickBot="1">
      <c r="BC67" s="386"/>
      <c r="DF67" s="386"/>
      <c r="FI67" s="386"/>
      <c r="GD67" s="681"/>
      <c r="GE67" s="792"/>
      <c r="GF67" s="681"/>
      <c r="GG67" s="476"/>
      <c r="GH67" s="476"/>
      <c r="GI67" s="476"/>
      <c r="GJ67" s="388"/>
      <c r="GT67" s="682"/>
      <c r="GU67" s="493"/>
      <c r="GV67" s="493"/>
      <c r="GW67" s="493"/>
      <c r="GX67" s="493"/>
      <c r="GY67" s="493"/>
      <c r="GZ67" s="572"/>
      <c r="HA67" s="571"/>
      <c r="HB67" s="572"/>
      <c r="HC67" s="403"/>
    </row>
    <row r="68" spans="1:211" ht="20.100000000000001" customHeight="1">
      <c r="A68" s="1244" t="s">
        <v>331</v>
      </c>
      <c r="B68" s="1245"/>
      <c r="C68" s="1245"/>
      <c r="D68" s="1245"/>
      <c r="E68" s="818"/>
      <c r="F68" s="818"/>
      <c r="G68" s="1246" t="s">
        <v>618</v>
      </c>
      <c r="H68" s="1247"/>
      <c r="I68" s="1247"/>
      <c r="J68" s="1247"/>
      <c r="K68" s="1247"/>
      <c r="L68" s="1247"/>
      <c r="M68" s="1247"/>
      <c r="N68" s="1247"/>
      <c r="O68" s="1247"/>
      <c r="P68" s="1247"/>
      <c r="Q68" s="1247"/>
      <c r="R68" s="1247"/>
      <c r="S68" s="1247"/>
      <c r="T68" s="1247"/>
      <c r="U68" s="1247"/>
      <c r="V68" s="1247"/>
      <c r="W68" s="1247"/>
      <c r="X68" s="1247"/>
      <c r="Y68" s="1247"/>
      <c r="Z68" s="1247"/>
      <c r="AA68" s="1247"/>
      <c r="AB68" s="1247"/>
      <c r="AC68" s="1247"/>
      <c r="AD68" s="1247"/>
      <c r="AE68" s="1247"/>
      <c r="AF68" s="1247"/>
      <c r="AG68" s="1247"/>
      <c r="AH68" s="1247"/>
      <c r="AI68" s="1247"/>
      <c r="AJ68" s="1247"/>
      <c r="AK68" s="1247"/>
      <c r="AL68" s="1247"/>
      <c r="AM68" s="1247"/>
      <c r="AN68" s="1247"/>
      <c r="AO68" s="1247"/>
      <c r="AP68" s="1247"/>
      <c r="AQ68" s="1247"/>
      <c r="AR68" s="1247"/>
      <c r="AS68" s="1247"/>
      <c r="AT68" s="1247"/>
      <c r="AU68" s="1247"/>
      <c r="AV68" s="1247"/>
      <c r="AW68" s="1247"/>
      <c r="AX68" s="1247"/>
      <c r="AY68" s="1247"/>
      <c r="AZ68" s="1247"/>
      <c r="BA68" s="1247"/>
      <c r="BB68" s="1248"/>
      <c r="BC68" s="1249"/>
      <c r="BD68" s="1244" t="s">
        <v>331</v>
      </c>
      <c r="BE68" s="1245"/>
      <c r="BF68" s="1245"/>
      <c r="BG68" s="1245"/>
      <c r="BH68" s="818"/>
      <c r="BI68" s="818"/>
      <c r="BJ68" s="1250" t="str">
        <f>$G68</f>
        <v>(C)室内全熱負荷以降の外気負荷等は、熱源容量計算用の基準別、時刻別の値です。外気負荷を含めた空調機の容量の計算等は別紙「AC-2系統 空調機容量の計算」をご参照ください。</v>
      </c>
      <c r="BK68" s="1251"/>
      <c r="BL68" s="1251"/>
      <c r="BM68" s="1251"/>
      <c r="BN68" s="1251"/>
      <c r="BO68" s="1251"/>
      <c r="BP68" s="1251"/>
      <c r="BQ68" s="1251"/>
      <c r="BR68" s="1251"/>
      <c r="BS68" s="1251"/>
      <c r="BT68" s="1251"/>
      <c r="BU68" s="1251"/>
      <c r="BV68" s="1251"/>
      <c r="BW68" s="1251"/>
      <c r="BX68" s="1251"/>
      <c r="BY68" s="1251"/>
      <c r="BZ68" s="1251"/>
      <c r="CA68" s="1251"/>
      <c r="CB68" s="1251"/>
      <c r="CC68" s="1251"/>
      <c r="CD68" s="1251"/>
      <c r="CE68" s="1251"/>
      <c r="CF68" s="1251"/>
      <c r="CG68" s="1251"/>
      <c r="CH68" s="1251"/>
      <c r="CI68" s="1251"/>
      <c r="CJ68" s="1251"/>
      <c r="CK68" s="1251"/>
      <c r="CL68" s="1251"/>
      <c r="CM68" s="1251"/>
      <c r="CN68" s="1251"/>
      <c r="CO68" s="1251"/>
      <c r="CP68" s="1251"/>
      <c r="CQ68" s="1251"/>
      <c r="CR68" s="1251"/>
      <c r="CS68" s="1251"/>
      <c r="CT68" s="1251"/>
      <c r="CU68" s="1251"/>
      <c r="CV68" s="1251"/>
      <c r="CW68" s="1251"/>
      <c r="CX68" s="1251"/>
      <c r="CY68" s="1251"/>
      <c r="CZ68" s="1251"/>
      <c r="DA68" s="1251"/>
      <c r="DB68" s="1251"/>
      <c r="DC68" s="1251"/>
      <c r="DD68" s="1251"/>
      <c r="DE68" s="1252"/>
      <c r="DF68" s="1249"/>
      <c r="DG68" s="1244" t="s">
        <v>331</v>
      </c>
      <c r="DH68" s="1245"/>
      <c r="DI68" s="1245"/>
      <c r="DJ68" s="1245"/>
      <c r="DK68" s="818"/>
      <c r="DL68" s="818"/>
      <c r="DM68" s="1250" t="str">
        <f>$G68</f>
        <v>(C)室内全熱負荷以降の外気負荷等は、熱源容量計算用の基準別、時刻別の値です。外気負荷を含めた空調機の容量の計算等は別紙「AC-2系統 空調機容量の計算」をご参照ください。</v>
      </c>
      <c r="DN68" s="1251"/>
      <c r="DO68" s="1251"/>
      <c r="DP68" s="1251"/>
      <c r="DQ68" s="1251"/>
      <c r="DR68" s="1251"/>
      <c r="DS68" s="1251"/>
      <c r="DT68" s="1251"/>
      <c r="DU68" s="1251"/>
      <c r="DV68" s="1251"/>
      <c r="DW68" s="1251"/>
      <c r="DX68" s="1251"/>
      <c r="DY68" s="1251"/>
      <c r="DZ68" s="1251"/>
      <c r="EA68" s="1251"/>
      <c r="EB68" s="1251"/>
      <c r="EC68" s="1251"/>
      <c r="ED68" s="1251"/>
      <c r="EE68" s="1251"/>
      <c r="EF68" s="1251"/>
      <c r="EG68" s="1251"/>
      <c r="EH68" s="1251"/>
      <c r="EI68" s="1251"/>
      <c r="EJ68" s="1251"/>
      <c r="EK68" s="1251"/>
      <c r="EL68" s="1251"/>
      <c r="EM68" s="1251"/>
      <c r="EN68" s="1251"/>
      <c r="EO68" s="1251"/>
      <c r="EP68" s="1251"/>
      <c r="EQ68" s="1251"/>
      <c r="ER68" s="1251"/>
      <c r="ES68" s="1251"/>
      <c r="ET68" s="1251"/>
      <c r="EU68" s="1251"/>
      <c r="EV68" s="1251"/>
      <c r="EW68" s="1251"/>
      <c r="EX68" s="1251"/>
      <c r="EY68" s="1251"/>
      <c r="EZ68" s="1251"/>
      <c r="FA68" s="1251"/>
      <c r="FB68" s="1251"/>
      <c r="FC68" s="1251"/>
      <c r="FD68" s="1251"/>
      <c r="FE68" s="1251"/>
      <c r="FF68" s="1251"/>
      <c r="FG68" s="1251"/>
      <c r="FH68" s="1252"/>
      <c r="FI68" s="1249"/>
      <c r="FJ68" s="1244" t="s">
        <v>331</v>
      </c>
      <c r="FK68" s="1245"/>
      <c r="FL68" s="1245"/>
      <c r="FM68" s="1245"/>
      <c r="FN68" s="818"/>
      <c r="FO68" s="818"/>
      <c r="FP68" s="1246"/>
      <c r="FQ68" s="1247"/>
      <c r="FR68" s="1247"/>
      <c r="FS68" s="1247"/>
      <c r="FT68" s="1247"/>
      <c r="FU68" s="1253"/>
      <c r="FV68" s="1254"/>
      <c r="FW68" s="1247"/>
      <c r="FX68" s="1247"/>
      <c r="FY68" s="1247"/>
      <c r="FZ68" s="1247"/>
      <c r="GA68" s="1247"/>
      <c r="GB68" s="1247"/>
      <c r="GC68" s="1255"/>
      <c r="GD68" s="1247"/>
      <c r="GE68" s="1248"/>
      <c r="GF68" s="681"/>
      <c r="GG68" s="595"/>
      <c r="GH68" s="595"/>
      <c r="GI68" s="595"/>
      <c r="GJ68" s="476"/>
      <c r="GK68" s="522"/>
      <c r="GL68" s="523"/>
      <c r="GM68" s="522"/>
      <c r="GN68" s="523"/>
      <c r="GO68" s="522"/>
      <c r="GP68" s="522"/>
      <c r="GQ68" s="522"/>
      <c r="GR68" s="523"/>
      <c r="GT68" s="572"/>
      <c r="GU68" s="1257"/>
      <c r="GV68" s="1257"/>
      <c r="GW68" s="1257"/>
      <c r="GX68" s="1257"/>
      <c r="GY68" s="1114"/>
      <c r="GZ68" s="1258"/>
      <c r="HA68" s="1258"/>
      <c r="HB68" s="1258"/>
    </row>
    <row r="69" spans="1:211" ht="20.100000000000001" customHeight="1">
      <c r="BC69" s="386"/>
      <c r="DF69" s="386"/>
      <c r="FI69" s="386"/>
      <c r="GF69" s="492"/>
      <c r="GG69" s="595"/>
      <c r="GH69" s="595"/>
      <c r="GI69" s="595"/>
      <c r="GJ69" s="523"/>
      <c r="GT69" s="1186"/>
      <c r="GU69" s="523"/>
      <c r="GV69" s="522"/>
      <c r="GW69" s="523"/>
      <c r="GX69" s="522"/>
      <c r="GY69" s="522"/>
      <c r="HA69" s="388"/>
    </row>
    <row r="70" spans="1:211" ht="20.100000000000001" customHeight="1">
      <c r="BC70" s="386"/>
      <c r="DF70" s="386"/>
      <c r="FI70" s="386"/>
      <c r="GJ70" s="388"/>
      <c r="GT70" s="682"/>
      <c r="GU70" s="522"/>
      <c r="GV70" s="522"/>
      <c r="GW70" s="522"/>
      <c r="GX70" s="522"/>
      <c r="GY70" s="522"/>
      <c r="HA70" s="523"/>
    </row>
    <row r="71" spans="1:211" ht="20.100000000000001" customHeight="1">
      <c r="BC71" s="386"/>
      <c r="DF71" s="386"/>
      <c r="FI71" s="386"/>
      <c r="GJ71" s="573"/>
      <c r="GS71" s="388"/>
      <c r="GT71" s="1256"/>
      <c r="GU71" s="523"/>
      <c r="GV71" s="388"/>
      <c r="GW71" s="523"/>
      <c r="GX71" s="388"/>
      <c r="GY71" s="572"/>
      <c r="GZ71" s="410"/>
      <c r="HA71" s="523"/>
      <c r="HB71" s="410"/>
    </row>
    <row r="72" spans="1:211" ht="20.100000000000001" customHeight="1">
      <c r="BC72" s="386"/>
      <c r="DF72" s="386"/>
      <c r="FI72" s="386"/>
      <c r="GJ72" s="523"/>
      <c r="GT72" s="1186"/>
      <c r="GU72" s="523"/>
      <c r="GV72" s="522"/>
      <c r="GW72" s="523"/>
      <c r="GX72" s="522"/>
      <c r="GY72" s="522"/>
      <c r="HA72" s="388"/>
    </row>
    <row r="73" spans="1:211" ht="20.100000000000001" customHeight="1">
      <c r="BC73" s="386"/>
      <c r="DF73" s="386"/>
      <c r="FI73" s="386"/>
      <c r="GJ73" s="523"/>
      <c r="GT73" s="1186"/>
      <c r="GU73" s="388"/>
      <c r="GV73" s="388"/>
      <c r="GW73" s="388"/>
      <c r="GX73" s="388"/>
      <c r="GY73" s="522"/>
      <c r="HA73" s="476"/>
    </row>
    <row r="74" spans="1:211" ht="20.100000000000001" customHeight="1">
      <c r="BC74" s="386"/>
      <c r="DF74" s="386"/>
      <c r="FI74" s="386"/>
      <c r="GT74" s="1186"/>
      <c r="GU74" s="476"/>
      <c r="GV74" s="479"/>
      <c r="GW74" s="476"/>
      <c r="GX74" s="479"/>
      <c r="GY74" s="388"/>
      <c r="HA74" s="573"/>
    </row>
    <row r="75" spans="1:211" ht="20.100000000000001" customHeight="1">
      <c r="BC75" s="386"/>
      <c r="DF75" s="386"/>
      <c r="FI75" s="386"/>
      <c r="GT75" s="388"/>
      <c r="GU75" s="573"/>
      <c r="GV75" s="410"/>
      <c r="GW75" s="573"/>
      <c r="GX75" s="410"/>
      <c r="GY75" s="479"/>
      <c r="HA75" s="523"/>
    </row>
    <row r="76" spans="1:211" ht="20.100000000000001" customHeight="1">
      <c r="BC76" s="386"/>
      <c r="DF76" s="386"/>
      <c r="FI76" s="386"/>
      <c r="GT76" s="479"/>
      <c r="GU76" s="523"/>
      <c r="GV76" s="522"/>
      <c r="GW76" s="523"/>
      <c r="GX76" s="522"/>
      <c r="GY76" s="410"/>
      <c r="HA76" s="523"/>
    </row>
    <row r="77" spans="1:211" ht="20.100000000000001" customHeight="1">
      <c r="BC77" s="386"/>
      <c r="DF77" s="386"/>
      <c r="FI77" s="386"/>
      <c r="GT77" s="854"/>
      <c r="GU77" s="523"/>
      <c r="GV77" s="522"/>
      <c r="GW77" s="523"/>
      <c r="GX77" s="522"/>
      <c r="GZ77" s="522"/>
    </row>
    <row r="78" spans="1:211" ht="20.100000000000001" customHeight="1">
      <c r="BC78" s="386"/>
      <c r="DF78" s="386"/>
      <c r="FI78" s="386"/>
      <c r="GT78" s="1186"/>
      <c r="GZ78" s="522"/>
    </row>
    <row r="79" spans="1:211" ht="20.100000000000001" customHeight="1">
      <c r="BC79" s="386"/>
      <c r="DF79" s="386"/>
      <c r="FI79" s="386"/>
      <c r="GT79" s="1186"/>
    </row>
    <row r="80" spans="1:211" ht="20.100000000000001" customHeight="1">
      <c r="BC80" s="386"/>
      <c r="DF80" s="386"/>
      <c r="FI80" s="386"/>
    </row>
    <row r="81" spans="55:165" ht="20.100000000000001" customHeight="1">
      <c r="BC81" s="386"/>
      <c r="DF81" s="386"/>
      <c r="FI81" s="386"/>
    </row>
    <row r="82" spans="55:165" ht="20.100000000000001" customHeight="1">
      <c r="BC82" s="386"/>
      <c r="DF82" s="386"/>
      <c r="FI82" s="386"/>
    </row>
    <row r="83" spans="55:165" ht="20.100000000000001" customHeight="1">
      <c r="BC83" s="386"/>
      <c r="DF83" s="386"/>
      <c r="FI83" s="386"/>
    </row>
    <row r="84" spans="55:165" ht="20.100000000000001" customHeight="1">
      <c r="BC84" s="386"/>
      <c r="DF84" s="386"/>
      <c r="FI84" s="386"/>
    </row>
    <row r="85" spans="55:165" ht="20.100000000000001" customHeight="1">
      <c r="BC85" s="386"/>
      <c r="DF85" s="386"/>
      <c r="FI85" s="386"/>
    </row>
    <row r="86" spans="55:165" ht="20.100000000000001" customHeight="1">
      <c r="BC86" s="386"/>
      <c r="DF86" s="386"/>
    </row>
    <row r="87" spans="55:165" ht="20.100000000000001" customHeight="1">
      <c r="BC87" s="386"/>
      <c r="DF87" s="386"/>
    </row>
    <row r="88" spans="55:165" ht="20.100000000000001" customHeight="1">
      <c r="BC88" s="386"/>
      <c r="DF88" s="386"/>
    </row>
    <row r="89" spans="55:165" ht="20.100000000000001" customHeight="1">
      <c r="BC89" s="386"/>
      <c r="DF89" s="386"/>
    </row>
  </sheetData>
  <dataConsolidate/>
  <mergeCells count="329">
    <mergeCell ref="GB59:GC59"/>
    <mergeCell ref="GB61:GC61"/>
    <mergeCell ref="GD59:GE59"/>
    <mergeCell ref="GD61:GE61"/>
    <mergeCell ref="FV59:FW59"/>
    <mergeCell ref="FX59:FY59"/>
    <mergeCell ref="FZ59:GA59"/>
    <mergeCell ref="FV61:FW61"/>
    <mergeCell ref="FX61:FY61"/>
    <mergeCell ref="FZ61:GA61"/>
    <mergeCell ref="DM68:FH68"/>
    <mergeCell ref="FJ68:FM68"/>
    <mergeCell ref="FP68:FU68"/>
    <mergeCell ref="FV68:GC68"/>
    <mergeCell ref="GD68:GE68"/>
    <mergeCell ref="DK63:DL64"/>
    <mergeCell ref="FJ63:FM64"/>
    <mergeCell ref="FN63:FO64"/>
    <mergeCell ref="GD65:GE65"/>
    <mergeCell ref="FV66:GC66"/>
    <mergeCell ref="A68:D68"/>
    <mergeCell ref="G68:BB68"/>
    <mergeCell ref="BD68:BG68"/>
    <mergeCell ref="BJ68:DE68"/>
    <mergeCell ref="DG68:DJ68"/>
    <mergeCell ref="DK56:DL57"/>
    <mergeCell ref="FJ56:FM57"/>
    <mergeCell ref="FN56:FO57"/>
    <mergeCell ref="A63:D64"/>
    <mergeCell ref="E63:F64"/>
    <mergeCell ref="BD63:BG64"/>
    <mergeCell ref="BH63:BI64"/>
    <mergeCell ref="DG63:DJ64"/>
    <mergeCell ref="GN51:GN52"/>
    <mergeCell ref="GO51:GO52"/>
    <mergeCell ref="GP51:GP52"/>
    <mergeCell ref="GQ51:GQ52"/>
    <mergeCell ref="GU54:GX54"/>
    <mergeCell ref="A56:D57"/>
    <mergeCell ref="E56:F57"/>
    <mergeCell ref="BD56:BG57"/>
    <mergeCell ref="BH56:BI57"/>
    <mergeCell ref="DG56:DJ57"/>
    <mergeCell ref="FX49:FY51"/>
    <mergeCell ref="FZ49:GA51"/>
    <mergeCell ref="GB49:GC51"/>
    <mergeCell ref="GD49:GE51"/>
    <mergeCell ref="GL51:GL52"/>
    <mergeCell ref="GM51:GM52"/>
    <mergeCell ref="GQ44:GR44"/>
    <mergeCell ref="BA46:BB46"/>
    <mergeCell ref="DD46:DE46"/>
    <mergeCell ref="FG46:FH46"/>
    <mergeCell ref="FT46:FU46"/>
    <mergeCell ref="A48:A51"/>
    <mergeCell ref="BD48:BD51"/>
    <mergeCell ref="DG48:DG51"/>
    <mergeCell ref="FJ48:FJ51"/>
    <mergeCell ref="FV49:FW51"/>
    <mergeCell ref="FV44:FW46"/>
    <mergeCell ref="FX44:FY46"/>
    <mergeCell ref="FZ44:GA46"/>
    <mergeCell ref="GB44:GC46"/>
    <mergeCell ref="GD44:GE46"/>
    <mergeCell ref="GM44:GN44"/>
    <mergeCell ref="GO41:GP41"/>
    <mergeCell ref="GQ41:GR41"/>
    <mergeCell ref="GM42:GN42"/>
    <mergeCell ref="GO42:GP42"/>
    <mergeCell ref="GQ42:GR42"/>
    <mergeCell ref="GK43:GL44"/>
    <mergeCell ref="GM43:GN43"/>
    <mergeCell ref="GO43:GP43"/>
    <mergeCell ref="GQ43:GR43"/>
    <mergeCell ref="GO44:GP44"/>
    <mergeCell ref="GK39:GL40"/>
    <mergeCell ref="GM39:GN40"/>
    <mergeCell ref="GO39:GP40"/>
    <mergeCell ref="GQ39:GR40"/>
    <mergeCell ref="A41:A44"/>
    <mergeCell ref="BD41:BD44"/>
    <mergeCell ref="DG41:DG44"/>
    <mergeCell ref="FJ41:FJ44"/>
    <mergeCell ref="GK41:GL42"/>
    <mergeCell ref="GM41:GN41"/>
    <mergeCell ref="GU37:GV37"/>
    <mergeCell ref="C38:D38"/>
    <mergeCell ref="E38:F38"/>
    <mergeCell ref="BF38:BG38"/>
    <mergeCell ref="BH38:BI38"/>
    <mergeCell ref="DI38:DJ38"/>
    <mergeCell ref="DK38:DL38"/>
    <mergeCell ref="FL38:FM38"/>
    <mergeCell ref="FN38:FO38"/>
    <mergeCell ref="GU38:GZ38"/>
    <mergeCell ref="DG37:DG40"/>
    <mergeCell ref="DI37:DJ37"/>
    <mergeCell ref="DK37:DL37"/>
    <mergeCell ref="FJ37:FJ40"/>
    <mergeCell ref="FL37:FM37"/>
    <mergeCell ref="FN37:FO37"/>
    <mergeCell ref="DI39:DJ39"/>
    <mergeCell ref="DK39:DL39"/>
    <mergeCell ref="FL39:FM39"/>
    <mergeCell ref="FN39:FO39"/>
    <mergeCell ref="A37:A40"/>
    <mergeCell ref="C37:D37"/>
    <mergeCell ref="E37:F37"/>
    <mergeCell ref="BD37:BD40"/>
    <mergeCell ref="BF37:BG37"/>
    <mergeCell ref="BH37:BI37"/>
    <mergeCell ref="C39:D39"/>
    <mergeCell ref="E39:F39"/>
    <mergeCell ref="BF39:BG39"/>
    <mergeCell ref="BH39:BI39"/>
    <mergeCell ref="GU33:GV33"/>
    <mergeCell ref="A34:A36"/>
    <mergeCell ref="BD34:BD36"/>
    <mergeCell ref="DG34:DG36"/>
    <mergeCell ref="FJ34:FJ36"/>
    <mergeCell ref="GK34:GP34"/>
    <mergeCell ref="GU34:GV34"/>
    <mergeCell ref="GU35:GV35"/>
    <mergeCell ref="GK36:GP36"/>
    <mergeCell ref="GU36:GV36"/>
    <mergeCell ref="GY31:GY32"/>
    <mergeCell ref="GZ31:GZ32"/>
    <mergeCell ref="HA31:HA32"/>
    <mergeCell ref="B32:C32"/>
    <mergeCell ref="BE32:BF32"/>
    <mergeCell ref="DH32:DI32"/>
    <mergeCell ref="FK32:FL32"/>
    <mergeCell ref="B31:C31"/>
    <mergeCell ref="BE31:BF31"/>
    <mergeCell ref="DH31:DI31"/>
    <mergeCell ref="FK31:FL31"/>
    <mergeCell ref="GW31:GW32"/>
    <mergeCell ref="GX31:GX32"/>
    <mergeCell ref="GK22:GN22"/>
    <mergeCell ref="GU22:GY22"/>
    <mergeCell ref="HA22:HB22"/>
    <mergeCell ref="A27:A33"/>
    <mergeCell ref="BD27:BD33"/>
    <mergeCell ref="DG27:DG33"/>
    <mergeCell ref="FJ27:FJ33"/>
    <mergeCell ref="GU30:GV32"/>
    <mergeCell ref="GW30:HA30"/>
    <mergeCell ref="HB30:HB32"/>
    <mergeCell ref="GK20:GL20"/>
    <mergeCell ref="GU20:GV20"/>
    <mergeCell ref="GX20:GY20"/>
    <mergeCell ref="HA20:HB20"/>
    <mergeCell ref="GK21:GM21"/>
    <mergeCell ref="GU21:GW21"/>
    <mergeCell ref="GX21:GY21"/>
    <mergeCell ref="HA21:HB21"/>
    <mergeCell ref="GK18:GL18"/>
    <mergeCell ref="GU18:GV18"/>
    <mergeCell ref="GX18:GY18"/>
    <mergeCell ref="HA18:HB18"/>
    <mergeCell ref="GK19:GL19"/>
    <mergeCell ref="GU19:GV19"/>
    <mergeCell ref="GX19:GY19"/>
    <mergeCell ref="HA19:HB19"/>
    <mergeCell ref="HA15:HB15"/>
    <mergeCell ref="GK16:GL16"/>
    <mergeCell ref="GU16:GV16"/>
    <mergeCell ref="GX16:GY16"/>
    <mergeCell ref="HA16:HB16"/>
    <mergeCell ref="GK17:GL17"/>
    <mergeCell ref="GU17:GV17"/>
    <mergeCell ref="GX17:GY17"/>
    <mergeCell ref="HA17:HB17"/>
    <mergeCell ref="GU14:GV14"/>
    <mergeCell ref="GX14:GY14"/>
    <mergeCell ref="HA14:HB14"/>
    <mergeCell ref="A15:A26"/>
    <mergeCell ref="BD15:BD26"/>
    <mergeCell ref="DG15:DG26"/>
    <mergeCell ref="FJ15:FJ26"/>
    <mergeCell ref="GK15:GL15"/>
    <mergeCell ref="GU15:GV15"/>
    <mergeCell ref="GX15:GY15"/>
    <mergeCell ref="GD10:GE43"/>
    <mergeCell ref="GK12:GL12"/>
    <mergeCell ref="GU12:GV12"/>
    <mergeCell ref="GX12:GY12"/>
    <mergeCell ref="HA12:HB12"/>
    <mergeCell ref="GK13:GL13"/>
    <mergeCell ref="GU13:GV13"/>
    <mergeCell ref="GX13:GY13"/>
    <mergeCell ref="HA13:HB13"/>
    <mergeCell ref="GK14:GL14"/>
    <mergeCell ref="FJ7:FO8"/>
    <mergeCell ref="FV7:GE9"/>
    <mergeCell ref="A9:A14"/>
    <mergeCell ref="BD9:BD14"/>
    <mergeCell ref="DG9:DG14"/>
    <mergeCell ref="FJ9:FJ14"/>
    <mergeCell ref="FV10:FW43"/>
    <mergeCell ref="FX10:FY43"/>
    <mergeCell ref="FZ10:GA43"/>
    <mergeCell ref="GB10:GC43"/>
    <mergeCell ref="GA6:GB6"/>
    <mergeCell ref="GE6:GF6"/>
    <mergeCell ref="GK6:GM6"/>
    <mergeCell ref="GU6:GW6"/>
    <mergeCell ref="A7:F8"/>
    <mergeCell ref="G7:BB7"/>
    <mergeCell ref="BD7:BI8"/>
    <mergeCell ref="BJ7:DE7"/>
    <mergeCell ref="DG7:DL8"/>
    <mergeCell ref="DM7:FH7"/>
    <mergeCell ref="DX6:DY6"/>
    <mergeCell ref="EB6:EC6"/>
    <mergeCell ref="FL6:FN6"/>
    <mergeCell ref="FO6:FP6"/>
    <mergeCell ref="FQ6:FU6"/>
    <mergeCell ref="FV6:FW6"/>
    <mergeCell ref="BY6:BZ6"/>
    <mergeCell ref="CE6:CF6"/>
    <mergeCell ref="DI6:DK6"/>
    <mergeCell ref="DL6:DM6"/>
    <mergeCell ref="DN6:DR6"/>
    <mergeCell ref="DS6:DT6"/>
    <mergeCell ref="AB6:AC6"/>
    <mergeCell ref="BF6:BH6"/>
    <mergeCell ref="BI6:BJ6"/>
    <mergeCell ref="BK6:BO6"/>
    <mergeCell ref="BP6:BQ6"/>
    <mergeCell ref="BU6:BV6"/>
    <mergeCell ref="C6:E6"/>
    <mergeCell ref="F6:G6"/>
    <mergeCell ref="H6:L6"/>
    <mergeCell ref="M6:N6"/>
    <mergeCell ref="R6:S6"/>
    <mergeCell ref="V6:W6"/>
    <mergeCell ref="FX5:FY5"/>
    <mergeCell ref="FZ5:GA5"/>
    <mergeCell ref="GB5:GC5"/>
    <mergeCell ref="GD5:GE5"/>
    <mergeCell ref="GK5:GM5"/>
    <mergeCell ref="GU5:GW5"/>
    <mergeCell ref="DQ5:DR5"/>
    <mergeCell ref="DS5:DT5"/>
    <mergeCell ref="DU5:DV5"/>
    <mergeCell ref="DW5:DX5"/>
    <mergeCell ref="DY5:DZ5"/>
    <mergeCell ref="EA5:EB5"/>
    <mergeCell ref="BR5:BS5"/>
    <mergeCell ref="BT5:BU5"/>
    <mergeCell ref="BV5:BW5"/>
    <mergeCell ref="BX5:BY5"/>
    <mergeCell ref="DM5:DN5"/>
    <mergeCell ref="DO5:DP5"/>
    <mergeCell ref="S5:T5"/>
    <mergeCell ref="U5:V5"/>
    <mergeCell ref="BJ5:BK5"/>
    <mergeCell ref="BL5:BM5"/>
    <mergeCell ref="BN5:BO5"/>
    <mergeCell ref="BP5:BQ5"/>
    <mergeCell ref="G5:H5"/>
    <mergeCell ref="I5:J5"/>
    <mergeCell ref="K5:L5"/>
    <mergeCell ref="M5:N5"/>
    <mergeCell ref="O5:P5"/>
    <mergeCell ref="Q5:R5"/>
    <mergeCell ref="EC4:EE5"/>
    <mergeCell ref="FX4:FY4"/>
    <mergeCell ref="FZ4:GA4"/>
    <mergeCell ref="GB4:GC4"/>
    <mergeCell ref="GD4:GE4"/>
    <mergeCell ref="GF4:GH5"/>
    <mergeCell ref="FP5:FQ5"/>
    <mergeCell ref="FR5:FS5"/>
    <mergeCell ref="FT5:FU5"/>
    <mergeCell ref="FV5:FW5"/>
    <mergeCell ref="FX3:GE3"/>
    <mergeCell ref="GF3:GH3"/>
    <mergeCell ref="GJ3:GR3"/>
    <mergeCell ref="GT3:HB3"/>
    <mergeCell ref="O4:P4"/>
    <mergeCell ref="Q4:R4"/>
    <mergeCell ref="S4:T4"/>
    <mergeCell ref="U4:V4"/>
    <mergeCell ref="W4:Y5"/>
    <mergeCell ref="BR4:BS4"/>
    <mergeCell ref="FJ3:FJ4"/>
    <mergeCell ref="FK3:FK4"/>
    <mergeCell ref="FL3:FL4"/>
    <mergeCell ref="FM3:FS4"/>
    <mergeCell ref="FT3:FU4"/>
    <mergeCell ref="FV3:FW4"/>
    <mergeCell ref="DI3:DI4"/>
    <mergeCell ref="DJ3:DP4"/>
    <mergeCell ref="DQ3:DR4"/>
    <mergeCell ref="DS3:DT4"/>
    <mergeCell ref="DU3:EB3"/>
    <mergeCell ref="EC3:EE3"/>
    <mergeCell ref="DU4:DV4"/>
    <mergeCell ref="DW4:DX4"/>
    <mergeCell ref="DY4:DZ4"/>
    <mergeCell ref="EA4:EB4"/>
    <mergeCell ref="BN3:BO4"/>
    <mergeCell ref="BP3:BQ4"/>
    <mergeCell ref="BR3:BY3"/>
    <mergeCell ref="BZ3:CB3"/>
    <mergeCell ref="DG3:DG4"/>
    <mergeCell ref="DH3:DH4"/>
    <mergeCell ref="BT4:BU4"/>
    <mergeCell ref="BV4:BW4"/>
    <mergeCell ref="BX4:BY4"/>
    <mergeCell ref="BZ4:CB5"/>
    <mergeCell ref="O3:V3"/>
    <mergeCell ref="W3:Y3"/>
    <mergeCell ref="BD3:BD4"/>
    <mergeCell ref="BE3:BE4"/>
    <mergeCell ref="BF3:BF4"/>
    <mergeCell ref="BG3:BM4"/>
    <mergeCell ref="H1:I1"/>
    <mergeCell ref="BK1:BL1"/>
    <mergeCell ref="DN1:DO1"/>
    <mergeCell ref="FQ1:FR1"/>
    <mergeCell ref="A3:A4"/>
    <mergeCell ref="B3:B4"/>
    <mergeCell ref="C3:C4"/>
    <mergeCell ref="D3:J4"/>
    <mergeCell ref="K3:L4"/>
    <mergeCell ref="M3:N4"/>
  </mergeCells>
  <phoneticPr fontId="4"/>
  <printOptions horizontalCentered="1" gridLinesSet="0"/>
  <pageMargins left="0.39370078740157483" right="0.19685039370078741" top="0.78740157480314965" bottom="0.47244094488188981" header="0.59055118110236227" footer="0.31496062992125984"/>
  <pageSetup paperSize="9" scale="38" fitToWidth="0" orientation="landscape" horizontalDpi="4294967292" verticalDpi="400" r:id="rId1"/>
  <headerFooter scaleWithDoc="0" alignWithMargins="0">
    <oddFooter>&amp;C&amp;"ＭＳ Ｐゴシック,標準"&amp;9( &amp;P / &amp;N )</oddFooter>
  </headerFooter>
  <rowBreaks count="1" manualBreakCount="1">
    <brk id="1" max="210" man="1"/>
  </rowBreaks>
  <colBreaks count="3" manualBreakCount="3">
    <brk id="55" max="68" man="1"/>
    <brk id="110" max="68" man="1"/>
    <brk id="165" max="68"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699</v>
      </c>
    </row>
    <row r="6" spans="1:5" ht="30" customHeight="1">
      <c r="A6" s="6"/>
    </row>
    <row r="7" spans="1:5" ht="30" customHeight="1">
      <c r="A7" s="6" t="s">
        <v>700</v>
      </c>
    </row>
    <row r="8" spans="1:5" ht="30" customHeight="1">
      <c r="A8" s="6"/>
    </row>
    <row r="9" spans="1:5" ht="30" customHeight="1">
      <c r="A9" s="6"/>
    </row>
    <row r="10" spans="1:5" ht="30" customHeight="1">
      <c r="A10" s="6"/>
    </row>
    <row r="11" spans="1:5" ht="30" customHeight="1">
      <c r="A11" s="6"/>
    </row>
    <row r="12" spans="1:5" ht="30" customHeight="1">
      <c r="A12" s="6"/>
    </row>
    <row r="13" spans="1:5" ht="30" customHeight="1">
      <c r="A13" s="6"/>
    </row>
  </sheetData>
  <sheetProtection insertRows="0" deleteRows="0" sort="0" autoFilter="0"/>
  <phoneticPr fontId="4"/>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alignWithMargins="0">
    <oddFooter>&amp;C&amp;"ＭＳ Ｐゴシック,標準"&amp;9( &amp;P / &amp;N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AT59"/>
  <sheetViews>
    <sheetView showGridLines="0" zoomScale="80" zoomScaleNormal="80" workbookViewId="0">
      <pane xSplit="6" ySplit="6" topLeftCell="G7" activePane="bottomRight" state="frozenSplit"/>
      <selection pane="topRight" activeCell="Q1" sqref="Q1"/>
      <selection pane="bottomLeft" activeCell="A16" sqref="A16"/>
      <selection pane="bottomRight"/>
    </sheetView>
  </sheetViews>
  <sheetFormatPr defaultColWidth="9.140625" defaultRowHeight="13.5" customHeight="1"/>
  <cols>
    <col min="1" max="1" width="5.42578125" style="1297" customWidth="1"/>
    <col min="2" max="2" width="7.5703125" style="1297" customWidth="1"/>
    <col min="3" max="3" width="26.28515625" style="1297" customWidth="1"/>
    <col min="4" max="8" width="7.7109375" style="1297" customWidth="1"/>
    <col min="9" max="10" width="7.7109375" style="1297" hidden="1" customWidth="1"/>
    <col min="11" max="14" width="7.7109375" style="1297" customWidth="1"/>
    <col min="15" max="16" width="7.7109375" style="1297" hidden="1" customWidth="1"/>
    <col min="17" max="25" width="7.7109375" style="1297" customWidth="1"/>
    <col min="26" max="27" width="9.140625" style="1293"/>
    <col min="28" max="43" width="9.140625" style="1296"/>
    <col min="44" max="44" width="9.140625" style="1295"/>
    <col min="45" max="46" width="9.140625" style="1294"/>
    <col min="47" max="16384" width="9.140625" style="1293"/>
  </cols>
  <sheetData>
    <row r="1" spans="1:46" s="1417" customFormat="1" ht="24" customHeight="1" thickBot="1">
      <c r="A1" s="1429" t="s">
        <v>734</v>
      </c>
      <c r="B1" s="1428"/>
      <c r="C1" s="1427"/>
      <c r="D1" s="1426"/>
      <c r="E1" s="1425"/>
      <c r="F1" s="1424"/>
      <c r="G1" s="1424"/>
      <c r="H1" s="1425"/>
      <c r="I1" s="1425"/>
      <c r="J1" s="1425"/>
      <c r="K1" s="1424"/>
      <c r="L1" s="1424"/>
      <c r="M1" s="1423"/>
      <c r="N1" s="1424"/>
      <c r="O1" s="1425"/>
      <c r="P1" s="1425"/>
      <c r="Q1" s="1424"/>
      <c r="R1" s="1424"/>
      <c r="S1" s="1423"/>
      <c r="T1" s="1423"/>
      <c r="U1" s="1423"/>
      <c r="V1" s="1423"/>
      <c r="W1" s="1423"/>
      <c r="X1" s="1423"/>
      <c r="Y1" s="1422"/>
      <c r="AB1" s="1421" t="s">
        <v>733</v>
      </c>
      <c r="AC1" s="1420"/>
      <c r="AD1" s="1420"/>
      <c r="AE1" s="1420"/>
      <c r="AF1" s="1420"/>
      <c r="AG1" s="1420"/>
      <c r="AH1" s="1420"/>
      <c r="AI1" s="1420"/>
      <c r="AJ1" s="1420"/>
      <c r="AK1" s="1420"/>
      <c r="AL1" s="1420"/>
      <c r="AM1" s="1420"/>
      <c r="AN1" s="1420"/>
      <c r="AO1" s="1420"/>
      <c r="AP1" s="1420"/>
      <c r="AQ1" s="1420"/>
      <c r="AR1" s="1419"/>
      <c r="AS1" s="1418"/>
      <c r="AT1" s="1418"/>
    </row>
    <row r="2" spans="1:46" ht="13.5" customHeight="1">
      <c r="AB2" s="1416" t="s">
        <v>732</v>
      </c>
      <c r="AC2" s="1415"/>
      <c r="AD2" s="1415"/>
      <c r="AE2" s="1415"/>
      <c r="AF2" s="1415"/>
      <c r="AG2" s="1415"/>
      <c r="AH2" s="1415"/>
      <c r="AI2" s="1414"/>
      <c r="AJ2" s="1413" t="s">
        <v>731</v>
      </c>
      <c r="AK2" s="1413"/>
      <c r="AL2" s="1413"/>
      <c r="AM2" s="1413"/>
      <c r="AN2" s="1413"/>
      <c r="AO2" s="1413"/>
      <c r="AP2" s="1413"/>
      <c r="AQ2" s="1412"/>
      <c r="AS2" s="1411" t="s">
        <v>730</v>
      </c>
      <c r="AT2" s="1410"/>
    </row>
    <row r="3" spans="1:46" ht="13.5" customHeight="1">
      <c r="H3" s="1297" t="s">
        <v>776</v>
      </c>
      <c r="Y3" s="1409" t="s">
        <v>743</v>
      </c>
      <c r="AB3" s="1408"/>
      <c r="AC3" s="1407"/>
      <c r="AD3" s="1407"/>
      <c r="AE3" s="1407"/>
      <c r="AF3" s="1407"/>
      <c r="AG3" s="1407"/>
      <c r="AH3" s="1407"/>
      <c r="AI3" s="1406"/>
      <c r="AJ3" s="1405"/>
      <c r="AK3" s="1405"/>
      <c r="AL3" s="1405"/>
      <c r="AM3" s="1405"/>
      <c r="AN3" s="1405"/>
      <c r="AO3" s="1405"/>
      <c r="AP3" s="1405"/>
      <c r="AQ3" s="1404"/>
      <c r="AS3" s="1403"/>
      <c r="AT3" s="1402"/>
    </row>
    <row r="4" spans="1:46" ht="13.5" customHeight="1" thickBot="1">
      <c r="A4" s="1401" t="s">
        <v>363</v>
      </c>
      <c r="B4" s="1400" t="s">
        <v>341</v>
      </c>
      <c r="C4" s="1400" t="s">
        <v>729</v>
      </c>
      <c r="D4" s="1399" t="s">
        <v>728</v>
      </c>
      <c r="E4" s="1399" t="s">
        <v>727</v>
      </c>
      <c r="F4" s="1398" t="s">
        <v>726</v>
      </c>
      <c r="G4" s="1397" t="s">
        <v>735</v>
      </c>
      <c r="H4" s="1392" t="s">
        <v>725</v>
      </c>
      <c r="I4" s="1391"/>
      <c r="J4" s="1391"/>
      <c r="K4" s="1391"/>
      <c r="L4" s="1395"/>
      <c r="M4" s="1396" t="s">
        <v>724</v>
      </c>
      <c r="N4" s="1392" t="s">
        <v>723</v>
      </c>
      <c r="O4" s="1391"/>
      <c r="P4" s="1391"/>
      <c r="Q4" s="1391"/>
      <c r="R4" s="1395"/>
      <c r="S4" s="1394" t="s">
        <v>740</v>
      </c>
      <c r="T4" s="1393"/>
      <c r="U4" s="1392" t="s">
        <v>722</v>
      </c>
      <c r="V4" s="1391"/>
      <c r="W4" s="1391"/>
      <c r="X4" s="1390"/>
      <c r="Y4" s="1389" t="s">
        <v>721</v>
      </c>
      <c r="AB4" s="1388" t="s">
        <v>720</v>
      </c>
      <c r="AC4" s="1388"/>
      <c r="AD4" s="1388"/>
      <c r="AE4" s="1388"/>
      <c r="AF4" s="1387" t="s">
        <v>719</v>
      </c>
      <c r="AG4" s="1387"/>
      <c r="AH4" s="1387"/>
      <c r="AI4" s="1387"/>
      <c r="AJ4" s="1388" t="s">
        <v>720</v>
      </c>
      <c r="AK4" s="1388"/>
      <c r="AL4" s="1388"/>
      <c r="AM4" s="1388"/>
      <c r="AN4" s="1387" t="s">
        <v>719</v>
      </c>
      <c r="AO4" s="1387"/>
      <c r="AP4" s="1387"/>
      <c r="AQ4" s="1387"/>
      <c r="AS4" s="1386"/>
      <c r="AT4" s="1385"/>
    </row>
    <row r="5" spans="1:46" ht="22.5" customHeight="1">
      <c r="A5" s="1369"/>
      <c r="B5" s="1368"/>
      <c r="C5" s="1368"/>
      <c r="D5" s="1367"/>
      <c r="E5" s="1367"/>
      <c r="F5" s="1366"/>
      <c r="G5" s="1384"/>
      <c r="H5" s="1462" t="s">
        <v>739</v>
      </c>
      <c r="I5" s="1459"/>
      <c r="J5" s="1460"/>
      <c r="K5" s="1381" t="s">
        <v>718</v>
      </c>
      <c r="L5" s="1383" t="s">
        <v>717</v>
      </c>
      <c r="M5" s="1382"/>
      <c r="N5" s="1462" t="s">
        <v>739</v>
      </c>
      <c r="O5" s="1459"/>
      <c r="P5" s="1460"/>
      <c r="Q5" s="1381" t="s">
        <v>718</v>
      </c>
      <c r="R5" s="1380" t="s">
        <v>717</v>
      </c>
      <c r="S5" s="1379"/>
      <c r="T5" s="1378"/>
      <c r="U5" s="1356" t="s">
        <v>741</v>
      </c>
      <c r="V5" s="1355" t="s">
        <v>742</v>
      </c>
      <c r="W5" s="1355" t="s">
        <v>716</v>
      </c>
      <c r="X5" s="1377" t="s">
        <v>715</v>
      </c>
      <c r="Y5" s="1353"/>
      <c r="AB5" s="1374" t="s">
        <v>714</v>
      </c>
      <c r="AC5" s="1373" t="s">
        <v>713</v>
      </c>
      <c r="AD5" s="1373" t="s">
        <v>712</v>
      </c>
      <c r="AE5" s="1372" t="s">
        <v>711</v>
      </c>
      <c r="AF5" s="1376" t="s">
        <v>714</v>
      </c>
      <c r="AG5" s="1373" t="s">
        <v>713</v>
      </c>
      <c r="AH5" s="1373" t="s">
        <v>712</v>
      </c>
      <c r="AI5" s="1372" t="s">
        <v>711</v>
      </c>
      <c r="AJ5" s="1376" t="s">
        <v>714</v>
      </c>
      <c r="AK5" s="1373" t="s">
        <v>713</v>
      </c>
      <c r="AL5" s="1373" t="s">
        <v>712</v>
      </c>
      <c r="AM5" s="1375" t="s">
        <v>711</v>
      </c>
      <c r="AN5" s="1374" t="s">
        <v>714</v>
      </c>
      <c r="AO5" s="1373" t="s">
        <v>713</v>
      </c>
      <c r="AP5" s="1373" t="s">
        <v>712</v>
      </c>
      <c r="AQ5" s="1372" t="s">
        <v>711</v>
      </c>
      <c r="AS5" s="1371" t="s">
        <v>710</v>
      </c>
      <c r="AT5" s="1370" t="s">
        <v>709</v>
      </c>
    </row>
    <row r="6" spans="1:46" ht="13.5" customHeight="1">
      <c r="A6" s="1369"/>
      <c r="B6" s="1368"/>
      <c r="C6" s="1368"/>
      <c r="D6" s="1367"/>
      <c r="E6" s="1367"/>
      <c r="F6" s="1366"/>
      <c r="G6" s="1365"/>
      <c r="H6" s="1461"/>
      <c r="I6" s="1362" t="s">
        <v>708</v>
      </c>
      <c r="J6" s="1361" t="s">
        <v>707</v>
      </c>
      <c r="K6" s="1360"/>
      <c r="L6" s="1364"/>
      <c r="M6" s="1363"/>
      <c r="N6" s="1461"/>
      <c r="O6" s="1362" t="s">
        <v>708</v>
      </c>
      <c r="P6" s="1361" t="s">
        <v>707</v>
      </c>
      <c r="Q6" s="1360"/>
      <c r="R6" s="1359"/>
      <c r="S6" s="1358" t="s">
        <v>706</v>
      </c>
      <c r="T6" s="1357" t="s">
        <v>705</v>
      </c>
      <c r="U6" s="1356"/>
      <c r="V6" s="1355"/>
      <c r="W6" s="1355"/>
      <c r="X6" s="1354"/>
      <c r="Y6" s="1353"/>
      <c r="AB6" s="1350" t="s">
        <v>704</v>
      </c>
      <c r="AC6" s="1349" t="s">
        <v>703</v>
      </c>
      <c r="AD6" s="1349" t="s">
        <v>702</v>
      </c>
      <c r="AE6" s="1348" t="s">
        <v>701</v>
      </c>
      <c r="AF6" s="1352" t="s">
        <v>704</v>
      </c>
      <c r="AG6" s="1349" t="s">
        <v>703</v>
      </c>
      <c r="AH6" s="1349" t="s">
        <v>702</v>
      </c>
      <c r="AI6" s="1348" t="s">
        <v>701</v>
      </c>
      <c r="AJ6" s="1352" t="s">
        <v>704</v>
      </c>
      <c r="AK6" s="1349" t="s">
        <v>703</v>
      </c>
      <c r="AL6" s="1349" t="s">
        <v>702</v>
      </c>
      <c r="AM6" s="1351" t="s">
        <v>701</v>
      </c>
      <c r="AN6" s="1350" t="s">
        <v>704</v>
      </c>
      <c r="AO6" s="1349" t="s">
        <v>703</v>
      </c>
      <c r="AP6" s="1349" t="s">
        <v>702</v>
      </c>
      <c r="AQ6" s="1348" t="s">
        <v>701</v>
      </c>
      <c r="AS6" s="1347"/>
      <c r="AT6" s="1346"/>
    </row>
    <row r="7" spans="1:46" ht="13.5" customHeight="1">
      <c r="A7" s="1345">
        <v>2</v>
      </c>
      <c r="B7" s="1344">
        <v>201</v>
      </c>
      <c r="C7" s="1343" t="s">
        <v>332</v>
      </c>
      <c r="D7" s="1342">
        <v>121</v>
      </c>
      <c r="E7" s="1341">
        <v>3</v>
      </c>
      <c r="F7" s="1340">
        <v>363</v>
      </c>
      <c r="G7" s="1339" t="s">
        <v>736</v>
      </c>
      <c r="H7" s="1332">
        <v>73997</v>
      </c>
      <c r="I7" s="1331"/>
      <c r="J7" s="1329">
        <v>73997</v>
      </c>
      <c r="K7" s="1331">
        <v>80</v>
      </c>
      <c r="L7" s="1338">
        <v>74077</v>
      </c>
      <c r="M7" s="1337"/>
      <c r="N7" s="1331">
        <v>0</v>
      </c>
      <c r="O7" s="1331"/>
      <c r="P7" s="1329">
        <v>0</v>
      </c>
      <c r="Q7" s="1336">
        <v>0</v>
      </c>
      <c r="R7" s="1335">
        <v>0</v>
      </c>
      <c r="S7" s="1334">
        <v>2.06</v>
      </c>
      <c r="T7" s="1333">
        <v>0</v>
      </c>
      <c r="U7" s="1332">
        <v>3630</v>
      </c>
      <c r="V7" s="1331">
        <v>91250</v>
      </c>
      <c r="W7" s="1330">
        <v>94880</v>
      </c>
      <c r="X7" s="1329">
        <v>94880</v>
      </c>
      <c r="Y7" s="1328">
        <v>261.39999999999998</v>
      </c>
      <c r="AB7" s="1296">
        <v>24</v>
      </c>
      <c r="AC7" s="1296">
        <v>50</v>
      </c>
      <c r="AD7" s="1296">
        <v>47.9</v>
      </c>
      <c r="AE7" s="1296">
        <v>9.3000000000000007</v>
      </c>
      <c r="AF7" s="1296">
        <v>24</v>
      </c>
      <c r="AG7" s="1296">
        <v>50</v>
      </c>
      <c r="AH7" s="1296">
        <v>47.9</v>
      </c>
      <c r="AI7" s="1296">
        <v>9.3000000000000007</v>
      </c>
      <c r="AJ7" s="1296">
        <v>24</v>
      </c>
      <c r="AK7" s="1296">
        <v>50</v>
      </c>
      <c r="AL7" s="1296">
        <v>47.9</v>
      </c>
      <c r="AM7" s="1296">
        <v>9.3000000000000007</v>
      </c>
      <c r="AN7" s="1296">
        <v>24</v>
      </c>
      <c r="AO7" s="1296">
        <v>50</v>
      </c>
      <c r="AP7" s="1296">
        <v>47.9</v>
      </c>
      <c r="AQ7" s="1296">
        <v>9.3000000000000007</v>
      </c>
      <c r="AS7" s="1294">
        <v>91251.33</v>
      </c>
      <c r="AT7" s="1294">
        <v>94880</v>
      </c>
    </row>
    <row r="8" spans="1:46" ht="13.5" customHeight="1">
      <c r="A8" s="1327">
        <v>2</v>
      </c>
      <c r="B8" s="1326">
        <v>202</v>
      </c>
      <c r="C8" s="1325" t="s">
        <v>547</v>
      </c>
      <c r="D8" s="1324">
        <v>91</v>
      </c>
      <c r="E8" s="1323">
        <v>3</v>
      </c>
      <c r="F8" s="1322">
        <v>273</v>
      </c>
      <c r="G8" s="1321" t="s">
        <v>737</v>
      </c>
      <c r="H8" s="1314">
        <v>65231</v>
      </c>
      <c r="I8" s="1313"/>
      <c r="J8" s="1311">
        <v>65231</v>
      </c>
      <c r="K8" s="1313">
        <v>80</v>
      </c>
      <c r="L8" s="1320">
        <v>65311</v>
      </c>
      <c r="M8" s="1319"/>
      <c r="N8" s="1313">
        <v>0</v>
      </c>
      <c r="O8" s="1313"/>
      <c r="P8" s="1311">
        <v>0</v>
      </c>
      <c r="Q8" s="1318">
        <v>0</v>
      </c>
      <c r="R8" s="1317">
        <v>0</v>
      </c>
      <c r="S8" s="1316">
        <v>2.5</v>
      </c>
      <c r="T8" s="1315">
        <v>0</v>
      </c>
      <c r="U8" s="1314">
        <v>2730</v>
      </c>
      <c r="V8" s="1313">
        <v>68070</v>
      </c>
      <c r="W8" s="1312">
        <v>70800</v>
      </c>
      <c r="X8" s="1311">
        <v>70800</v>
      </c>
      <c r="Y8" s="1310">
        <v>259.3</v>
      </c>
      <c r="AB8" s="1296">
        <v>24</v>
      </c>
      <c r="AC8" s="1296">
        <v>50</v>
      </c>
      <c r="AD8" s="1296">
        <v>47.9</v>
      </c>
      <c r="AE8" s="1296">
        <v>9.3000000000000007</v>
      </c>
      <c r="AF8" s="1296">
        <v>24</v>
      </c>
      <c r="AG8" s="1296">
        <v>50</v>
      </c>
      <c r="AH8" s="1296">
        <v>47.9</v>
      </c>
      <c r="AI8" s="1296">
        <v>9.3000000000000007</v>
      </c>
      <c r="AJ8" s="1296">
        <v>24</v>
      </c>
      <c r="AK8" s="1296">
        <v>50</v>
      </c>
      <c r="AL8" s="1296">
        <v>47.9</v>
      </c>
      <c r="AM8" s="1296">
        <v>9.3000000000000007</v>
      </c>
      <c r="AN8" s="1296">
        <v>24</v>
      </c>
      <c r="AO8" s="1296">
        <v>50</v>
      </c>
      <c r="AP8" s="1296">
        <v>47.9</v>
      </c>
      <c r="AQ8" s="1296">
        <v>9.3000000000000007</v>
      </c>
      <c r="AS8" s="1294">
        <v>68058.850000000006</v>
      </c>
      <c r="AT8" s="1294">
        <v>70800</v>
      </c>
    </row>
    <row r="9" spans="1:46" ht="13.5" customHeight="1">
      <c r="A9" s="1327"/>
      <c r="B9" s="1326"/>
      <c r="C9" s="1325"/>
      <c r="D9" s="1324"/>
      <c r="E9" s="1323"/>
      <c r="F9" s="1322"/>
      <c r="G9" s="1321"/>
      <c r="H9" s="1314"/>
      <c r="I9" s="1313"/>
      <c r="J9" s="1311"/>
      <c r="K9" s="1313"/>
      <c r="L9" s="1320"/>
      <c r="M9" s="1319"/>
      <c r="N9" s="1313"/>
      <c r="O9" s="1313"/>
      <c r="P9" s="1311"/>
      <c r="Q9" s="1318"/>
      <c r="R9" s="1317"/>
      <c r="S9" s="1316"/>
      <c r="T9" s="1315"/>
      <c r="U9" s="1314"/>
      <c r="V9" s="1313"/>
      <c r="W9" s="1312"/>
      <c r="X9" s="1311"/>
      <c r="Y9" s="1310"/>
    </row>
    <row r="10" spans="1:46" ht="13.5" customHeight="1">
      <c r="A10" s="1327"/>
      <c r="B10" s="1326"/>
      <c r="C10" s="1325"/>
      <c r="D10" s="1324"/>
      <c r="E10" s="1323"/>
      <c r="F10" s="1322"/>
      <c r="G10" s="1321"/>
      <c r="H10" s="1314"/>
      <c r="I10" s="1313"/>
      <c r="J10" s="1311"/>
      <c r="K10" s="1313"/>
      <c r="L10" s="1320"/>
      <c r="M10" s="1319"/>
      <c r="N10" s="1313"/>
      <c r="O10" s="1313"/>
      <c r="P10" s="1311"/>
      <c r="Q10" s="1318"/>
      <c r="R10" s="1317"/>
      <c r="S10" s="1316"/>
      <c r="T10" s="1315"/>
      <c r="U10" s="1314"/>
      <c r="V10" s="1313"/>
      <c r="W10" s="1312"/>
      <c r="X10" s="1311"/>
      <c r="Y10" s="1310"/>
    </row>
    <row r="11" spans="1:46" ht="13.5" customHeight="1">
      <c r="A11" s="1327"/>
      <c r="B11" s="1326"/>
      <c r="C11" s="1325"/>
      <c r="D11" s="1324"/>
      <c r="E11" s="1323"/>
      <c r="F11" s="1322"/>
      <c r="G11" s="1321"/>
      <c r="H11" s="1314"/>
      <c r="I11" s="1313"/>
      <c r="J11" s="1311"/>
      <c r="K11" s="1313"/>
      <c r="L11" s="1320"/>
      <c r="M11" s="1319"/>
      <c r="N11" s="1313"/>
      <c r="O11" s="1313"/>
      <c r="P11" s="1311"/>
      <c r="Q11" s="1318"/>
      <c r="R11" s="1317"/>
      <c r="S11" s="1316"/>
      <c r="T11" s="1315"/>
      <c r="U11" s="1314"/>
      <c r="V11" s="1313"/>
      <c r="W11" s="1312"/>
      <c r="X11" s="1311"/>
      <c r="Y11" s="1310"/>
    </row>
    <row r="12" spans="1:46" ht="13.5" customHeight="1">
      <c r="A12" s="1327"/>
      <c r="B12" s="1326"/>
      <c r="C12" s="1325"/>
      <c r="D12" s="1324"/>
      <c r="E12" s="1323"/>
      <c r="F12" s="1322"/>
      <c r="G12" s="1321"/>
      <c r="H12" s="1314"/>
      <c r="I12" s="1313"/>
      <c r="J12" s="1311"/>
      <c r="K12" s="1313"/>
      <c r="L12" s="1320"/>
      <c r="M12" s="1319"/>
      <c r="N12" s="1313"/>
      <c r="O12" s="1313"/>
      <c r="P12" s="1311"/>
      <c r="Q12" s="1318"/>
      <c r="R12" s="1317"/>
      <c r="S12" s="1316"/>
      <c r="T12" s="1315"/>
      <c r="U12" s="1314"/>
      <c r="V12" s="1313"/>
      <c r="W12" s="1312"/>
      <c r="X12" s="1311"/>
      <c r="Y12" s="1310"/>
    </row>
    <row r="13" spans="1:46" ht="13.5" customHeight="1">
      <c r="A13" s="1327"/>
      <c r="B13" s="1326"/>
      <c r="C13" s="1325"/>
      <c r="D13" s="1324"/>
      <c r="E13" s="1323"/>
      <c r="F13" s="1322"/>
      <c r="G13" s="1321"/>
      <c r="H13" s="1314"/>
      <c r="I13" s="1313"/>
      <c r="J13" s="1311"/>
      <c r="K13" s="1313"/>
      <c r="L13" s="1320"/>
      <c r="M13" s="1319"/>
      <c r="N13" s="1313"/>
      <c r="O13" s="1313"/>
      <c r="P13" s="1311"/>
      <c r="Q13" s="1318"/>
      <c r="R13" s="1317"/>
      <c r="S13" s="1316"/>
      <c r="T13" s="1315"/>
      <c r="U13" s="1314"/>
      <c r="V13" s="1313"/>
      <c r="W13" s="1312"/>
      <c r="X13" s="1311"/>
      <c r="Y13" s="1310"/>
    </row>
    <row r="14" spans="1:46" ht="13.5" customHeight="1">
      <c r="A14" s="1327"/>
      <c r="B14" s="1326"/>
      <c r="C14" s="1325"/>
      <c r="D14" s="1324"/>
      <c r="E14" s="1323"/>
      <c r="F14" s="1322"/>
      <c r="G14" s="1321"/>
      <c r="H14" s="1314"/>
      <c r="I14" s="1313"/>
      <c r="J14" s="1311"/>
      <c r="K14" s="1313"/>
      <c r="L14" s="1320"/>
      <c r="M14" s="1319"/>
      <c r="N14" s="1313"/>
      <c r="O14" s="1313"/>
      <c r="P14" s="1311"/>
      <c r="Q14" s="1318"/>
      <c r="R14" s="1317"/>
      <c r="S14" s="1316"/>
      <c r="T14" s="1315"/>
      <c r="U14" s="1314"/>
      <c r="V14" s="1313"/>
      <c r="W14" s="1312"/>
      <c r="X14" s="1311"/>
      <c r="Y14" s="1310"/>
    </row>
    <row r="15" spans="1:46" ht="13.5" customHeight="1">
      <c r="A15" s="1327"/>
      <c r="B15" s="1326"/>
      <c r="C15" s="1325"/>
      <c r="D15" s="1324"/>
      <c r="E15" s="1323"/>
      <c r="F15" s="1322"/>
      <c r="G15" s="1321"/>
      <c r="H15" s="1314"/>
      <c r="I15" s="1313"/>
      <c r="J15" s="1311"/>
      <c r="K15" s="1313"/>
      <c r="L15" s="1320"/>
      <c r="M15" s="1319"/>
      <c r="N15" s="1313"/>
      <c r="O15" s="1313"/>
      <c r="P15" s="1311"/>
      <c r="Q15" s="1318"/>
      <c r="R15" s="1317"/>
      <c r="S15" s="1316"/>
      <c r="T15" s="1315"/>
      <c r="U15" s="1314"/>
      <c r="V15" s="1313"/>
      <c r="W15" s="1312"/>
      <c r="X15" s="1311"/>
      <c r="Y15" s="1310"/>
    </row>
    <row r="16" spans="1:46" ht="13.5" customHeight="1">
      <c r="A16" s="1327"/>
      <c r="B16" s="1326"/>
      <c r="C16" s="1325"/>
      <c r="D16" s="1324"/>
      <c r="E16" s="1323"/>
      <c r="F16" s="1322"/>
      <c r="G16" s="1321"/>
      <c r="H16" s="1314"/>
      <c r="I16" s="1313"/>
      <c r="J16" s="1311"/>
      <c r="K16" s="1313"/>
      <c r="L16" s="1320"/>
      <c r="M16" s="1319"/>
      <c r="N16" s="1313"/>
      <c r="O16" s="1313"/>
      <c r="P16" s="1311"/>
      <c r="Q16" s="1318"/>
      <c r="R16" s="1317"/>
      <c r="S16" s="1316"/>
      <c r="T16" s="1315"/>
      <c r="U16" s="1314"/>
      <c r="V16" s="1313"/>
      <c r="W16" s="1312"/>
      <c r="X16" s="1311"/>
      <c r="Y16" s="1310"/>
    </row>
    <row r="17" spans="1:25" ht="13.5" customHeight="1">
      <c r="A17" s="1327"/>
      <c r="B17" s="1326"/>
      <c r="C17" s="1325"/>
      <c r="D17" s="1324"/>
      <c r="E17" s="1323"/>
      <c r="F17" s="1322"/>
      <c r="G17" s="1321"/>
      <c r="H17" s="1314"/>
      <c r="I17" s="1313"/>
      <c r="J17" s="1311"/>
      <c r="K17" s="1313"/>
      <c r="L17" s="1320"/>
      <c r="M17" s="1319"/>
      <c r="N17" s="1313"/>
      <c r="O17" s="1313"/>
      <c r="P17" s="1311"/>
      <c r="Q17" s="1318"/>
      <c r="R17" s="1317"/>
      <c r="S17" s="1316"/>
      <c r="T17" s="1315"/>
      <c r="U17" s="1314"/>
      <c r="V17" s="1313"/>
      <c r="W17" s="1312"/>
      <c r="X17" s="1311"/>
      <c r="Y17" s="1310"/>
    </row>
    <row r="18" spans="1:25" ht="13.5" customHeight="1">
      <c r="A18" s="1327"/>
      <c r="B18" s="1326"/>
      <c r="C18" s="1325"/>
      <c r="D18" s="1324"/>
      <c r="E18" s="1323"/>
      <c r="F18" s="1322"/>
      <c r="G18" s="1321"/>
      <c r="H18" s="1314"/>
      <c r="I18" s="1313"/>
      <c r="J18" s="1311"/>
      <c r="K18" s="1313"/>
      <c r="L18" s="1320"/>
      <c r="M18" s="1319"/>
      <c r="N18" s="1313"/>
      <c r="O18" s="1313"/>
      <c r="P18" s="1311"/>
      <c r="Q18" s="1318"/>
      <c r="R18" s="1317"/>
      <c r="S18" s="1316"/>
      <c r="T18" s="1315"/>
      <c r="U18" s="1314"/>
      <c r="V18" s="1313"/>
      <c r="W18" s="1312"/>
      <c r="X18" s="1311"/>
      <c r="Y18" s="1310"/>
    </row>
    <row r="19" spans="1:25" ht="13.5" customHeight="1">
      <c r="A19" s="1327"/>
      <c r="B19" s="1326"/>
      <c r="C19" s="1325"/>
      <c r="D19" s="1324"/>
      <c r="E19" s="1323"/>
      <c r="F19" s="1322"/>
      <c r="G19" s="1321"/>
      <c r="H19" s="1314"/>
      <c r="I19" s="1313"/>
      <c r="J19" s="1311"/>
      <c r="K19" s="1313"/>
      <c r="L19" s="1320"/>
      <c r="M19" s="1319"/>
      <c r="N19" s="1313"/>
      <c r="O19" s="1313"/>
      <c r="P19" s="1311"/>
      <c r="Q19" s="1318"/>
      <c r="R19" s="1317"/>
      <c r="S19" s="1316"/>
      <c r="T19" s="1315"/>
      <c r="U19" s="1314"/>
      <c r="V19" s="1313"/>
      <c r="W19" s="1312"/>
      <c r="X19" s="1311"/>
      <c r="Y19" s="1310"/>
    </row>
    <row r="20" spans="1:25" ht="13.5" customHeight="1">
      <c r="A20" s="1327"/>
      <c r="B20" s="1326"/>
      <c r="C20" s="1325"/>
      <c r="D20" s="1324"/>
      <c r="E20" s="1323"/>
      <c r="F20" s="1322"/>
      <c r="G20" s="1321"/>
      <c r="H20" s="1314"/>
      <c r="I20" s="1313"/>
      <c r="J20" s="1311"/>
      <c r="K20" s="1313"/>
      <c r="L20" s="1320"/>
      <c r="M20" s="1319"/>
      <c r="N20" s="1313"/>
      <c r="O20" s="1313"/>
      <c r="P20" s="1311"/>
      <c r="Q20" s="1318"/>
      <c r="R20" s="1317"/>
      <c r="S20" s="1316"/>
      <c r="T20" s="1315"/>
      <c r="U20" s="1314"/>
      <c r="V20" s="1313"/>
      <c r="W20" s="1312"/>
      <c r="X20" s="1311"/>
      <c r="Y20" s="1310"/>
    </row>
    <row r="21" spans="1:25" ht="13.5" customHeight="1">
      <c r="A21" s="1327"/>
      <c r="B21" s="1326"/>
      <c r="C21" s="1325"/>
      <c r="D21" s="1324"/>
      <c r="E21" s="1323"/>
      <c r="F21" s="1322"/>
      <c r="G21" s="1321"/>
      <c r="H21" s="1314"/>
      <c r="I21" s="1313"/>
      <c r="J21" s="1311"/>
      <c r="K21" s="1313"/>
      <c r="L21" s="1320"/>
      <c r="M21" s="1319"/>
      <c r="N21" s="1313"/>
      <c r="O21" s="1313"/>
      <c r="P21" s="1311"/>
      <c r="Q21" s="1318"/>
      <c r="R21" s="1317"/>
      <c r="S21" s="1316"/>
      <c r="T21" s="1315"/>
      <c r="U21" s="1314"/>
      <c r="V21" s="1313"/>
      <c r="W21" s="1312"/>
      <c r="X21" s="1311"/>
      <c r="Y21" s="1310"/>
    </row>
    <row r="22" spans="1:25" ht="13.5" customHeight="1">
      <c r="A22" s="1327"/>
      <c r="B22" s="1326"/>
      <c r="C22" s="1325"/>
      <c r="D22" s="1324"/>
      <c r="E22" s="1323"/>
      <c r="F22" s="1322"/>
      <c r="G22" s="1321"/>
      <c r="H22" s="1314"/>
      <c r="I22" s="1313"/>
      <c r="J22" s="1311"/>
      <c r="K22" s="1313"/>
      <c r="L22" s="1320"/>
      <c r="M22" s="1319"/>
      <c r="N22" s="1313"/>
      <c r="O22" s="1313"/>
      <c r="P22" s="1311"/>
      <c r="Q22" s="1318"/>
      <c r="R22" s="1317"/>
      <c r="S22" s="1316"/>
      <c r="T22" s="1315"/>
      <c r="U22" s="1314"/>
      <c r="V22" s="1313"/>
      <c r="W22" s="1312"/>
      <c r="X22" s="1311"/>
      <c r="Y22" s="1310"/>
    </row>
    <row r="23" spans="1:25" ht="13.5" customHeight="1">
      <c r="A23" s="1327"/>
      <c r="B23" s="1326"/>
      <c r="C23" s="1325"/>
      <c r="D23" s="1324"/>
      <c r="E23" s="1323"/>
      <c r="F23" s="1322"/>
      <c r="G23" s="1321"/>
      <c r="H23" s="1314"/>
      <c r="I23" s="1313"/>
      <c r="J23" s="1311"/>
      <c r="K23" s="1313"/>
      <c r="L23" s="1320"/>
      <c r="M23" s="1319"/>
      <c r="N23" s="1313"/>
      <c r="O23" s="1313"/>
      <c r="P23" s="1311"/>
      <c r="Q23" s="1318"/>
      <c r="R23" s="1317"/>
      <c r="S23" s="1316"/>
      <c r="T23" s="1315"/>
      <c r="U23" s="1314"/>
      <c r="V23" s="1313"/>
      <c r="W23" s="1312"/>
      <c r="X23" s="1311"/>
      <c r="Y23" s="1310"/>
    </row>
    <row r="24" spans="1:25" ht="13.5" customHeight="1">
      <c r="A24" s="1327"/>
      <c r="B24" s="1326"/>
      <c r="C24" s="1325"/>
      <c r="D24" s="1324"/>
      <c r="E24" s="1323"/>
      <c r="F24" s="1322"/>
      <c r="G24" s="1321"/>
      <c r="H24" s="1314"/>
      <c r="I24" s="1313"/>
      <c r="J24" s="1311"/>
      <c r="K24" s="1313"/>
      <c r="L24" s="1320"/>
      <c r="M24" s="1319"/>
      <c r="N24" s="1313"/>
      <c r="O24" s="1313"/>
      <c r="P24" s="1311"/>
      <c r="Q24" s="1318"/>
      <c r="R24" s="1317"/>
      <c r="S24" s="1316"/>
      <c r="T24" s="1315"/>
      <c r="U24" s="1314"/>
      <c r="V24" s="1313"/>
      <c r="W24" s="1312"/>
      <c r="X24" s="1311"/>
      <c r="Y24" s="1310"/>
    </row>
    <row r="25" spans="1:25" ht="13.5" customHeight="1">
      <c r="A25" s="1327"/>
      <c r="B25" s="1326"/>
      <c r="C25" s="1325"/>
      <c r="D25" s="1324"/>
      <c r="E25" s="1323"/>
      <c r="F25" s="1322"/>
      <c r="G25" s="1321"/>
      <c r="H25" s="1314"/>
      <c r="I25" s="1313"/>
      <c r="J25" s="1311"/>
      <c r="K25" s="1313"/>
      <c r="L25" s="1320"/>
      <c r="M25" s="1319"/>
      <c r="N25" s="1313"/>
      <c r="O25" s="1313"/>
      <c r="P25" s="1311"/>
      <c r="Q25" s="1318"/>
      <c r="R25" s="1317"/>
      <c r="S25" s="1316"/>
      <c r="T25" s="1315"/>
      <c r="U25" s="1314"/>
      <c r="V25" s="1313"/>
      <c r="W25" s="1312"/>
      <c r="X25" s="1311"/>
      <c r="Y25" s="1310"/>
    </row>
    <row r="26" spans="1:25" ht="13.5" customHeight="1">
      <c r="A26" s="1327"/>
      <c r="B26" s="1326"/>
      <c r="C26" s="1325"/>
      <c r="D26" s="1324"/>
      <c r="E26" s="1323"/>
      <c r="F26" s="1322"/>
      <c r="G26" s="1321"/>
      <c r="H26" s="1314"/>
      <c r="I26" s="1313"/>
      <c r="J26" s="1311"/>
      <c r="K26" s="1313"/>
      <c r="L26" s="1320"/>
      <c r="M26" s="1319"/>
      <c r="N26" s="1313"/>
      <c r="O26" s="1313"/>
      <c r="P26" s="1311"/>
      <c r="Q26" s="1318"/>
      <c r="R26" s="1317"/>
      <c r="S26" s="1316"/>
      <c r="T26" s="1315"/>
      <c r="U26" s="1314"/>
      <c r="V26" s="1313"/>
      <c r="W26" s="1312"/>
      <c r="X26" s="1311"/>
      <c r="Y26" s="1310"/>
    </row>
    <row r="27" spans="1:25" ht="13.5" customHeight="1">
      <c r="A27" s="1327"/>
      <c r="B27" s="1326"/>
      <c r="C27" s="1325"/>
      <c r="D27" s="1324"/>
      <c r="E27" s="1323"/>
      <c r="F27" s="1322"/>
      <c r="G27" s="1321"/>
      <c r="H27" s="1314"/>
      <c r="I27" s="1313"/>
      <c r="J27" s="1311"/>
      <c r="K27" s="1313"/>
      <c r="L27" s="1320"/>
      <c r="M27" s="1319"/>
      <c r="N27" s="1313"/>
      <c r="O27" s="1313"/>
      <c r="P27" s="1311"/>
      <c r="Q27" s="1318"/>
      <c r="R27" s="1317"/>
      <c r="S27" s="1316"/>
      <c r="T27" s="1315"/>
      <c r="U27" s="1314"/>
      <c r="V27" s="1313"/>
      <c r="W27" s="1312"/>
      <c r="X27" s="1311"/>
      <c r="Y27" s="1310"/>
    </row>
    <row r="28" spans="1:25" ht="13.5" customHeight="1">
      <c r="A28" s="1327"/>
      <c r="B28" s="1326"/>
      <c r="C28" s="1325"/>
      <c r="D28" s="1324"/>
      <c r="E28" s="1323"/>
      <c r="F28" s="1322"/>
      <c r="G28" s="1321"/>
      <c r="H28" s="1314"/>
      <c r="I28" s="1313"/>
      <c r="J28" s="1311"/>
      <c r="K28" s="1313"/>
      <c r="L28" s="1320"/>
      <c r="M28" s="1319"/>
      <c r="N28" s="1313"/>
      <c r="O28" s="1313"/>
      <c r="P28" s="1311"/>
      <c r="Q28" s="1318"/>
      <c r="R28" s="1317"/>
      <c r="S28" s="1316"/>
      <c r="T28" s="1315"/>
      <c r="U28" s="1314"/>
      <c r="V28" s="1313"/>
      <c r="W28" s="1312"/>
      <c r="X28" s="1311"/>
      <c r="Y28" s="1310"/>
    </row>
    <row r="29" spans="1:25" ht="13.5" customHeight="1">
      <c r="A29" s="1327"/>
      <c r="B29" s="1326"/>
      <c r="C29" s="1325"/>
      <c r="D29" s="1324"/>
      <c r="E29" s="1323"/>
      <c r="F29" s="1322"/>
      <c r="G29" s="1321"/>
      <c r="H29" s="1314"/>
      <c r="I29" s="1313"/>
      <c r="J29" s="1311"/>
      <c r="K29" s="1313"/>
      <c r="L29" s="1320"/>
      <c r="M29" s="1319"/>
      <c r="N29" s="1313"/>
      <c r="O29" s="1313"/>
      <c r="P29" s="1311"/>
      <c r="Q29" s="1318"/>
      <c r="R29" s="1317"/>
      <c r="S29" s="1316"/>
      <c r="T29" s="1315"/>
      <c r="U29" s="1314"/>
      <c r="V29" s="1313"/>
      <c r="W29" s="1312"/>
      <c r="X29" s="1311"/>
      <c r="Y29" s="1310"/>
    </row>
    <row r="30" spans="1:25" ht="13.5" customHeight="1">
      <c r="A30" s="1327"/>
      <c r="B30" s="1326"/>
      <c r="C30" s="1325"/>
      <c r="D30" s="1324"/>
      <c r="E30" s="1323"/>
      <c r="F30" s="1322"/>
      <c r="G30" s="1321"/>
      <c r="H30" s="1314"/>
      <c r="I30" s="1313"/>
      <c r="J30" s="1311"/>
      <c r="K30" s="1313"/>
      <c r="L30" s="1320"/>
      <c r="M30" s="1319"/>
      <c r="N30" s="1313"/>
      <c r="O30" s="1313"/>
      <c r="P30" s="1311"/>
      <c r="Q30" s="1318"/>
      <c r="R30" s="1317"/>
      <c r="S30" s="1316"/>
      <c r="T30" s="1315"/>
      <c r="U30" s="1314"/>
      <c r="V30" s="1313"/>
      <c r="W30" s="1312"/>
      <c r="X30" s="1311"/>
      <c r="Y30" s="1310"/>
    </row>
    <row r="31" spans="1:25" ht="13.5" customHeight="1">
      <c r="A31" s="1327"/>
      <c r="B31" s="1326"/>
      <c r="C31" s="1325"/>
      <c r="D31" s="1324"/>
      <c r="E31" s="1323"/>
      <c r="F31" s="1322"/>
      <c r="G31" s="1321"/>
      <c r="H31" s="1314"/>
      <c r="I31" s="1313"/>
      <c r="J31" s="1311"/>
      <c r="K31" s="1313"/>
      <c r="L31" s="1320"/>
      <c r="M31" s="1319"/>
      <c r="N31" s="1313"/>
      <c r="O31" s="1313"/>
      <c r="P31" s="1311"/>
      <c r="Q31" s="1318"/>
      <c r="R31" s="1317"/>
      <c r="S31" s="1316"/>
      <c r="T31" s="1315"/>
      <c r="U31" s="1314"/>
      <c r="V31" s="1313"/>
      <c r="W31" s="1312"/>
      <c r="X31" s="1311"/>
      <c r="Y31" s="1310"/>
    </row>
    <row r="32" spans="1:25" ht="13.5" customHeight="1">
      <c r="A32" s="1327"/>
      <c r="B32" s="1326"/>
      <c r="C32" s="1325"/>
      <c r="D32" s="1324"/>
      <c r="E32" s="1323"/>
      <c r="F32" s="1322"/>
      <c r="G32" s="1321"/>
      <c r="H32" s="1314"/>
      <c r="I32" s="1313"/>
      <c r="J32" s="1311"/>
      <c r="K32" s="1313"/>
      <c r="L32" s="1320"/>
      <c r="M32" s="1319"/>
      <c r="N32" s="1313"/>
      <c r="O32" s="1313"/>
      <c r="P32" s="1311"/>
      <c r="Q32" s="1318"/>
      <c r="R32" s="1317"/>
      <c r="S32" s="1316"/>
      <c r="T32" s="1315"/>
      <c r="U32" s="1314"/>
      <c r="V32" s="1313"/>
      <c r="W32" s="1312"/>
      <c r="X32" s="1311"/>
      <c r="Y32" s="1310"/>
    </row>
    <row r="33" spans="1:25" ht="13.5" customHeight="1">
      <c r="A33" s="1327"/>
      <c r="B33" s="1326"/>
      <c r="C33" s="1325"/>
      <c r="D33" s="1324"/>
      <c r="E33" s="1323"/>
      <c r="F33" s="1322"/>
      <c r="G33" s="1321"/>
      <c r="H33" s="1314"/>
      <c r="I33" s="1313"/>
      <c r="J33" s="1311"/>
      <c r="K33" s="1313"/>
      <c r="L33" s="1320"/>
      <c r="M33" s="1319"/>
      <c r="N33" s="1313"/>
      <c r="O33" s="1313"/>
      <c r="P33" s="1311"/>
      <c r="Q33" s="1318"/>
      <c r="R33" s="1317"/>
      <c r="S33" s="1316"/>
      <c r="T33" s="1315"/>
      <c r="U33" s="1314"/>
      <c r="V33" s="1313"/>
      <c r="W33" s="1312"/>
      <c r="X33" s="1311"/>
      <c r="Y33" s="1310"/>
    </row>
    <row r="34" spans="1:25" ht="13.5" customHeight="1">
      <c r="A34" s="1327"/>
      <c r="B34" s="1326"/>
      <c r="C34" s="1325"/>
      <c r="D34" s="1324"/>
      <c r="E34" s="1323"/>
      <c r="F34" s="1322"/>
      <c r="G34" s="1321"/>
      <c r="H34" s="1314"/>
      <c r="I34" s="1313"/>
      <c r="J34" s="1311"/>
      <c r="K34" s="1313"/>
      <c r="L34" s="1320"/>
      <c r="M34" s="1319"/>
      <c r="N34" s="1313"/>
      <c r="O34" s="1313"/>
      <c r="P34" s="1311"/>
      <c r="Q34" s="1318"/>
      <c r="R34" s="1317"/>
      <c r="S34" s="1316"/>
      <c r="T34" s="1315"/>
      <c r="U34" s="1314"/>
      <c r="V34" s="1313"/>
      <c r="W34" s="1312"/>
      <c r="X34" s="1311"/>
      <c r="Y34" s="1310"/>
    </row>
    <row r="35" spans="1:25" ht="13.5" customHeight="1">
      <c r="A35" s="1327"/>
      <c r="B35" s="1326"/>
      <c r="C35" s="1325"/>
      <c r="D35" s="1324"/>
      <c r="E35" s="1323"/>
      <c r="F35" s="1322"/>
      <c r="G35" s="1321"/>
      <c r="H35" s="1314"/>
      <c r="I35" s="1313"/>
      <c r="J35" s="1311"/>
      <c r="K35" s="1313"/>
      <c r="L35" s="1320"/>
      <c r="M35" s="1319"/>
      <c r="N35" s="1313"/>
      <c r="O35" s="1313"/>
      <c r="P35" s="1311"/>
      <c r="Q35" s="1318"/>
      <c r="R35" s="1317"/>
      <c r="S35" s="1316"/>
      <c r="T35" s="1315"/>
      <c r="U35" s="1314"/>
      <c r="V35" s="1313"/>
      <c r="W35" s="1312"/>
      <c r="X35" s="1311"/>
      <c r="Y35" s="1310"/>
    </row>
    <row r="36" spans="1:25" ht="13.5" customHeight="1" thickBot="1">
      <c r="A36" s="1430"/>
      <c r="B36" s="1431"/>
      <c r="C36" s="1432"/>
      <c r="D36" s="1433"/>
      <c r="E36" s="1434"/>
      <c r="F36" s="1435"/>
      <c r="G36" s="1436"/>
      <c r="H36" s="1437"/>
      <c r="I36" s="1438"/>
      <c r="J36" s="1439"/>
      <c r="K36" s="1438"/>
      <c r="L36" s="1440"/>
      <c r="M36" s="1441"/>
      <c r="N36" s="1438"/>
      <c r="O36" s="1438"/>
      <c r="P36" s="1439"/>
      <c r="Q36" s="1442"/>
      <c r="R36" s="1443"/>
      <c r="S36" s="1444"/>
      <c r="T36" s="1445"/>
      <c r="U36" s="1437"/>
      <c r="V36" s="1438"/>
      <c r="W36" s="1446"/>
      <c r="X36" s="1439"/>
      <c r="Y36" s="1447"/>
    </row>
    <row r="37" spans="1:25" ht="18.95" customHeight="1" thickTop="1">
      <c r="A37" s="1456" t="s">
        <v>738</v>
      </c>
      <c r="B37" s="1457"/>
      <c r="C37" s="1458"/>
      <c r="D37" s="1448">
        <v>212</v>
      </c>
      <c r="E37" s="1449"/>
      <c r="F37" s="1449">
        <v>636</v>
      </c>
      <c r="G37" s="1450"/>
      <c r="H37" s="1451">
        <v>139228</v>
      </c>
      <c r="I37" s="1452">
        <v>0</v>
      </c>
      <c r="J37" s="1452">
        <v>139228</v>
      </c>
      <c r="K37" s="1452">
        <v>160</v>
      </c>
      <c r="L37" s="1452">
        <v>139388</v>
      </c>
      <c r="M37" s="1451">
        <v>0</v>
      </c>
      <c r="N37" s="1451">
        <v>0</v>
      </c>
      <c r="O37" s="1452">
        <v>0</v>
      </c>
      <c r="P37" s="1452">
        <v>0</v>
      </c>
      <c r="Q37" s="1452">
        <v>0</v>
      </c>
      <c r="R37" s="1452">
        <v>0</v>
      </c>
      <c r="S37" s="1453"/>
      <c r="T37" s="1454"/>
      <c r="U37" s="1451">
        <v>6360</v>
      </c>
      <c r="V37" s="1452">
        <v>159320</v>
      </c>
      <c r="W37" s="1452">
        <v>165680</v>
      </c>
      <c r="X37" s="1452">
        <v>165680</v>
      </c>
      <c r="Y37" s="1455"/>
    </row>
    <row r="38" spans="1:25" ht="13.5" customHeight="1">
      <c r="A38" s="1297" t="s">
        <v>777</v>
      </c>
      <c r="C38" s="1297" t="s">
        <v>778</v>
      </c>
    </row>
    <row r="39" spans="1:25" ht="13.5" customHeight="1">
      <c r="C39" s="1297" t="s">
        <v>779</v>
      </c>
    </row>
    <row r="40" spans="1:25" ht="13.5" customHeight="1">
      <c r="C40" s="1297" t="s">
        <v>780</v>
      </c>
    </row>
    <row r="41" spans="1:25" ht="13.5" customHeight="1">
      <c r="C41" s="1297" t="s">
        <v>781</v>
      </c>
    </row>
    <row r="42" spans="1:25" ht="13.5" customHeight="1">
      <c r="C42" s="1297" t="s">
        <v>782</v>
      </c>
    </row>
    <row r="43" spans="1:25" ht="13.5" customHeight="1">
      <c r="C43" s="1297" t="s">
        <v>783</v>
      </c>
    </row>
    <row r="56" spans="3:46" s="1297" customFormat="1" ht="13.5" customHeight="1">
      <c r="C56" s="1304"/>
      <c r="D56" s="1304"/>
      <c r="E56" s="1304"/>
      <c r="F56" s="1304"/>
      <c r="G56" s="1304"/>
      <c r="H56" s="1304"/>
      <c r="J56" s="1301"/>
      <c r="P56" s="1301"/>
      <c r="AB56" s="1300"/>
      <c r="AC56" s="1300"/>
      <c r="AD56" s="1300"/>
      <c r="AE56" s="1300"/>
      <c r="AF56" s="1300"/>
      <c r="AG56" s="1300"/>
      <c r="AH56" s="1300"/>
      <c r="AI56" s="1300"/>
      <c r="AJ56" s="1300"/>
      <c r="AK56" s="1300"/>
      <c r="AL56" s="1300"/>
      <c r="AM56" s="1300"/>
      <c r="AN56" s="1300"/>
      <c r="AO56" s="1300"/>
      <c r="AP56" s="1300"/>
      <c r="AQ56" s="1300"/>
      <c r="AR56" s="1299"/>
      <c r="AS56" s="1298"/>
      <c r="AT56" s="1298"/>
    </row>
    <row r="57" spans="3:46" s="1297" customFormat="1" ht="13.5" customHeight="1">
      <c r="C57" s="1304"/>
      <c r="D57" s="1304"/>
      <c r="E57" s="1304"/>
      <c r="F57" s="1304"/>
      <c r="G57" s="1304"/>
      <c r="H57" s="1304"/>
      <c r="I57" s="1305"/>
      <c r="J57" s="1301"/>
      <c r="O57" s="1305"/>
      <c r="P57" s="1301"/>
      <c r="AB57" s="1300"/>
      <c r="AC57" s="1300"/>
      <c r="AD57" s="1300"/>
      <c r="AE57" s="1300"/>
      <c r="AF57" s="1300"/>
      <c r="AG57" s="1300"/>
      <c r="AH57" s="1300"/>
      <c r="AI57" s="1300"/>
      <c r="AJ57" s="1300"/>
      <c r="AK57" s="1300"/>
      <c r="AL57" s="1300"/>
      <c r="AM57" s="1300"/>
      <c r="AN57" s="1300"/>
      <c r="AO57" s="1300"/>
      <c r="AP57" s="1300"/>
      <c r="AQ57" s="1300"/>
      <c r="AR57" s="1299"/>
      <c r="AS57" s="1298"/>
      <c r="AT57" s="1298"/>
    </row>
    <row r="58" spans="3:46" s="1297" customFormat="1" ht="13.5" customHeight="1">
      <c r="C58" s="1304"/>
      <c r="D58" s="1304"/>
      <c r="E58" s="1304"/>
      <c r="F58" s="1304"/>
      <c r="G58" s="1304"/>
      <c r="H58" s="1304"/>
      <c r="I58" s="1303"/>
      <c r="J58" s="1301"/>
      <c r="O58" s="1303"/>
      <c r="P58" s="1301"/>
      <c r="AB58" s="1300"/>
      <c r="AC58" s="1300"/>
      <c r="AD58" s="1300"/>
      <c r="AE58" s="1300"/>
      <c r="AF58" s="1300"/>
      <c r="AG58" s="1300"/>
      <c r="AH58" s="1300"/>
      <c r="AI58" s="1300"/>
      <c r="AJ58" s="1300"/>
      <c r="AK58" s="1300"/>
      <c r="AL58" s="1300"/>
      <c r="AM58" s="1300"/>
      <c r="AN58" s="1300"/>
      <c r="AO58" s="1300"/>
      <c r="AP58" s="1300"/>
      <c r="AQ58" s="1300"/>
      <c r="AR58" s="1299"/>
      <c r="AS58" s="1298"/>
      <c r="AT58" s="1298"/>
    </row>
    <row r="59" spans="3:46" s="1297" customFormat="1" ht="13.5" customHeight="1">
      <c r="C59" s="1302"/>
      <c r="D59" s="1302"/>
      <c r="E59" s="1302"/>
      <c r="F59" s="1302"/>
      <c r="G59" s="1302"/>
      <c r="H59" s="1302"/>
      <c r="I59" s="1301"/>
      <c r="O59" s="1301"/>
      <c r="AB59" s="1300"/>
      <c r="AC59" s="1300"/>
      <c r="AD59" s="1300"/>
      <c r="AE59" s="1300"/>
      <c r="AF59" s="1300"/>
      <c r="AG59" s="1300"/>
      <c r="AH59" s="1300"/>
      <c r="AI59" s="1300"/>
      <c r="AJ59" s="1300"/>
      <c r="AK59" s="1300"/>
      <c r="AL59" s="1300"/>
      <c r="AM59" s="1300"/>
      <c r="AN59" s="1300"/>
      <c r="AO59" s="1300"/>
      <c r="AP59" s="1300"/>
      <c r="AQ59" s="1300"/>
      <c r="AR59" s="1299"/>
      <c r="AS59" s="1298"/>
      <c r="AT59" s="1298"/>
    </row>
  </sheetData>
  <mergeCells count="33">
    <mergeCell ref="A37:C37"/>
    <mergeCell ref="H5:H6"/>
    <mergeCell ref="N5:N6"/>
    <mergeCell ref="AB2:AI3"/>
    <mergeCell ref="AJ2:AQ3"/>
    <mergeCell ref="AS2:AT4"/>
    <mergeCell ref="A4:A6"/>
    <mergeCell ref="B4:B6"/>
    <mergeCell ref="C4:C6"/>
    <mergeCell ref="D4:D6"/>
    <mergeCell ref="E4:E6"/>
    <mergeCell ref="F4:F6"/>
    <mergeCell ref="G4:G6"/>
    <mergeCell ref="H4:L4"/>
    <mergeCell ref="M4:M6"/>
    <mergeCell ref="N4:R4"/>
    <mergeCell ref="S4:T5"/>
    <mergeCell ref="U4:X4"/>
    <mergeCell ref="Y4:Y6"/>
    <mergeCell ref="U5:U6"/>
    <mergeCell ref="V5:V6"/>
    <mergeCell ref="W5:W6"/>
    <mergeCell ref="X5:X6"/>
    <mergeCell ref="K5:K6"/>
    <mergeCell ref="L5:L6"/>
    <mergeCell ref="Q5:Q6"/>
    <mergeCell ref="R5:R6"/>
    <mergeCell ref="AS5:AS6"/>
    <mergeCell ref="AT5:AT6"/>
    <mergeCell ref="AB4:AE4"/>
    <mergeCell ref="AF4:AI4"/>
    <mergeCell ref="AJ4:AM4"/>
    <mergeCell ref="AN4:AQ4"/>
  </mergeCells>
  <phoneticPr fontId="4"/>
  <printOptions horizontalCentered="1"/>
  <pageMargins left="0.39370078740157483" right="0.39370078740157483" top="0.78740157480314965" bottom="0.47244094488188981" header="0.59055118110236227" footer="0.31496062992125984"/>
  <pageSetup paperSize="9" scale="74" orientation="landscape" horizontalDpi="1200" verticalDpi="1200" r:id="rId1"/>
  <headerFooter scaleWithDoc="0" alignWithMargins="0">
    <oddFooter>&amp;C&amp;"ＭＳ Ｐゴシック,標準"&amp;9( &amp;P / &amp;N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11111221265">
    <pageSetUpPr fitToPage="1"/>
  </sheetPr>
  <dimension ref="A1:AH32"/>
  <sheetViews>
    <sheetView showGridLines="0" zoomScaleNormal="100" workbookViewId="0"/>
  </sheetViews>
  <sheetFormatPr defaultColWidth="11.7109375" defaultRowHeight="18" customHeight="1"/>
  <cols>
    <col min="1" max="12" width="9.140625" style="1473" customWidth="1"/>
    <col min="13" max="13" width="2.5703125" style="1473" customWidth="1"/>
    <col min="14" max="16" width="9.140625" style="1473" customWidth="1"/>
    <col min="17" max="18" width="3.7109375" style="1473" customWidth="1"/>
    <col min="19" max="25" width="9.140625" style="1473" customWidth="1"/>
    <col min="26" max="27" width="3.7109375" style="1473" customWidth="1"/>
    <col min="28" max="34" width="9.140625" style="1473" customWidth="1"/>
    <col min="35" max="16384" width="11.7109375" style="1473"/>
  </cols>
  <sheetData>
    <row r="1" spans="1:34" s="1502" customFormat="1" ht="18" customHeight="1">
      <c r="A1" s="1507" t="s">
        <v>804</v>
      </c>
      <c r="B1" s="1504"/>
      <c r="C1" s="1504"/>
      <c r="D1" s="1504"/>
      <c r="E1" s="1504"/>
      <c r="F1" s="1504"/>
      <c r="G1" s="1504"/>
      <c r="H1" s="1504"/>
      <c r="I1" s="1504"/>
      <c r="J1" s="1504"/>
      <c r="K1" s="1504"/>
      <c r="L1" s="1504"/>
      <c r="M1" s="1504"/>
      <c r="N1" s="1504"/>
      <c r="O1" s="1504"/>
      <c r="P1" s="1503"/>
      <c r="R1" s="1506" t="s">
        <v>834</v>
      </c>
      <c r="S1" s="1505"/>
      <c r="T1" s="1504"/>
      <c r="U1" s="1504"/>
      <c r="V1" s="1504"/>
      <c r="W1" s="1504"/>
      <c r="X1" s="1504"/>
      <c r="Y1" s="1504"/>
      <c r="Z1" s="1504"/>
      <c r="AA1" s="1504"/>
      <c r="AB1" s="1504"/>
      <c r="AC1" s="1504"/>
      <c r="AD1" s="1504"/>
      <c r="AE1" s="1504"/>
      <c r="AF1" s="1504"/>
      <c r="AG1" s="1504"/>
      <c r="AH1" s="1503"/>
    </row>
    <row r="2" spans="1:34" ht="9.75" customHeight="1" thickBot="1">
      <c r="M2" s="1501"/>
      <c r="N2" s="1500"/>
      <c r="O2" s="1500"/>
      <c r="P2" s="1500"/>
    </row>
    <row r="3" spans="1:34" ht="18" customHeight="1" thickBot="1">
      <c r="A3" s="1488"/>
      <c r="B3" s="1499"/>
      <c r="C3" s="1499"/>
      <c r="D3" s="1499"/>
      <c r="E3" s="1499"/>
      <c r="F3" s="1499"/>
      <c r="G3" s="1499"/>
      <c r="H3" s="1499"/>
      <c r="I3" s="1499"/>
      <c r="J3" s="1499"/>
      <c r="K3" s="1499"/>
      <c r="L3" s="1490"/>
      <c r="M3" s="1490"/>
      <c r="N3" s="1498" t="s">
        <v>800</v>
      </c>
      <c r="O3" s="1497"/>
      <c r="P3" s="1496"/>
      <c r="Q3" s="1488"/>
      <c r="R3" s="1510" t="s">
        <v>805</v>
      </c>
      <c r="S3" s="1511"/>
      <c r="T3" s="1511"/>
      <c r="U3" s="1511"/>
      <c r="V3" s="1511"/>
      <c r="W3" s="1511"/>
      <c r="X3" s="1511"/>
      <c r="Y3" s="1511"/>
      <c r="AA3" s="1510" t="s">
        <v>828</v>
      </c>
      <c r="AB3" s="1511"/>
      <c r="AC3" s="1511"/>
      <c r="AD3" s="1511"/>
      <c r="AE3" s="1511"/>
      <c r="AF3" s="1511"/>
      <c r="AG3" s="1511"/>
      <c r="AH3" s="1511"/>
    </row>
    <row r="4" spans="1:34" ht="18" customHeight="1">
      <c r="A4" s="1488"/>
      <c r="B4" s="1488"/>
      <c r="C4" s="1488"/>
      <c r="D4" s="1488"/>
      <c r="E4" s="1488"/>
      <c r="F4" s="1488"/>
      <c r="G4" s="1488"/>
      <c r="H4" s="1488"/>
      <c r="I4" s="1495"/>
      <c r="J4" s="1490"/>
      <c r="K4" s="1495"/>
      <c r="L4" s="1490"/>
      <c r="M4" s="1490"/>
      <c r="N4" s="1480" t="s">
        <v>787</v>
      </c>
      <c r="O4" s="1479"/>
      <c r="P4" s="1478"/>
      <c r="Q4" s="1488"/>
      <c r="S4" s="1512" t="s">
        <v>806</v>
      </c>
      <c r="T4" s="1513"/>
      <c r="U4" s="1513"/>
      <c r="V4" s="1513"/>
      <c r="W4" s="1513"/>
      <c r="X4" s="1513"/>
      <c r="Y4" s="1513"/>
      <c r="AB4" s="1512" t="s">
        <v>829</v>
      </c>
      <c r="AC4" s="1513"/>
      <c r="AD4" s="1513"/>
      <c r="AE4" s="1513"/>
      <c r="AF4" s="1513"/>
      <c r="AG4" s="1513"/>
      <c r="AH4" s="1513"/>
    </row>
    <row r="5" spans="1:34" ht="18" customHeight="1">
      <c r="A5" s="1488"/>
      <c r="B5" s="1488"/>
      <c r="C5" s="1488"/>
      <c r="D5" s="1488"/>
      <c r="E5" s="1488"/>
      <c r="F5" s="1488"/>
      <c r="G5" s="1488"/>
      <c r="H5" s="1488"/>
      <c r="I5" s="1490"/>
      <c r="J5" s="1489"/>
      <c r="K5" s="1490"/>
      <c r="L5" s="1489"/>
      <c r="M5" s="1489"/>
      <c r="N5" s="1480" t="s">
        <v>788</v>
      </c>
      <c r="O5" s="1479"/>
      <c r="P5" s="1478"/>
      <c r="Q5" s="1488"/>
      <c r="S5" s="1508" t="s">
        <v>807</v>
      </c>
      <c r="T5" s="1509"/>
      <c r="U5" s="1509"/>
      <c r="V5" s="1509"/>
      <c r="W5" s="1509"/>
      <c r="X5" s="1509"/>
      <c r="Y5" s="1509"/>
      <c r="AB5" s="1508" t="s">
        <v>830</v>
      </c>
      <c r="AC5" s="1509"/>
      <c r="AD5" s="1509"/>
      <c r="AE5" s="1509"/>
      <c r="AF5" s="1509"/>
      <c r="AG5" s="1509"/>
      <c r="AH5" s="1509"/>
    </row>
    <row r="6" spans="1:34" ht="18" customHeight="1">
      <c r="A6" s="1488"/>
      <c r="F6" s="1488"/>
      <c r="G6" s="1488"/>
      <c r="H6" s="1488"/>
      <c r="I6" s="1490"/>
      <c r="J6" s="1489"/>
      <c r="K6" s="1490"/>
      <c r="L6" s="1489"/>
      <c r="M6" s="1489"/>
      <c r="N6" s="1480" t="s">
        <v>789</v>
      </c>
      <c r="O6" s="1479"/>
      <c r="P6" s="1478"/>
      <c r="Q6" s="1488"/>
      <c r="S6" s="1508" t="s">
        <v>786</v>
      </c>
      <c r="T6" s="1509"/>
      <c r="U6" s="1509"/>
      <c r="V6" s="1509"/>
      <c r="W6" s="1509"/>
      <c r="X6" s="1509"/>
      <c r="Y6" s="1509"/>
      <c r="AB6" s="1508" t="s">
        <v>831</v>
      </c>
      <c r="AC6" s="1509"/>
      <c r="AD6" s="1509"/>
      <c r="AE6" s="1509"/>
      <c r="AF6" s="1509"/>
      <c r="AG6" s="1509"/>
      <c r="AH6" s="1509"/>
    </row>
    <row r="7" spans="1:34" ht="18" customHeight="1" thickBot="1">
      <c r="A7" s="1488"/>
      <c r="F7" s="1488"/>
      <c r="G7" s="1488"/>
      <c r="H7" s="1488"/>
      <c r="I7" s="1481"/>
      <c r="J7" s="1481"/>
      <c r="K7" s="1481"/>
      <c r="L7" s="1481"/>
      <c r="M7" s="1481"/>
      <c r="N7" s="1480" t="s">
        <v>790</v>
      </c>
      <c r="O7" s="1479"/>
      <c r="P7" s="1478"/>
      <c r="Q7" s="1488"/>
      <c r="R7" s="1510" t="s">
        <v>808</v>
      </c>
      <c r="S7" s="1511"/>
      <c r="T7" s="1511"/>
      <c r="U7" s="1511"/>
      <c r="V7" s="1511"/>
      <c r="W7" s="1511"/>
      <c r="X7" s="1511"/>
      <c r="Y7" s="1511"/>
      <c r="AB7" s="1508" t="s">
        <v>832</v>
      </c>
      <c r="AC7" s="1509"/>
      <c r="AD7" s="1509"/>
      <c r="AE7" s="1509"/>
      <c r="AF7" s="1509"/>
      <c r="AG7" s="1509"/>
      <c r="AH7" s="1509"/>
    </row>
    <row r="8" spans="1:34" ht="18" customHeight="1">
      <c r="A8" s="1488"/>
      <c r="C8" s="1494" t="s">
        <v>785</v>
      </c>
      <c r="D8" s="1493"/>
      <c r="F8" s="1488"/>
      <c r="G8" s="1488"/>
      <c r="H8" s="1488"/>
      <c r="I8" s="1488"/>
      <c r="J8" s="1488"/>
      <c r="K8" s="1488"/>
      <c r="L8" s="1488"/>
      <c r="M8" s="1488"/>
      <c r="N8" s="1480" t="s">
        <v>791</v>
      </c>
      <c r="O8" s="1479"/>
      <c r="P8" s="1478"/>
      <c r="Q8" s="1488"/>
      <c r="R8" s="1512" t="s">
        <v>809</v>
      </c>
      <c r="S8" s="1513"/>
      <c r="T8" s="1513"/>
      <c r="U8" s="1513"/>
      <c r="V8" s="1513"/>
      <c r="W8" s="1513"/>
      <c r="X8" s="1513"/>
      <c r="Y8" s="1513"/>
      <c r="AB8" s="1508" t="s">
        <v>833</v>
      </c>
      <c r="AC8" s="1509"/>
      <c r="AD8" s="1509"/>
      <c r="AE8" s="1509"/>
      <c r="AF8" s="1509"/>
      <c r="AG8" s="1509"/>
      <c r="AH8" s="1509"/>
    </row>
    <row r="9" spans="1:34" ht="18" customHeight="1" thickBot="1">
      <c r="A9" s="1488"/>
      <c r="B9" s="1485"/>
      <c r="C9" s="1492"/>
      <c r="D9" s="1491"/>
      <c r="E9" s="1485"/>
      <c r="F9" s="1488"/>
      <c r="G9" s="1488"/>
      <c r="H9" s="1488"/>
      <c r="I9" s="1490"/>
      <c r="J9" s="1490"/>
      <c r="K9" s="1490"/>
      <c r="L9" s="1490"/>
      <c r="M9" s="1490"/>
      <c r="N9" s="1480" t="s">
        <v>792</v>
      </c>
      <c r="O9" s="1479"/>
      <c r="P9" s="1478"/>
      <c r="Q9" s="1488"/>
      <c r="R9" s="1485"/>
      <c r="S9" s="1514" t="s">
        <v>810</v>
      </c>
      <c r="T9" s="1509"/>
      <c r="U9" s="1509"/>
      <c r="V9" s="1509"/>
      <c r="W9" s="1509"/>
      <c r="X9" s="1509"/>
      <c r="Y9" s="1509"/>
    </row>
    <row r="10" spans="1:34" ht="18" customHeight="1">
      <c r="A10" s="1488"/>
      <c r="B10" s="1485"/>
      <c r="C10" s="1485"/>
      <c r="D10" s="1485"/>
      <c r="E10" s="1485"/>
      <c r="F10" s="1488"/>
      <c r="G10" s="1488"/>
      <c r="H10" s="1488"/>
      <c r="I10" s="1490"/>
      <c r="M10" s="1490"/>
      <c r="N10" s="1480" t="s">
        <v>793</v>
      </c>
      <c r="O10" s="1479"/>
      <c r="P10" s="1478"/>
      <c r="Q10" s="1488"/>
      <c r="R10" s="1485"/>
      <c r="S10" s="1514" t="s">
        <v>811</v>
      </c>
      <c r="T10" s="1509"/>
      <c r="U10" s="1509"/>
      <c r="V10" s="1509"/>
      <c r="W10" s="1509"/>
      <c r="X10" s="1509"/>
      <c r="Y10" s="1509"/>
    </row>
    <row r="11" spans="1:34" ht="18" customHeight="1">
      <c r="A11" s="1488"/>
      <c r="B11" s="1485"/>
      <c r="C11" s="1485"/>
      <c r="D11" s="1485"/>
      <c r="E11" s="1485"/>
      <c r="F11" s="1488"/>
      <c r="G11" s="1488"/>
      <c r="H11" s="1488"/>
      <c r="I11" s="1490"/>
      <c r="M11" s="1489"/>
      <c r="N11" s="1480" t="s">
        <v>794</v>
      </c>
      <c r="O11" s="1479"/>
      <c r="P11" s="1478"/>
      <c r="Q11" s="1488"/>
      <c r="R11" s="1485"/>
      <c r="S11" s="1514" t="s">
        <v>786</v>
      </c>
      <c r="T11" s="1509"/>
      <c r="U11" s="1509"/>
      <c r="V11" s="1509"/>
      <c r="W11" s="1509"/>
      <c r="X11" s="1509"/>
      <c r="Y11" s="1509"/>
    </row>
    <row r="12" spans="1:34" ht="18" customHeight="1">
      <c r="A12" s="1488"/>
      <c r="B12" s="1485"/>
      <c r="C12" s="1485"/>
      <c r="D12" s="1485"/>
      <c r="E12" s="1485"/>
      <c r="F12" s="1488"/>
      <c r="G12" s="1488"/>
      <c r="H12" s="1488"/>
      <c r="I12" s="1490"/>
      <c r="M12" s="1489"/>
      <c r="N12" s="1480" t="s">
        <v>786</v>
      </c>
      <c r="O12" s="1479"/>
      <c r="P12" s="1478"/>
      <c r="R12" s="1514" t="s">
        <v>812</v>
      </c>
      <c r="S12" s="1509"/>
      <c r="T12" s="1509"/>
      <c r="U12" s="1509"/>
      <c r="V12" s="1509"/>
      <c r="W12" s="1509"/>
      <c r="X12" s="1509"/>
      <c r="Y12" s="1509"/>
    </row>
    <row r="13" spans="1:34" ht="18" customHeight="1">
      <c r="A13" s="1488"/>
      <c r="B13" s="1485"/>
      <c r="C13" s="1485"/>
      <c r="D13" s="1485"/>
      <c r="E13" s="1485"/>
      <c r="F13" s="1488"/>
      <c r="G13" s="1488"/>
      <c r="H13" s="1488"/>
      <c r="I13" s="1481"/>
      <c r="M13" s="1481"/>
      <c r="N13" s="1480" t="s">
        <v>795</v>
      </c>
      <c r="O13" s="1479"/>
      <c r="P13" s="1478"/>
      <c r="R13" s="1485"/>
      <c r="S13" s="1514" t="s">
        <v>813</v>
      </c>
      <c r="T13" s="1509"/>
      <c r="U13" s="1509"/>
      <c r="V13" s="1509"/>
      <c r="W13" s="1509"/>
      <c r="X13" s="1509"/>
      <c r="Y13" s="1509"/>
    </row>
    <row r="14" spans="1:34" ht="18" customHeight="1">
      <c r="A14" s="1488"/>
      <c r="B14" s="1488"/>
      <c r="C14" s="1488"/>
      <c r="D14" s="1488"/>
      <c r="E14" s="1488"/>
      <c r="F14" s="1488"/>
      <c r="G14" s="1488"/>
      <c r="H14" s="1488"/>
      <c r="I14" s="1488"/>
      <c r="M14" s="1488"/>
      <c r="N14" s="1480" t="s">
        <v>796</v>
      </c>
      <c r="O14" s="1479"/>
      <c r="P14" s="1478"/>
      <c r="R14" s="1485"/>
      <c r="S14" s="1514" t="s">
        <v>814</v>
      </c>
      <c r="T14" s="1509"/>
      <c r="U14" s="1509"/>
      <c r="V14" s="1509"/>
      <c r="W14" s="1509"/>
      <c r="X14" s="1509"/>
      <c r="Y14" s="1509"/>
    </row>
    <row r="15" spans="1:34" ht="18" customHeight="1">
      <c r="N15" s="1480" t="s">
        <v>797</v>
      </c>
      <c r="O15" s="1479"/>
      <c r="P15" s="1478"/>
      <c r="S15" s="1514" t="s">
        <v>815</v>
      </c>
      <c r="T15" s="1509"/>
      <c r="U15" s="1509"/>
      <c r="V15" s="1509"/>
      <c r="W15" s="1509"/>
      <c r="X15" s="1509"/>
      <c r="Y15" s="1509"/>
    </row>
    <row r="16" spans="1:34" ht="18" customHeight="1">
      <c r="N16" s="1480" t="s">
        <v>798</v>
      </c>
      <c r="O16" s="1479"/>
      <c r="P16" s="1478"/>
      <c r="R16" s="1481"/>
      <c r="S16" s="1515" t="s">
        <v>786</v>
      </c>
      <c r="T16" s="1509"/>
      <c r="U16" s="1509"/>
      <c r="V16" s="1509"/>
      <c r="W16" s="1509"/>
      <c r="X16" s="1509"/>
      <c r="Y16" s="1509"/>
    </row>
    <row r="17" spans="1:25" ht="18" customHeight="1" thickBot="1">
      <c r="N17" s="1480" t="s">
        <v>799</v>
      </c>
      <c r="O17" s="1479"/>
      <c r="P17" s="1478"/>
      <c r="R17" s="1516" t="s">
        <v>816</v>
      </c>
      <c r="S17" s="1511"/>
      <c r="T17" s="1511"/>
      <c r="U17" s="1511"/>
      <c r="V17" s="1511"/>
      <c r="W17" s="1511"/>
      <c r="X17" s="1511"/>
      <c r="Y17" s="1511"/>
    </row>
    <row r="18" spans="1:25" ht="18" customHeight="1">
      <c r="N18" s="1480"/>
      <c r="O18" s="1479"/>
      <c r="P18" s="1478"/>
      <c r="R18" s="1517" t="s">
        <v>817</v>
      </c>
      <c r="S18" s="1513"/>
      <c r="T18" s="1513"/>
      <c r="U18" s="1513"/>
      <c r="V18" s="1513"/>
      <c r="W18" s="1513"/>
      <c r="X18" s="1513"/>
      <c r="Y18" s="1513"/>
    </row>
    <row r="19" spans="1:25" ht="18" customHeight="1">
      <c r="I19" s="1481"/>
      <c r="M19" s="1481"/>
      <c r="N19" s="1480"/>
      <c r="O19" s="1479"/>
      <c r="P19" s="1478"/>
      <c r="R19" s="1487"/>
      <c r="S19" s="1518" t="s">
        <v>818</v>
      </c>
      <c r="T19" s="1509"/>
      <c r="U19" s="1509"/>
      <c r="V19" s="1509"/>
      <c r="W19" s="1509"/>
      <c r="X19" s="1509"/>
      <c r="Y19" s="1509"/>
    </row>
    <row r="20" spans="1:25" ht="18" customHeight="1">
      <c r="N20" s="1480"/>
      <c r="O20" s="1479"/>
      <c r="P20" s="1478"/>
      <c r="R20" s="1485"/>
      <c r="S20" s="1514" t="s">
        <v>819</v>
      </c>
      <c r="T20" s="1509"/>
      <c r="U20" s="1509"/>
      <c r="V20" s="1509"/>
      <c r="W20" s="1509"/>
      <c r="X20" s="1509"/>
      <c r="Y20" s="1509"/>
    </row>
    <row r="21" spans="1:25" ht="18" customHeight="1">
      <c r="A21" s="1486"/>
      <c r="B21" s="1485"/>
      <c r="C21" s="1485"/>
      <c r="N21" s="1480"/>
      <c r="O21" s="1479"/>
      <c r="P21" s="1478"/>
      <c r="R21" s="1484"/>
      <c r="S21" s="1519" t="s">
        <v>820</v>
      </c>
      <c r="T21" s="1509"/>
      <c r="U21" s="1509"/>
      <c r="V21" s="1509"/>
      <c r="W21" s="1509"/>
      <c r="X21" s="1509"/>
      <c r="Y21" s="1509"/>
    </row>
    <row r="22" spans="1:25" ht="18" customHeight="1">
      <c r="A22" s="1486"/>
      <c r="B22" s="1485"/>
      <c r="C22" s="1485"/>
      <c r="N22" s="1480"/>
      <c r="O22" s="1479"/>
      <c r="P22" s="1478"/>
      <c r="R22" s="1484"/>
      <c r="S22" s="1519" t="s">
        <v>786</v>
      </c>
      <c r="T22" s="1509"/>
      <c r="U22" s="1509"/>
      <c r="V22" s="1509"/>
      <c r="W22" s="1509"/>
      <c r="X22" s="1509"/>
      <c r="Y22" s="1509"/>
    </row>
    <row r="23" spans="1:25" ht="18" customHeight="1">
      <c r="N23" s="1480"/>
      <c r="O23" s="1479"/>
      <c r="P23" s="1478"/>
      <c r="R23" s="1508" t="s">
        <v>821</v>
      </c>
      <c r="S23" s="1509"/>
      <c r="T23" s="1509"/>
      <c r="U23" s="1509"/>
      <c r="V23" s="1509"/>
      <c r="W23" s="1509"/>
      <c r="X23" s="1509"/>
      <c r="Y23" s="1509"/>
    </row>
    <row r="24" spans="1:25" ht="18" customHeight="1">
      <c r="N24" s="1480"/>
      <c r="O24" s="1479"/>
      <c r="P24" s="1478"/>
      <c r="S24" s="1508" t="s">
        <v>818</v>
      </c>
      <c r="T24" s="1509"/>
      <c r="U24" s="1509"/>
      <c r="V24" s="1509"/>
      <c r="W24" s="1509"/>
      <c r="X24" s="1509"/>
      <c r="Y24" s="1509"/>
    </row>
    <row r="25" spans="1:25" ht="18" customHeight="1">
      <c r="N25" s="1480"/>
      <c r="O25" s="1479"/>
      <c r="P25" s="1478"/>
      <c r="S25" s="1508" t="s">
        <v>822</v>
      </c>
      <c r="T25" s="1509"/>
      <c r="U25" s="1509"/>
      <c r="V25" s="1509"/>
      <c r="W25" s="1509"/>
      <c r="X25" s="1509"/>
      <c r="Y25" s="1509"/>
    </row>
    <row r="26" spans="1:25" ht="18" customHeight="1">
      <c r="N26" s="1480"/>
      <c r="O26" s="1479"/>
      <c r="P26" s="1478"/>
      <c r="S26" s="1508" t="s">
        <v>823</v>
      </c>
      <c r="T26" s="1509"/>
      <c r="U26" s="1509"/>
      <c r="V26" s="1509"/>
      <c r="W26" s="1509"/>
      <c r="X26" s="1509"/>
      <c r="Y26" s="1509"/>
    </row>
    <row r="27" spans="1:25" ht="18" customHeight="1">
      <c r="N27" s="1480"/>
      <c r="O27" s="1479"/>
      <c r="P27" s="1478"/>
      <c r="S27" s="1508" t="s">
        <v>786</v>
      </c>
      <c r="T27" s="1509"/>
      <c r="U27" s="1509"/>
      <c r="V27" s="1509"/>
      <c r="W27" s="1509"/>
      <c r="X27" s="1509"/>
      <c r="Y27" s="1509"/>
    </row>
    <row r="28" spans="1:25" ht="18" customHeight="1">
      <c r="A28" s="1481"/>
      <c r="B28" s="1481"/>
      <c r="C28" s="1481"/>
      <c r="D28" s="1481"/>
      <c r="N28" s="1480"/>
      <c r="O28" s="1479"/>
      <c r="P28" s="1478"/>
      <c r="R28" s="1508" t="s">
        <v>824</v>
      </c>
      <c r="S28" s="1509"/>
      <c r="T28" s="1509"/>
      <c r="U28" s="1509"/>
      <c r="V28" s="1509"/>
      <c r="W28" s="1509"/>
      <c r="X28" s="1509"/>
      <c r="Y28" s="1509"/>
    </row>
    <row r="29" spans="1:25" ht="18" customHeight="1" thickBot="1">
      <c r="A29" s="1483" t="s">
        <v>784</v>
      </c>
      <c r="B29" s="1483"/>
      <c r="C29" s="1483"/>
      <c r="D29" s="1483"/>
      <c r="E29" s="1483"/>
      <c r="F29" s="1483"/>
      <c r="G29" s="1483"/>
      <c r="H29" s="1483"/>
      <c r="I29" s="1483"/>
      <c r="J29" s="1483"/>
      <c r="K29" s="1483"/>
      <c r="L29" s="1483"/>
      <c r="M29" s="1481"/>
      <c r="N29" s="1480"/>
      <c r="O29" s="1479"/>
      <c r="P29" s="1478"/>
      <c r="S29" s="1508" t="s">
        <v>825</v>
      </c>
      <c r="T29" s="1509"/>
      <c r="U29" s="1509"/>
      <c r="V29" s="1509"/>
      <c r="W29" s="1509"/>
      <c r="X29" s="1509"/>
      <c r="Y29" s="1509"/>
    </row>
    <row r="30" spans="1:25" ht="18" customHeight="1">
      <c r="A30" s="1482" t="s">
        <v>801</v>
      </c>
      <c r="B30" s="1482"/>
      <c r="C30" s="1482"/>
      <c r="D30" s="1482"/>
      <c r="E30" s="1482"/>
      <c r="F30" s="1482"/>
      <c r="G30" s="1482"/>
      <c r="H30" s="1482"/>
      <c r="I30" s="1482"/>
      <c r="J30" s="1482"/>
      <c r="K30" s="1482"/>
      <c r="L30" s="1482"/>
      <c r="M30" s="1481"/>
      <c r="N30" s="1480"/>
      <c r="O30" s="1479"/>
      <c r="P30" s="1478"/>
      <c r="S30" s="1508" t="s">
        <v>826</v>
      </c>
      <c r="T30" s="1509"/>
      <c r="U30" s="1509"/>
      <c r="V30" s="1509"/>
      <c r="W30" s="1509"/>
      <c r="X30" s="1509"/>
      <c r="Y30" s="1509"/>
    </row>
    <row r="31" spans="1:25" ht="18" customHeight="1">
      <c r="A31" s="1477" t="s">
        <v>802</v>
      </c>
      <c r="B31" s="1477"/>
      <c r="C31" s="1477"/>
      <c r="D31" s="1477"/>
      <c r="E31" s="1477"/>
      <c r="F31" s="1477"/>
      <c r="G31" s="1477"/>
      <c r="H31" s="1477"/>
      <c r="I31" s="1477"/>
      <c r="J31" s="1477"/>
      <c r="K31" s="1477"/>
      <c r="L31" s="1477"/>
      <c r="N31" s="1480"/>
      <c r="O31" s="1479"/>
      <c r="P31" s="1478"/>
      <c r="S31" s="1508" t="s">
        <v>786</v>
      </c>
      <c r="T31" s="1509"/>
      <c r="U31" s="1509"/>
      <c r="V31" s="1509"/>
      <c r="W31" s="1509"/>
      <c r="X31" s="1509"/>
      <c r="Y31" s="1509"/>
    </row>
    <row r="32" spans="1:25" ht="18" customHeight="1">
      <c r="A32" s="1477" t="s">
        <v>803</v>
      </c>
      <c r="B32" s="1477"/>
      <c r="C32" s="1477"/>
      <c r="D32" s="1477"/>
      <c r="E32" s="1477"/>
      <c r="F32" s="1477"/>
      <c r="G32" s="1477"/>
      <c r="H32" s="1477"/>
      <c r="I32" s="1477"/>
      <c r="J32" s="1477"/>
      <c r="K32" s="1477"/>
      <c r="L32" s="1477"/>
      <c r="N32" s="1476"/>
      <c r="O32" s="1475"/>
      <c r="P32" s="1474"/>
      <c r="R32" s="1508" t="s">
        <v>827</v>
      </c>
      <c r="S32" s="1509"/>
      <c r="T32" s="1509"/>
      <c r="U32" s="1509"/>
      <c r="V32" s="1509"/>
      <c r="W32" s="1509"/>
      <c r="X32" s="1509"/>
      <c r="Y32" s="1509"/>
    </row>
  </sheetData>
  <mergeCells count="71">
    <mergeCell ref="AB8:AH8"/>
    <mergeCell ref="AA3:AH3"/>
    <mergeCell ref="AB4:AH4"/>
    <mergeCell ref="AB5:AH5"/>
    <mergeCell ref="AB6:AH6"/>
    <mergeCell ref="AB7:AH7"/>
    <mergeCell ref="S27:Y27"/>
    <mergeCell ref="R28:Y28"/>
    <mergeCell ref="S29:Y29"/>
    <mergeCell ref="S30:Y30"/>
    <mergeCell ref="S31:Y31"/>
    <mergeCell ref="R32:Y32"/>
    <mergeCell ref="S21:Y21"/>
    <mergeCell ref="S22:Y22"/>
    <mergeCell ref="R23:Y23"/>
    <mergeCell ref="S24:Y24"/>
    <mergeCell ref="S25:Y25"/>
    <mergeCell ref="S26:Y26"/>
    <mergeCell ref="S15:Y15"/>
    <mergeCell ref="S16:Y16"/>
    <mergeCell ref="R17:Y17"/>
    <mergeCell ref="R18:Y18"/>
    <mergeCell ref="S19:Y19"/>
    <mergeCell ref="S20:Y20"/>
    <mergeCell ref="S9:Y9"/>
    <mergeCell ref="S10:Y10"/>
    <mergeCell ref="S11:Y11"/>
    <mergeCell ref="R12:Y12"/>
    <mergeCell ref="S13:Y13"/>
    <mergeCell ref="S14:Y14"/>
    <mergeCell ref="R3:Y3"/>
    <mergeCell ref="S4:Y4"/>
    <mergeCell ref="S5:Y5"/>
    <mergeCell ref="S6:Y6"/>
    <mergeCell ref="R7:Y7"/>
    <mergeCell ref="R8:Y8"/>
    <mergeCell ref="B3:K3"/>
    <mergeCell ref="N3:P3"/>
    <mergeCell ref="N4:P4"/>
    <mergeCell ref="N5:P5"/>
    <mergeCell ref="N6:P6"/>
    <mergeCell ref="N7:P7"/>
    <mergeCell ref="C8:D9"/>
    <mergeCell ref="N8:P8"/>
    <mergeCell ref="N9:P9"/>
    <mergeCell ref="N10:P10"/>
    <mergeCell ref="N11:P11"/>
    <mergeCell ref="N12:P12"/>
    <mergeCell ref="N13:P13"/>
    <mergeCell ref="N14:P14"/>
    <mergeCell ref="N15:P15"/>
    <mergeCell ref="N16:P16"/>
    <mergeCell ref="N17:P17"/>
    <mergeCell ref="N18:P18"/>
    <mergeCell ref="N30:P30"/>
    <mergeCell ref="N19:P19"/>
    <mergeCell ref="N20:P20"/>
    <mergeCell ref="N21:P21"/>
    <mergeCell ref="N22:P22"/>
    <mergeCell ref="N23:P23"/>
    <mergeCell ref="N24:P24"/>
    <mergeCell ref="A31:L31"/>
    <mergeCell ref="N31:P31"/>
    <mergeCell ref="A32:L32"/>
    <mergeCell ref="N32:P32"/>
    <mergeCell ref="N25:P25"/>
    <mergeCell ref="N26:P26"/>
    <mergeCell ref="N27:P27"/>
    <mergeCell ref="N28:P28"/>
    <mergeCell ref="N29:P29"/>
    <mergeCell ref="A30:L30"/>
  </mergeCells>
  <phoneticPr fontId="4"/>
  <printOptions horizontalCentered="1" gridLinesSet="0"/>
  <pageMargins left="0.39370078740157483" right="0.31496062992125984" top="0.59055118110236227" bottom="0.31496062992125984" header="0.39370078740157483" footer="0.23622047244094491"/>
  <pageSetup paperSize="9" fitToWidth="0" orientation="landscape" horizontalDpi="4294967292" verticalDpi="4294967292" r:id="rId1"/>
  <headerFooter scaleWithDoc="0" alignWithMargins="0">
    <oddFooter>&amp;C&amp;"ＭＳ Ｐゴシック,標準"&amp;9( &amp;P / &amp;N )</oddFooter>
  </headerFooter>
  <colBreaks count="1" manualBreakCount="1">
    <brk id="17"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1</v>
      </c>
    </row>
    <row r="6" spans="1:5" ht="30" customHeight="1">
      <c r="A6" s="6"/>
    </row>
    <row r="7" spans="1:5" ht="30" customHeight="1">
      <c r="A7" s="6" t="s">
        <v>2</v>
      </c>
    </row>
    <row r="8" spans="1:5" ht="30" customHeight="1">
      <c r="A8" s="6" t="s">
        <v>26</v>
      </c>
    </row>
    <row r="9" spans="1:5" ht="30" customHeight="1">
      <c r="A9" s="6" t="s">
        <v>106</v>
      </c>
    </row>
    <row r="10" spans="1:5" ht="30" customHeight="1">
      <c r="A10" s="6" t="s">
        <v>107</v>
      </c>
    </row>
    <row r="11" spans="1:5" ht="30" customHeight="1">
      <c r="A11" s="6" t="s">
        <v>185</v>
      </c>
    </row>
    <row r="12" spans="1:5" ht="30" customHeight="1">
      <c r="A12" s="6"/>
    </row>
    <row r="13" spans="1:5" ht="30" customHeight="1">
      <c r="A13" s="6"/>
    </row>
  </sheetData>
  <sheetProtection insertRows="0" deleteRows="0" sort="0" autoFilter="0"/>
  <phoneticPr fontId="4"/>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alignWithMargins="0">
    <oddFooter>&amp;C&amp;"ＭＳ Ｐゴシック,標準"&amp;9( &amp;P / &amp;N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Q51"/>
  <sheetViews>
    <sheetView showGridLines="0" zoomScale="80" zoomScaleNormal="80" workbookViewId="0">
      <pane xSplit="4" ySplit="7" topLeftCell="E8" activePane="bottomRight" state="frozenSplit"/>
      <selection pane="topRight"/>
      <selection pane="bottomLeft"/>
      <selection pane="bottomRight"/>
    </sheetView>
  </sheetViews>
  <sheetFormatPr defaultColWidth="9.140625" defaultRowHeight="13.5" customHeight="1"/>
  <cols>
    <col min="1" max="1" width="5.42578125" style="1297" customWidth="1"/>
    <col min="2" max="2" width="7.5703125" style="1297" customWidth="1"/>
    <col min="3" max="3" width="26.28515625" style="1297" customWidth="1"/>
    <col min="4" max="16" width="7.7109375" style="1297" customWidth="1"/>
    <col min="17" max="17" width="26.28515625" style="1297" customWidth="1"/>
    <col min="18" max="16384" width="9.140625" style="1293"/>
  </cols>
  <sheetData>
    <row r="1" spans="1:17" s="1562" customFormat="1" ht="18.95" customHeight="1">
      <c r="A1" s="1568" t="s">
        <v>848</v>
      </c>
      <c r="B1" s="1567"/>
      <c r="C1" s="1566"/>
      <c r="D1" s="1565"/>
      <c r="E1" s="1565"/>
      <c r="F1" s="1564"/>
      <c r="G1" s="1564"/>
      <c r="H1" s="1564"/>
      <c r="I1" s="1564"/>
      <c r="J1" s="1564"/>
      <c r="K1" s="1565"/>
      <c r="L1" s="1564"/>
      <c r="M1" s="1564"/>
      <c r="N1" s="1564"/>
      <c r="O1" s="1564"/>
      <c r="P1" s="1564"/>
      <c r="Q1" s="1563"/>
    </row>
    <row r="4" spans="1:17" ht="13.5" customHeight="1">
      <c r="A4" s="1401" t="s">
        <v>363</v>
      </c>
      <c r="B4" s="1400" t="s">
        <v>341</v>
      </c>
      <c r="C4" s="1561" t="s">
        <v>847</v>
      </c>
      <c r="D4" s="1396" t="s">
        <v>846</v>
      </c>
      <c r="E4" s="1560" t="s">
        <v>845</v>
      </c>
      <c r="F4" s="1559"/>
      <c r="G4" s="1559"/>
      <c r="H4" s="1559"/>
      <c r="I4" s="1559"/>
      <c r="J4" s="1558"/>
      <c r="K4" s="1560" t="s">
        <v>844</v>
      </c>
      <c r="L4" s="1559"/>
      <c r="M4" s="1559"/>
      <c r="N4" s="1559"/>
      <c r="O4" s="1559"/>
      <c r="P4" s="1558"/>
      <c r="Q4" s="1557" t="s">
        <v>843</v>
      </c>
    </row>
    <row r="5" spans="1:17" ht="13.5" customHeight="1">
      <c r="A5" s="1369"/>
      <c r="B5" s="1368"/>
      <c r="C5" s="1554"/>
      <c r="D5" s="1382"/>
      <c r="E5" s="1553" t="s">
        <v>842</v>
      </c>
      <c r="F5" s="1556"/>
      <c r="G5" s="1552"/>
      <c r="H5" s="1377" t="s">
        <v>841</v>
      </c>
      <c r="I5" s="1555" t="s">
        <v>840</v>
      </c>
      <c r="J5" s="1380"/>
      <c r="K5" s="1553" t="s">
        <v>842</v>
      </c>
      <c r="L5" s="1556"/>
      <c r="M5" s="1552"/>
      <c r="N5" s="1377" t="s">
        <v>841</v>
      </c>
      <c r="O5" s="1555" t="s">
        <v>840</v>
      </c>
      <c r="P5" s="1380"/>
      <c r="Q5" s="1549"/>
    </row>
    <row r="6" spans="1:17" ht="13.5" customHeight="1">
      <c r="A6" s="1369"/>
      <c r="B6" s="1368"/>
      <c r="C6" s="1554"/>
      <c r="D6" s="1382"/>
      <c r="E6" s="1553" t="s">
        <v>839</v>
      </c>
      <c r="F6" s="1552"/>
      <c r="G6" s="1377" t="s">
        <v>838</v>
      </c>
      <c r="H6" s="1355"/>
      <c r="I6" s="1551"/>
      <c r="J6" s="1550"/>
      <c r="K6" s="1553" t="s">
        <v>839</v>
      </c>
      <c r="L6" s="1552"/>
      <c r="M6" s="1377" t="s">
        <v>838</v>
      </c>
      <c r="N6" s="1355"/>
      <c r="O6" s="1551"/>
      <c r="P6" s="1550"/>
      <c r="Q6" s="1549"/>
    </row>
    <row r="7" spans="1:17" ht="13.5" customHeight="1">
      <c r="A7" s="1548"/>
      <c r="B7" s="1547"/>
      <c r="C7" s="1546"/>
      <c r="D7" s="1363"/>
      <c r="E7" s="1545" t="s">
        <v>714</v>
      </c>
      <c r="F7" s="1362" t="s">
        <v>837</v>
      </c>
      <c r="G7" s="1544"/>
      <c r="H7" s="1544"/>
      <c r="I7" s="1543" t="s">
        <v>836</v>
      </c>
      <c r="J7" s="1542" t="s">
        <v>835</v>
      </c>
      <c r="K7" s="1545" t="s">
        <v>714</v>
      </c>
      <c r="L7" s="1362" t="s">
        <v>837</v>
      </c>
      <c r="M7" s="1544"/>
      <c r="N7" s="1544"/>
      <c r="O7" s="1543" t="s">
        <v>836</v>
      </c>
      <c r="P7" s="1542" t="s">
        <v>835</v>
      </c>
      <c r="Q7" s="1541"/>
    </row>
    <row r="8" spans="1:17" ht="13.5" customHeight="1">
      <c r="A8" s="1345"/>
      <c r="B8" s="1344"/>
      <c r="C8" s="1343" t="s">
        <v>849</v>
      </c>
      <c r="D8" s="1332"/>
      <c r="E8" s="1540"/>
      <c r="F8" s="1539"/>
      <c r="G8" s="1538"/>
      <c r="H8" s="1537"/>
      <c r="I8" s="1536"/>
      <c r="J8" s="1535"/>
      <c r="K8" s="1540"/>
      <c r="L8" s="1539"/>
      <c r="M8" s="1538"/>
      <c r="N8" s="1537"/>
      <c r="O8" s="1536"/>
      <c r="P8" s="1535"/>
      <c r="Q8" s="1534"/>
    </row>
    <row r="9" spans="1:17" ht="13.5" customHeight="1" thickBot="1">
      <c r="A9" s="1430">
        <v>2</v>
      </c>
      <c r="B9" s="1431">
        <v>201</v>
      </c>
      <c r="C9" s="1432" t="s">
        <v>332</v>
      </c>
      <c r="D9" s="1437">
        <v>91250</v>
      </c>
      <c r="E9" s="1569"/>
      <c r="F9" s="1570"/>
      <c r="G9" s="1571"/>
      <c r="H9" s="1572"/>
      <c r="I9" s="1573"/>
      <c r="J9" s="1574"/>
      <c r="K9" s="1569"/>
      <c r="L9" s="1570"/>
      <c r="M9" s="1571"/>
      <c r="N9" s="1572"/>
      <c r="O9" s="1573"/>
      <c r="P9" s="1574"/>
      <c r="Q9" s="1575"/>
    </row>
    <row r="10" spans="1:17" ht="18.95" customHeight="1" thickTop="1">
      <c r="A10" s="1584" t="s">
        <v>850</v>
      </c>
      <c r="B10" s="1585"/>
      <c r="C10" s="1586"/>
      <c r="D10" s="1577">
        <v>91250</v>
      </c>
      <c r="E10" s="1578">
        <v>24</v>
      </c>
      <c r="F10" s="1579">
        <v>17</v>
      </c>
      <c r="G10" s="1580">
        <v>21.94</v>
      </c>
      <c r="H10" s="1580">
        <v>2.0599999999999987</v>
      </c>
      <c r="I10" s="1581">
        <v>63035</v>
      </c>
      <c r="J10" s="1582">
        <v>63.1</v>
      </c>
      <c r="K10" s="1578">
        <v>24</v>
      </c>
      <c r="L10" s="1579">
        <v>17</v>
      </c>
      <c r="M10" s="1587" t="s">
        <v>204</v>
      </c>
      <c r="N10" s="1587" t="s">
        <v>204</v>
      </c>
      <c r="O10" s="1588" t="s">
        <v>204</v>
      </c>
      <c r="P10" s="1589" t="s">
        <v>204</v>
      </c>
      <c r="Q10" s="1583" t="s">
        <v>851</v>
      </c>
    </row>
    <row r="11" spans="1:17" ht="13.5" customHeight="1">
      <c r="A11" s="1327"/>
      <c r="B11" s="1326"/>
      <c r="C11" s="1576"/>
      <c r="D11" s="1314"/>
      <c r="E11" s="1533"/>
      <c r="F11" s="1532"/>
      <c r="G11" s="1531"/>
      <c r="H11" s="1530"/>
      <c r="I11" s="1529"/>
      <c r="J11" s="1528"/>
      <c r="K11" s="1533"/>
      <c r="L11" s="1532"/>
      <c r="M11" s="1531"/>
      <c r="N11" s="1530"/>
      <c r="O11" s="1529"/>
      <c r="P11" s="1528"/>
      <c r="Q11" s="1527"/>
    </row>
    <row r="12" spans="1:17" ht="13.5" customHeight="1">
      <c r="A12" s="1327"/>
      <c r="B12" s="1326"/>
      <c r="C12" s="1325" t="s">
        <v>852</v>
      </c>
      <c r="D12" s="1314"/>
      <c r="E12" s="1533"/>
      <c r="F12" s="1532"/>
      <c r="G12" s="1531"/>
      <c r="H12" s="1530"/>
      <c r="I12" s="1529"/>
      <c r="J12" s="1528"/>
      <c r="K12" s="1533"/>
      <c r="L12" s="1532"/>
      <c r="M12" s="1531"/>
      <c r="N12" s="1530"/>
      <c r="O12" s="1529"/>
      <c r="P12" s="1528"/>
      <c r="Q12" s="1527"/>
    </row>
    <row r="13" spans="1:17" ht="13.5" customHeight="1" thickBot="1">
      <c r="A13" s="1430">
        <v>2</v>
      </c>
      <c r="B13" s="1431">
        <v>202</v>
      </c>
      <c r="C13" s="1432" t="s">
        <v>547</v>
      </c>
      <c r="D13" s="1437">
        <v>68070</v>
      </c>
      <c r="E13" s="1569"/>
      <c r="F13" s="1570"/>
      <c r="G13" s="1571"/>
      <c r="H13" s="1572"/>
      <c r="I13" s="1573"/>
      <c r="J13" s="1574"/>
      <c r="K13" s="1569"/>
      <c r="L13" s="1570"/>
      <c r="M13" s="1571"/>
      <c r="N13" s="1572"/>
      <c r="O13" s="1573"/>
      <c r="P13" s="1574"/>
      <c r="Q13" s="1575"/>
    </row>
    <row r="14" spans="1:17" ht="18.95" customHeight="1" thickTop="1">
      <c r="A14" s="1584" t="s">
        <v>853</v>
      </c>
      <c r="B14" s="1585"/>
      <c r="C14" s="1586"/>
      <c r="D14" s="1577">
        <v>68070</v>
      </c>
      <c r="E14" s="1578">
        <v>24</v>
      </c>
      <c r="F14" s="1579">
        <v>17</v>
      </c>
      <c r="G14" s="1580">
        <v>21.5</v>
      </c>
      <c r="H14" s="1580">
        <v>2.5</v>
      </c>
      <c r="I14" s="1581">
        <v>57066</v>
      </c>
      <c r="J14" s="1582">
        <v>57.1</v>
      </c>
      <c r="K14" s="1578">
        <v>24</v>
      </c>
      <c r="L14" s="1579">
        <v>17</v>
      </c>
      <c r="M14" s="1587" t="s">
        <v>204</v>
      </c>
      <c r="N14" s="1587" t="s">
        <v>204</v>
      </c>
      <c r="O14" s="1588" t="s">
        <v>204</v>
      </c>
      <c r="P14" s="1589" t="s">
        <v>204</v>
      </c>
      <c r="Q14" s="1583" t="s">
        <v>851</v>
      </c>
    </row>
    <row r="15" spans="1:17" ht="13.5" customHeight="1">
      <c r="A15" s="1327"/>
      <c r="B15" s="1326"/>
      <c r="C15" s="1576"/>
      <c r="D15" s="1314"/>
      <c r="E15" s="1533"/>
      <c r="F15" s="1532"/>
      <c r="G15" s="1531"/>
      <c r="H15" s="1530"/>
      <c r="I15" s="1529"/>
      <c r="J15" s="1528"/>
      <c r="K15" s="1533"/>
      <c r="L15" s="1532"/>
      <c r="M15" s="1531"/>
      <c r="N15" s="1530"/>
      <c r="O15" s="1529"/>
      <c r="P15" s="1528"/>
      <c r="Q15" s="1527"/>
    </row>
    <row r="16" spans="1:17" ht="13.5" customHeight="1">
      <c r="A16" s="1327"/>
      <c r="B16" s="1326"/>
      <c r="C16" s="1325"/>
      <c r="D16" s="1314"/>
      <c r="E16" s="1533"/>
      <c r="F16" s="1532"/>
      <c r="G16" s="1531"/>
      <c r="H16" s="1530"/>
      <c r="I16" s="1529"/>
      <c r="J16" s="1528"/>
      <c r="K16" s="1533"/>
      <c r="L16" s="1532"/>
      <c r="M16" s="1531"/>
      <c r="N16" s="1530"/>
      <c r="O16" s="1529"/>
      <c r="P16" s="1528"/>
      <c r="Q16" s="1527"/>
    </row>
    <row r="17" spans="1:17" ht="13.5" customHeight="1">
      <c r="A17" s="1327"/>
      <c r="B17" s="1326"/>
      <c r="C17" s="1325"/>
      <c r="D17" s="1314"/>
      <c r="E17" s="1533"/>
      <c r="F17" s="1532"/>
      <c r="G17" s="1531"/>
      <c r="H17" s="1530"/>
      <c r="I17" s="1529"/>
      <c r="J17" s="1528"/>
      <c r="K17" s="1533"/>
      <c r="L17" s="1532"/>
      <c r="M17" s="1531"/>
      <c r="N17" s="1530"/>
      <c r="O17" s="1529"/>
      <c r="P17" s="1528"/>
      <c r="Q17" s="1527"/>
    </row>
    <row r="18" spans="1:17" ht="13.5" customHeight="1">
      <c r="A18" s="1327"/>
      <c r="B18" s="1326"/>
      <c r="C18" s="1325"/>
      <c r="D18" s="1314"/>
      <c r="E18" s="1533"/>
      <c r="F18" s="1532"/>
      <c r="G18" s="1531"/>
      <c r="H18" s="1530"/>
      <c r="I18" s="1529"/>
      <c r="J18" s="1528"/>
      <c r="K18" s="1533"/>
      <c r="L18" s="1532"/>
      <c r="M18" s="1531"/>
      <c r="N18" s="1530"/>
      <c r="O18" s="1529"/>
      <c r="P18" s="1528"/>
      <c r="Q18" s="1527"/>
    </row>
    <row r="19" spans="1:17" ht="13.5" customHeight="1">
      <c r="A19" s="1327"/>
      <c r="B19" s="1326"/>
      <c r="C19" s="1325"/>
      <c r="D19" s="1314"/>
      <c r="E19" s="1533"/>
      <c r="F19" s="1532"/>
      <c r="G19" s="1531"/>
      <c r="H19" s="1530"/>
      <c r="I19" s="1529"/>
      <c r="J19" s="1528"/>
      <c r="K19" s="1533"/>
      <c r="L19" s="1532"/>
      <c r="M19" s="1531"/>
      <c r="N19" s="1530"/>
      <c r="O19" s="1529"/>
      <c r="P19" s="1528"/>
      <c r="Q19" s="1527"/>
    </row>
    <row r="20" spans="1:17" ht="13.5" customHeight="1">
      <c r="A20" s="1327"/>
      <c r="B20" s="1326"/>
      <c r="C20" s="1325"/>
      <c r="D20" s="1314"/>
      <c r="E20" s="1533"/>
      <c r="F20" s="1532"/>
      <c r="G20" s="1531"/>
      <c r="H20" s="1530"/>
      <c r="I20" s="1529"/>
      <c r="J20" s="1528"/>
      <c r="K20" s="1533"/>
      <c r="L20" s="1532"/>
      <c r="M20" s="1531"/>
      <c r="N20" s="1530"/>
      <c r="O20" s="1529"/>
      <c r="P20" s="1528"/>
      <c r="Q20" s="1527"/>
    </row>
    <row r="21" spans="1:17" ht="13.5" customHeight="1">
      <c r="A21" s="1327"/>
      <c r="B21" s="1326"/>
      <c r="C21" s="1325"/>
      <c r="D21" s="1314"/>
      <c r="E21" s="1533"/>
      <c r="F21" s="1532"/>
      <c r="G21" s="1531"/>
      <c r="H21" s="1530"/>
      <c r="I21" s="1529"/>
      <c r="J21" s="1528"/>
      <c r="K21" s="1533"/>
      <c r="L21" s="1532"/>
      <c r="M21" s="1531"/>
      <c r="N21" s="1530"/>
      <c r="O21" s="1529"/>
      <c r="P21" s="1528"/>
      <c r="Q21" s="1527"/>
    </row>
    <row r="22" spans="1:17" ht="13.5" customHeight="1">
      <c r="A22" s="1327"/>
      <c r="B22" s="1326"/>
      <c r="C22" s="1325"/>
      <c r="D22" s="1314"/>
      <c r="E22" s="1533"/>
      <c r="F22" s="1532"/>
      <c r="G22" s="1531"/>
      <c r="H22" s="1530"/>
      <c r="I22" s="1529"/>
      <c r="J22" s="1528"/>
      <c r="K22" s="1533"/>
      <c r="L22" s="1532"/>
      <c r="M22" s="1531"/>
      <c r="N22" s="1530"/>
      <c r="O22" s="1529"/>
      <c r="P22" s="1528"/>
      <c r="Q22" s="1527"/>
    </row>
    <row r="23" spans="1:17" ht="13.5" customHeight="1">
      <c r="A23" s="1327"/>
      <c r="B23" s="1326"/>
      <c r="C23" s="1325"/>
      <c r="D23" s="1314"/>
      <c r="E23" s="1533"/>
      <c r="F23" s="1532"/>
      <c r="G23" s="1531"/>
      <c r="H23" s="1530"/>
      <c r="I23" s="1529"/>
      <c r="J23" s="1528"/>
      <c r="K23" s="1533"/>
      <c r="L23" s="1532"/>
      <c r="M23" s="1531"/>
      <c r="N23" s="1530"/>
      <c r="O23" s="1529"/>
      <c r="P23" s="1528"/>
      <c r="Q23" s="1527"/>
    </row>
    <row r="24" spans="1:17" ht="13.5" customHeight="1">
      <c r="A24" s="1327"/>
      <c r="B24" s="1326"/>
      <c r="C24" s="1325"/>
      <c r="D24" s="1314"/>
      <c r="E24" s="1533"/>
      <c r="F24" s="1532"/>
      <c r="G24" s="1531"/>
      <c r="H24" s="1530"/>
      <c r="I24" s="1529"/>
      <c r="J24" s="1528"/>
      <c r="K24" s="1533"/>
      <c r="L24" s="1532"/>
      <c r="M24" s="1531"/>
      <c r="N24" s="1530"/>
      <c r="O24" s="1529"/>
      <c r="P24" s="1528"/>
      <c r="Q24" s="1527"/>
    </row>
    <row r="25" spans="1:17" ht="13.5" customHeight="1">
      <c r="A25" s="1327"/>
      <c r="B25" s="1326"/>
      <c r="C25" s="1325"/>
      <c r="D25" s="1314"/>
      <c r="E25" s="1533"/>
      <c r="F25" s="1532"/>
      <c r="G25" s="1531"/>
      <c r="H25" s="1530"/>
      <c r="I25" s="1529"/>
      <c r="J25" s="1528"/>
      <c r="K25" s="1533"/>
      <c r="L25" s="1532"/>
      <c r="M25" s="1531"/>
      <c r="N25" s="1530"/>
      <c r="O25" s="1529"/>
      <c r="P25" s="1528"/>
      <c r="Q25" s="1527"/>
    </row>
    <row r="26" spans="1:17" ht="13.5" customHeight="1">
      <c r="A26" s="1327"/>
      <c r="B26" s="1326"/>
      <c r="C26" s="1325"/>
      <c r="D26" s="1314"/>
      <c r="E26" s="1533"/>
      <c r="F26" s="1532"/>
      <c r="G26" s="1531"/>
      <c r="H26" s="1530"/>
      <c r="I26" s="1529"/>
      <c r="J26" s="1528"/>
      <c r="K26" s="1533"/>
      <c r="L26" s="1532"/>
      <c r="M26" s="1531"/>
      <c r="N26" s="1530"/>
      <c r="O26" s="1529"/>
      <c r="P26" s="1528"/>
      <c r="Q26" s="1527"/>
    </row>
    <row r="27" spans="1:17" ht="13.5" customHeight="1">
      <c r="A27" s="1327"/>
      <c r="B27" s="1326"/>
      <c r="C27" s="1325"/>
      <c r="D27" s="1314"/>
      <c r="E27" s="1533"/>
      <c r="F27" s="1532"/>
      <c r="G27" s="1531"/>
      <c r="H27" s="1530"/>
      <c r="I27" s="1529"/>
      <c r="J27" s="1528"/>
      <c r="K27" s="1533"/>
      <c r="L27" s="1532"/>
      <c r="M27" s="1531"/>
      <c r="N27" s="1530"/>
      <c r="O27" s="1529"/>
      <c r="P27" s="1528"/>
      <c r="Q27" s="1527"/>
    </row>
    <row r="28" spans="1:17" ht="13.5" customHeight="1">
      <c r="A28" s="1327"/>
      <c r="B28" s="1326"/>
      <c r="C28" s="1325"/>
      <c r="D28" s="1314"/>
      <c r="E28" s="1533"/>
      <c r="F28" s="1532"/>
      <c r="G28" s="1531"/>
      <c r="H28" s="1530"/>
      <c r="I28" s="1529"/>
      <c r="J28" s="1528"/>
      <c r="K28" s="1533"/>
      <c r="L28" s="1532"/>
      <c r="M28" s="1531"/>
      <c r="N28" s="1530"/>
      <c r="O28" s="1529"/>
      <c r="P28" s="1528"/>
      <c r="Q28" s="1527"/>
    </row>
    <row r="29" spans="1:17" ht="13.5" customHeight="1">
      <c r="A29" s="1327"/>
      <c r="B29" s="1326"/>
      <c r="C29" s="1325"/>
      <c r="D29" s="1314"/>
      <c r="E29" s="1533"/>
      <c r="F29" s="1532"/>
      <c r="G29" s="1531"/>
      <c r="H29" s="1530"/>
      <c r="I29" s="1529"/>
      <c r="J29" s="1528"/>
      <c r="K29" s="1533"/>
      <c r="L29" s="1532"/>
      <c r="M29" s="1531"/>
      <c r="N29" s="1530"/>
      <c r="O29" s="1529"/>
      <c r="P29" s="1528"/>
      <c r="Q29" s="1527"/>
    </row>
    <row r="30" spans="1:17" ht="13.5" customHeight="1">
      <c r="A30" s="1327"/>
      <c r="B30" s="1326"/>
      <c r="C30" s="1325"/>
      <c r="D30" s="1314"/>
      <c r="E30" s="1533"/>
      <c r="F30" s="1532"/>
      <c r="G30" s="1531"/>
      <c r="H30" s="1530"/>
      <c r="I30" s="1529"/>
      <c r="J30" s="1528"/>
      <c r="K30" s="1533"/>
      <c r="L30" s="1532"/>
      <c r="M30" s="1531"/>
      <c r="N30" s="1530"/>
      <c r="O30" s="1529"/>
      <c r="P30" s="1528"/>
      <c r="Q30" s="1527"/>
    </row>
    <row r="31" spans="1:17" ht="13.5" customHeight="1">
      <c r="A31" s="1327"/>
      <c r="B31" s="1326"/>
      <c r="C31" s="1325"/>
      <c r="D31" s="1314"/>
      <c r="E31" s="1533"/>
      <c r="F31" s="1532"/>
      <c r="G31" s="1531"/>
      <c r="H31" s="1530"/>
      <c r="I31" s="1529"/>
      <c r="J31" s="1528"/>
      <c r="K31" s="1533"/>
      <c r="L31" s="1532"/>
      <c r="M31" s="1531"/>
      <c r="N31" s="1530"/>
      <c r="O31" s="1529"/>
      <c r="P31" s="1528"/>
      <c r="Q31" s="1527"/>
    </row>
    <row r="32" spans="1:17" ht="13.5" customHeight="1">
      <c r="A32" s="1327"/>
      <c r="B32" s="1326"/>
      <c r="C32" s="1325"/>
      <c r="D32" s="1314"/>
      <c r="E32" s="1533"/>
      <c r="F32" s="1532"/>
      <c r="G32" s="1531"/>
      <c r="H32" s="1530"/>
      <c r="I32" s="1529"/>
      <c r="J32" s="1528"/>
      <c r="K32" s="1533"/>
      <c r="L32" s="1532"/>
      <c r="M32" s="1531"/>
      <c r="N32" s="1530"/>
      <c r="O32" s="1529"/>
      <c r="P32" s="1528"/>
      <c r="Q32" s="1527"/>
    </row>
    <row r="33" spans="1:17" ht="13.5" customHeight="1">
      <c r="A33" s="1327"/>
      <c r="B33" s="1326"/>
      <c r="C33" s="1325"/>
      <c r="D33" s="1314"/>
      <c r="E33" s="1533"/>
      <c r="F33" s="1532"/>
      <c r="G33" s="1531"/>
      <c r="H33" s="1530"/>
      <c r="I33" s="1529"/>
      <c r="J33" s="1528"/>
      <c r="K33" s="1533"/>
      <c r="L33" s="1532"/>
      <c r="M33" s="1531"/>
      <c r="N33" s="1530"/>
      <c r="O33" s="1529"/>
      <c r="P33" s="1528"/>
      <c r="Q33" s="1527"/>
    </row>
    <row r="34" spans="1:17" ht="13.5" customHeight="1">
      <c r="A34" s="1327"/>
      <c r="B34" s="1326"/>
      <c r="C34" s="1325"/>
      <c r="D34" s="1314"/>
      <c r="E34" s="1533"/>
      <c r="F34" s="1532"/>
      <c r="G34" s="1531"/>
      <c r="H34" s="1530"/>
      <c r="I34" s="1529"/>
      <c r="J34" s="1528"/>
      <c r="K34" s="1533"/>
      <c r="L34" s="1532"/>
      <c r="M34" s="1531"/>
      <c r="N34" s="1530"/>
      <c r="O34" s="1529"/>
      <c r="P34" s="1528"/>
      <c r="Q34" s="1527"/>
    </row>
    <row r="35" spans="1:17" ht="13.5" customHeight="1">
      <c r="A35" s="1327"/>
      <c r="B35" s="1326"/>
      <c r="C35" s="1325"/>
      <c r="D35" s="1314"/>
      <c r="E35" s="1533"/>
      <c r="F35" s="1532"/>
      <c r="G35" s="1531"/>
      <c r="H35" s="1530"/>
      <c r="I35" s="1529"/>
      <c r="J35" s="1528"/>
      <c r="K35" s="1533"/>
      <c r="L35" s="1532"/>
      <c r="M35" s="1531"/>
      <c r="N35" s="1530"/>
      <c r="O35" s="1529"/>
      <c r="P35" s="1528"/>
      <c r="Q35" s="1527"/>
    </row>
    <row r="36" spans="1:17" ht="13.5" customHeight="1">
      <c r="A36" s="1327"/>
      <c r="B36" s="1326"/>
      <c r="C36" s="1325"/>
      <c r="D36" s="1314"/>
      <c r="E36" s="1533"/>
      <c r="F36" s="1532"/>
      <c r="G36" s="1531"/>
      <c r="H36" s="1530"/>
      <c r="I36" s="1529"/>
      <c r="J36" s="1528"/>
      <c r="K36" s="1533"/>
      <c r="L36" s="1532"/>
      <c r="M36" s="1531"/>
      <c r="N36" s="1530"/>
      <c r="O36" s="1529"/>
      <c r="P36" s="1528"/>
      <c r="Q36" s="1527"/>
    </row>
    <row r="37" spans="1:17" ht="13.5" customHeight="1">
      <c r="A37" s="1309"/>
      <c r="B37" s="1308"/>
      <c r="C37" s="1307"/>
      <c r="D37" s="1306"/>
      <c r="E37" s="1526"/>
      <c r="F37" s="1525"/>
      <c r="G37" s="1524"/>
      <c r="H37" s="1523"/>
      <c r="I37" s="1522"/>
      <c r="J37" s="1521"/>
      <c r="K37" s="1526"/>
      <c r="L37" s="1525"/>
      <c r="M37" s="1524"/>
      <c r="N37" s="1523"/>
      <c r="O37" s="1522"/>
      <c r="P37" s="1521"/>
      <c r="Q37" s="1520"/>
    </row>
    <row r="48" spans="1:17" s="1297" customFormat="1" ht="13.5" customHeight="1">
      <c r="C48" s="1304"/>
    </row>
    <row r="49" spans="3:3" s="1297" customFormat="1" ht="13.5" customHeight="1">
      <c r="C49" s="1304"/>
    </row>
    <row r="50" spans="3:3" s="1297" customFormat="1" ht="13.5" customHeight="1">
      <c r="C50" s="1304"/>
    </row>
    <row r="51" spans="3:3" s="1297" customFormat="1" ht="13.5" customHeight="1">
      <c r="C51" s="1302"/>
    </row>
  </sheetData>
  <mergeCells count="19">
    <mergeCell ref="A10:C10"/>
    <mergeCell ref="A14:C14"/>
    <mergeCell ref="A4:A7"/>
    <mergeCell ref="B4:B7"/>
    <mergeCell ref="C4:C7"/>
    <mergeCell ref="D4:D7"/>
    <mergeCell ref="E4:J4"/>
    <mergeCell ref="K4:P4"/>
    <mergeCell ref="M6:M7"/>
    <mergeCell ref="Q4:Q7"/>
    <mergeCell ref="E5:G5"/>
    <mergeCell ref="H5:H7"/>
    <mergeCell ref="I5:J6"/>
    <mergeCell ref="K5:M5"/>
    <mergeCell ref="N5:N7"/>
    <mergeCell ref="O5:P6"/>
    <mergeCell ref="E6:F6"/>
    <mergeCell ref="G6:G7"/>
    <mergeCell ref="K6:L6"/>
  </mergeCells>
  <phoneticPr fontId="4"/>
  <printOptions horizontalCentered="1"/>
  <pageMargins left="0.39370078740157483" right="0.39370078740157483" top="0.78740157480314965" bottom="0.35433070866141736" header="0.59055118110236227" footer="0.23622047244094491"/>
  <pageSetup paperSize="9" scale="93" fitToHeight="0" orientation="landscape" horizontalDpi="1200" verticalDpi="1200" r:id="rId1"/>
  <headerFooter scaleWithDoc="0" alignWithMargins="0">
    <oddFooter>&amp;C&amp;"ＭＳ Ｐゴシック,標準"&amp;9( &amp;P / &amp;N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AT59"/>
  <sheetViews>
    <sheetView showGridLines="0" zoomScale="80" zoomScaleNormal="80" workbookViewId="0">
      <pane xSplit="6" ySplit="6" topLeftCell="G7" activePane="bottomRight" state="frozenSplit"/>
      <selection pane="topRight" activeCell="Q1" sqref="Q1"/>
      <selection pane="bottomLeft" activeCell="A16" sqref="A16"/>
      <selection pane="bottomRight"/>
    </sheetView>
  </sheetViews>
  <sheetFormatPr defaultColWidth="9.140625" defaultRowHeight="13.5" customHeight="1"/>
  <cols>
    <col min="1" max="1" width="5.42578125" style="1297" customWidth="1"/>
    <col min="2" max="2" width="7.5703125" style="1297" customWidth="1"/>
    <col min="3" max="3" width="26.28515625" style="1297" customWidth="1"/>
    <col min="4" max="8" width="7.7109375" style="1297" customWidth="1"/>
    <col min="9" max="10" width="7.7109375" style="1297" hidden="1" customWidth="1"/>
    <col min="11" max="14" width="7.7109375" style="1297" customWidth="1"/>
    <col min="15" max="16" width="7.7109375" style="1297" hidden="1" customWidth="1"/>
    <col min="17" max="25" width="7.7109375" style="1297" customWidth="1"/>
    <col min="26" max="27" width="9.140625" style="1293"/>
    <col min="28" max="43" width="9.140625" style="1296"/>
    <col min="44" max="44" width="9.140625" style="1295"/>
    <col min="45" max="46" width="9.140625" style="1294"/>
    <col min="47" max="16384" width="9.140625" style="1293"/>
  </cols>
  <sheetData>
    <row r="1" spans="1:46" s="1417" customFormat="1" ht="24" customHeight="1" thickBot="1">
      <c r="A1" s="1429" t="s">
        <v>854</v>
      </c>
      <c r="B1" s="1428"/>
      <c r="C1" s="1427"/>
      <c r="D1" s="1426"/>
      <c r="E1" s="1425"/>
      <c r="F1" s="1424"/>
      <c r="G1" s="1424"/>
      <c r="H1" s="1425"/>
      <c r="I1" s="1425"/>
      <c r="J1" s="1425"/>
      <c r="K1" s="1424"/>
      <c r="L1" s="1424"/>
      <c r="M1" s="1423"/>
      <c r="N1" s="1424"/>
      <c r="O1" s="1425"/>
      <c r="P1" s="1425"/>
      <c r="Q1" s="1424"/>
      <c r="R1" s="1424"/>
      <c r="S1" s="1423"/>
      <c r="T1" s="1423"/>
      <c r="U1" s="1423"/>
      <c r="V1" s="1423"/>
      <c r="W1" s="1423"/>
      <c r="X1" s="1423"/>
      <c r="Y1" s="1422"/>
      <c r="AB1" s="1421" t="s">
        <v>733</v>
      </c>
      <c r="AC1" s="1420"/>
      <c r="AD1" s="1420"/>
      <c r="AE1" s="1420"/>
      <c r="AF1" s="1420"/>
      <c r="AG1" s="1420"/>
      <c r="AH1" s="1420"/>
      <c r="AI1" s="1420"/>
      <c r="AJ1" s="1420"/>
      <c r="AK1" s="1420"/>
      <c r="AL1" s="1420"/>
      <c r="AM1" s="1420"/>
      <c r="AN1" s="1420"/>
      <c r="AO1" s="1420"/>
      <c r="AP1" s="1420"/>
      <c r="AQ1" s="1420"/>
      <c r="AR1" s="1419"/>
      <c r="AS1" s="1418"/>
      <c r="AT1" s="1418"/>
    </row>
    <row r="2" spans="1:46" ht="13.5" customHeight="1">
      <c r="AB2" s="1416" t="s">
        <v>732</v>
      </c>
      <c r="AC2" s="1415"/>
      <c r="AD2" s="1415"/>
      <c r="AE2" s="1415"/>
      <c r="AF2" s="1415"/>
      <c r="AG2" s="1415"/>
      <c r="AH2" s="1415"/>
      <c r="AI2" s="1414"/>
      <c r="AJ2" s="1413" t="s">
        <v>731</v>
      </c>
      <c r="AK2" s="1413"/>
      <c r="AL2" s="1413"/>
      <c r="AM2" s="1413"/>
      <c r="AN2" s="1413"/>
      <c r="AO2" s="1413"/>
      <c r="AP2" s="1413"/>
      <c r="AQ2" s="1412"/>
      <c r="AS2" s="1411" t="s">
        <v>730</v>
      </c>
      <c r="AT2" s="1410"/>
    </row>
    <row r="3" spans="1:46" ht="13.5" customHeight="1">
      <c r="H3" s="1297" t="s">
        <v>886</v>
      </c>
      <c r="Y3" s="1409" t="s">
        <v>743</v>
      </c>
      <c r="AB3" s="1408"/>
      <c r="AC3" s="1407"/>
      <c r="AD3" s="1407"/>
      <c r="AE3" s="1407"/>
      <c r="AF3" s="1407"/>
      <c r="AG3" s="1407"/>
      <c r="AH3" s="1407"/>
      <c r="AI3" s="1406"/>
      <c r="AJ3" s="1405"/>
      <c r="AK3" s="1405"/>
      <c r="AL3" s="1405"/>
      <c r="AM3" s="1405"/>
      <c r="AN3" s="1405"/>
      <c r="AO3" s="1405"/>
      <c r="AP3" s="1405"/>
      <c r="AQ3" s="1404"/>
      <c r="AS3" s="1403"/>
      <c r="AT3" s="1402"/>
    </row>
    <row r="4" spans="1:46" ht="13.5" customHeight="1" thickBot="1">
      <c r="A4" s="1401" t="s">
        <v>363</v>
      </c>
      <c r="B4" s="1400" t="s">
        <v>341</v>
      </c>
      <c r="C4" s="1400" t="s">
        <v>729</v>
      </c>
      <c r="D4" s="1399" t="s">
        <v>728</v>
      </c>
      <c r="E4" s="1399" t="s">
        <v>727</v>
      </c>
      <c r="F4" s="1398" t="s">
        <v>726</v>
      </c>
      <c r="G4" s="1397" t="s">
        <v>855</v>
      </c>
      <c r="H4" s="1392" t="s">
        <v>725</v>
      </c>
      <c r="I4" s="1391"/>
      <c r="J4" s="1391"/>
      <c r="K4" s="1391"/>
      <c r="L4" s="1395"/>
      <c r="M4" s="1396" t="s">
        <v>724</v>
      </c>
      <c r="N4" s="1392" t="s">
        <v>723</v>
      </c>
      <c r="O4" s="1391"/>
      <c r="P4" s="1391"/>
      <c r="Q4" s="1391"/>
      <c r="R4" s="1395"/>
      <c r="S4" s="1394" t="s">
        <v>858</v>
      </c>
      <c r="T4" s="1393"/>
      <c r="U4" s="1392" t="s">
        <v>722</v>
      </c>
      <c r="V4" s="1391"/>
      <c r="W4" s="1391"/>
      <c r="X4" s="1390"/>
      <c r="Y4" s="1389" t="s">
        <v>721</v>
      </c>
      <c r="AB4" s="1388" t="s">
        <v>720</v>
      </c>
      <c r="AC4" s="1388"/>
      <c r="AD4" s="1388"/>
      <c r="AE4" s="1388"/>
      <c r="AF4" s="1387" t="s">
        <v>719</v>
      </c>
      <c r="AG4" s="1387"/>
      <c r="AH4" s="1387"/>
      <c r="AI4" s="1387"/>
      <c r="AJ4" s="1388" t="s">
        <v>720</v>
      </c>
      <c r="AK4" s="1388"/>
      <c r="AL4" s="1388"/>
      <c r="AM4" s="1388"/>
      <c r="AN4" s="1387" t="s">
        <v>719</v>
      </c>
      <c r="AO4" s="1387"/>
      <c r="AP4" s="1387"/>
      <c r="AQ4" s="1387"/>
      <c r="AS4" s="1386"/>
      <c r="AT4" s="1385"/>
    </row>
    <row r="5" spans="1:46" ht="22.5" customHeight="1">
      <c r="A5" s="1369"/>
      <c r="B5" s="1368"/>
      <c r="C5" s="1368"/>
      <c r="D5" s="1367"/>
      <c r="E5" s="1367"/>
      <c r="F5" s="1366"/>
      <c r="G5" s="1384"/>
      <c r="H5" s="1462" t="s">
        <v>739</v>
      </c>
      <c r="I5" s="1459"/>
      <c r="J5" s="1460"/>
      <c r="K5" s="1381" t="s">
        <v>718</v>
      </c>
      <c r="L5" s="1383" t="s">
        <v>717</v>
      </c>
      <c r="M5" s="1382"/>
      <c r="N5" s="1462" t="s">
        <v>739</v>
      </c>
      <c r="O5" s="1459"/>
      <c r="P5" s="1460"/>
      <c r="Q5" s="1381" t="s">
        <v>718</v>
      </c>
      <c r="R5" s="1380" t="s">
        <v>717</v>
      </c>
      <c r="S5" s="1379"/>
      <c r="T5" s="1378"/>
      <c r="U5" s="1356" t="s">
        <v>859</v>
      </c>
      <c r="V5" s="1355" t="s">
        <v>860</v>
      </c>
      <c r="W5" s="1355" t="s">
        <v>716</v>
      </c>
      <c r="X5" s="1377" t="s">
        <v>715</v>
      </c>
      <c r="Y5" s="1353"/>
      <c r="AB5" s="1374" t="s">
        <v>714</v>
      </c>
      <c r="AC5" s="1373" t="s">
        <v>713</v>
      </c>
      <c r="AD5" s="1373" t="s">
        <v>712</v>
      </c>
      <c r="AE5" s="1372" t="s">
        <v>711</v>
      </c>
      <c r="AF5" s="1376" t="s">
        <v>714</v>
      </c>
      <c r="AG5" s="1373" t="s">
        <v>713</v>
      </c>
      <c r="AH5" s="1373" t="s">
        <v>712</v>
      </c>
      <c r="AI5" s="1372" t="s">
        <v>711</v>
      </c>
      <c r="AJ5" s="1376" t="s">
        <v>714</v>
      </c>
      <c r="AK5" s="1373" t="s">
        <v>713</v>
      </c>
      <c r="AL5" s="1373" t="s">
        <v>712</v>
      </c>
      <c r="AM5" s="1375" t="s">
        <v>711</v>
      </c>
      <c r="AN5" s="1374" t="s">
        <v>714</v>
      </c>
      <c r="AO5" s="1373" t="s">
        <v>713</v>
      </c>
      <c r="AP5" s="1373" t="s">
        <v>712</v>
      </c>
      <c r="AQ5" s="1372" t="s">
        <v>711</v>
      </c>
      <c r="AS5" s="1371" t="s">
        <v>710</v>
      </c>
      <c r="AT5" s="1370" t="s">
        <v>709</v>
      </c>
    </row>
    <row r="6" spans="1:46" ht="13.5" customHeight="1">
      <c r="A6" s="1369"/>
      <c r="B6" s="1368"/>
      <c r="C6" s="1368"/>
      <c r="D6" s="1367"/>
      <c r="E6" s="1367"/>
      <c r="F6" s="1366"/>
      <c r="G6" s="1365"/>
      <c r="H6" s="1461"/>
      <c r="I6" s="1362" t="s">
        <v>708</v>
      </c>
      <c r="J6" s="1361" t="s">
        <v>707</v>
      </c>
      <c r="K6" s="1360"/>
      <c r="L6" s="1364"/>
      <c r="M6" s="1363"/>
      <c r="N6" s="1461"/>
      <c r="O6" s="1362" t="s">
        <v>708</v>
      </c>
      <c r="P6" s="1361" t="s">
        <v>707</v>
      </c>
      <c r="Q6" s="1360"/>
      <c r="R6" s="1359"/>
      <c r="S6" s="1358" t="s">
        <v>706</v>
      </c>
      <c r="T6" s="1357" t="s">
        <v>705</v>
      </c>
      <c r="U6" s="1356"/>
      <c r="V6" s="1355"/>
      <c r="W6" s="1355"/>
      <c r="X6" s="1354"/>
      <c r="Y6" s="1353"/>
      <c r="AB6" s="1350" t="s">
        <v>704</v>
      </c>
      <c r="AC6" s="1349" t="s">
        <v>703</v>
      </c>
      <c r="AD6" s="1349" t="s">
        <v>702</v>
      </c>
      <c r="AE6" s="1348" t="s">
        <v>701</v>
      </c>
      <c r="AF6" s="1352" t="s">
        <v>704</v>
      </c>
      <c r="AG6" s="1349" t="s">
        <v>703</v>
      </c>
      <c r="AH6" s="1349" t="s">
        <v>702</v>
      </c>
      <c r="AI6" s="1348" t="s">
        <v>701</v>
      </c>
      <c r="AJ6" s="1352" t="s">
        <v>704</v>
      </c>
      <c r="AK6" s="1349" t="s">
        <v>703</v>
      </c>
      <c r="AL6" s="1349" t="s">
        <v>702</v>
      </c>
      <c r="AM6" s="1351" t="s">
        <v>701</v>
      </c>
      <c r="AN6" s="1350" t="s">
        <v>704</v>
      </c>
      <c r="AO6" s="1349" t="s">
        <v>703</v>
      </c>
      <c r="AP6" s="1349" t="s">
        <v>702</v>
      </c>
      <c r="AQ6" s="1348" t="s">
        <v>701</v>
      </c>
      <c r="AS6" s="1347"/>
      <c r="AT6" s="1346"/>
    </row>
    <row r="7" spans="1:46" ht="13.5" customHeight="1">
      <c r="A7" s="1345">
        <v>3</v>
      </c>
      <c r="B7" s="1344">
        <v>301</v>
      </c>
      <c r="C7" s="1343" t="s">
        <v>613</v>
      </c>
      <c r="D7" s="1342">
        <v>153.66999999999999</v>
      </c>
      <c r="E7" s="1341">
        <v>2.8</v>
      </c>
      <c r="F7" s="1340">
        <v>430.3</v>
      </c>
      <c r="G7" s="1339" t="s">
        <v>856</v>
      </c>
      <c r="H7" s="1332">
        <v>9889</v>
      </c>
      <c r="I7" s="1331"/>
      <c r="J7" s="1329">
        <v>9889</v>
      </c>
      <c r="K7" s="1331">
        <v>1056</v>
      </c>
      <c r="L7" s="1338">
        <v>10945</v>
      </c>
      <c r="M7" s="1337"/>
      <c r="N7" s="1331">
        <v>7901</v>
      </c>
      <c r="O7" s="1331"/>
      <c r="P7" s="1329">
        <v>7901</v>
      </c>
      <c r="Q7" s="1336">
        <v>0</v>
      </c>
      <c r="R7" s="1335">
        <v>7901</v>
      </c>
      <c r="S7" s="1334">
        <v>11.86</v>
      </c>
      <c r="T7" s="1333">
        <v>9.8000000000000007</v>
      </c>
      <c r="U7" s="1332">
        <v>480</v>
      </c>
      <c r="V7" s="1331">
        <v>1850</v>
      </c>
      <c r="W7" s="1330"/>
      <c r="X7" s="1329">
        <v>2330</v>
      </c>
      <c r="Y7" s="1328">
        <v>5.4</v>
      </c>
      <c r="AB7" s="1296">
        <v>28</v>
      </c>
      <c r="AC7" s="1296">
        <v>45</v>
      </c>
      <c r="AD7" s="1296">
        <v>55.4</v>
      </c>
      <c r="AE7" s="1296">
        <v>10.7</v>
      </c>
      <c r="AF7" s="1296">
        <v>20</v>
      </c>
      <c r="AG7" s="1296">
        <v>40</v>
      </c>
      <c r="AH7" s="1296">
        <v>34.9</v>
      </c>
      <c r="AI7" s="1296">
        <v>5.8</v>
      </c>
      <c r="AJ7" s="1296">
        <v>28</v>
      </c>
      <c r="AK7" s="1296">
        <v>45</v>
      </c>
      <c r="AL7" s="1296">
        <v>55.3</v>
      </c>
      <c r="AM7" s="1296">
        <v>10.6</v>
      </c>
      <c r="AN7" s="1296">
        <v>20</v>
      </c>
      <c r="AO7" s="1296">
        <v>40</v>
      </c>
      <c r="AP7" s="1296">
        <v>34.9</v>
      </c>
      <c r="AQ7" s="1296">
        <v>5.8</v>
      </c>
      <c r="AS7" s="1294">
        <v>1845.34</v>
      </c>
      <c r="AT7" s="1294">
        <v>2325.34</v>
      </c>
    </row>
    <row r="8" spans="1:46" ht="13.5" customHeight="1">
      <c r="A8" s="1327">
        <v>3</v>
      </c>
      <c r="B8" s="1326">
        <v>302</v>
      </c>
      <c r="C8" s="1325" t="s">
        <v>678</v>
      </c>
      <c r="D8" s="1324">
        <v>115.57</v>
      </c>
      <c r="E8" s="1323">
        <v>2.8</v>
      </c>
      <c r="F8" s="1322">
        <v>323.60000000000002</v>
      </c>
      <c r="G8" s="1321" t="s">
        <v>857</v>
      </c>
      <c r="H8" s="1314">
        <v>7176</v>
      </c>
      <c r="I8" s="1313"/>
      <c r="J8" s="1311">
        <v>7176</v>
      </c>
      <c r="K8" s="1313">
        <v>792</v>
      </c>
      <c r="L8" s="1320">
        <v>7968</v>
      </c>
      <c r="M8" s="1319"/>
      <c r="N8" s="1313">
        <v>5861</v>
      </c>
      <c r="O8" s="1313"/>
      <c r="P8" s="1311">
        <v>5861</v>
      </c>
      <c r="Q8" s="1318">
        <v>0</v>
      </c>
      <c r="R8" s="1317">
        <v>5861</v>
      </c>
      <c r="S8" s="1316">
        <v>11.86</v>
      </c>
      <c r="T8" s="1315">
        <v>10.07</v>
      </c>
      <c r="U8" s="1314">
        <v>360</v>
      </c>
      <c r="V8" s="1313">
        <v>1330</v>
      </c>
      <c r="W8" s="1312"/>
      <c r="X8" s="1311">
        <v>1690</v>
      </c>
      <c r="Y8" s="1310">
        <v>5.2</v>
      </c>
      <c r="AB8" s="1296">
        <v>28</v>
      </c>
      <c r="AC8" s="1296">
        <v>45</v>
      </c>
      <c r="AD8" s="1296">
        <v>55.4</v>
      </c>
      <c r="AE8" s="1296">
        <v>10.7</v>
      </c>
      <c r="AF8" s="1296">
        <v>20</v>
      </c>
      <c r="AG8" s="1296">
        <v>40</v>
      </c>
      <c r="AH8" s="1296">
        <v>34.9</v>
      </c>
      <c r="AI8" s="1296">
        <v>5.8</v>
      </c>
      <c r="AJ8" s="1296">
        <v>28</v>
      </c>
      <c r="AK8" s="1296">
        <v>45</v>
      </c>
      <c r="AL8" s="1296">
        <v>55.3</v>
      </c>
      <c r="AM8" s="1296">
        <v>10.6</v>
      </c>
      <c r="AN8" s="1296">
        <v>20</v>
      </c>
      <c r="AO8" s="1296">
        <v>40</v>
      </c>
      <c r="AP8" s="1296">
        <v>34.9</v>
      </c>
      <c r="AQ8" s="1296">
        <v>5.8</v>
      </c>
      <c r="AS8" s="1294">
        <v>1323.59</v>
      </c>
      <c r="AT8" s="1294">
        <v>1683.59</v>
      </c>
    </row>
    <row r="9" spans="1:46" ht="13.5" customHeight="1">
      <c r="A9" s="1327"/>
      <c r="B9" s="1326"/>
      <c r="C9" s="1325"/>
      <c r="D9" s="1324"/>
      <c r="E9" s="1323"/>
      <c r="F9" s="1322"/>
      <c r="G9" s="1321"/>
      <c r="H9" s="1314"/>
      <c r="I9" s="1313"/>
      <c r="J9" s="1311"/>
      <c r="K9" s="1313"/>
      <c r="L9" s="1320"/>
      <c r="M9" s="1319"/>
      <c r="N9" s="1313"/>
      <c r="O9" s="1313"/>
      <c r="P9" s="1311"/>
      <c r="Q9" s="1318"/>
      <c r="R9" s="1317"/>
      <c r="S9" s="1316"/>
      <c r="T9" s="1315"/>
      <c r="U9" s="1314"/>
      <c r="V9" s="1313"/>
      <c r="W9" s="1312"/>
      <c r="X9" s="1311"/>
      <c r="Y9" s="1310"/>
    </row>
    <row r="10" spans="1:46" ht="13.5" customHeight="1">
      <c r="A10" s="1327"/>
      <c r="B10" s="1326"/>
      <c r="C10" s="1325"/>
      <c r="D10" s="1324"/>
      <c r="E10" s="1323"/>
      <c r="F10" s="1322"/>
      <c r="G10" s="1321"/>
      <c r="H10" s="1314"/>
      <c r="I10" s="1313"/>
      <c r="J10" s="1311"/>
      <c r="K10" s="1313"/>
      <c r="L10" s="1320"/>
      <c r="M10" s="1319"/>
      <c r="N10" s="1313"/>
      <c r="O10" s="1313"/>
      <c r="P10" s="1311"/>
      <c r="Q10" s="1318"/>
      <c r="R10" s="1317"/>
      <c r="S10" s="1316"/>
      <c r="T10" s="1315"/>
      <c r="U10" s="1314"/>
      <c r="V10" s="1313"/>
      <c r="W10" s="1312"/>
      <c r="X10" s="1311"/>
      <c r="Y10" s="1310"/>
    </row>
    <row r="11" spans="1:46" ht="13.5" customHeight="1">
      <c r="A11" s="1327"/>
      <c r="B11" s="1326"/>
      <c r="C11" s="1325"/>
      <c r="D11" s="1324"/>
      <c r="E11" s="1323"/>
      <c r="F11" s="1322"/>
      <c r="G11" s="1321"/>
      <c r="H11" s="1314"/>
      <c r="I11" s="1313"/>
      <c r="J11" s="1311"/>
      <c r="K11" s="1313"/>
      <c r="L11" s="1320"/>
      <c r="M11" s="1319"/>
      <c r="N11" s="1313"/>
      <c r="O11" s="1313"/>
      <c r="P11" s="1311"/>
      <c r="Q11" s="1318"/>
      <c r="R11" s="1317"/>
      <c r="S11" s="1316"/>
      <c r="T11" s="1315"/>
      <c r="U11" s="1314"/>
      <c r="V11" s="1313"/>
      <c r="W11" s="1312"/>
      <c r="X11" s="1311"/>
      <c r="Y11" s="1310"/>
    </row>
    <row r="12" spans="1:46" ht="13.5" customHeight="1">
      <c r="A12" s="1327"/>
      <c r="B12" s="1326"/>
      <c r="C12" s="1325"/>
      <c r="D12" s="1324"/>
      <c r="E12" s="1323"/>
      <c r="F12" s="1322"/>
      <c r="G12" s="1321"/>
      <c r="H12" s="1314"/>
      <c r="I12" s="1313"/>
      <c r="J12" s="1311"/>
      <c r="K12" s="1313"/>
      <c r="L12" s="1320"/>
      <c r="M12" s="1319"/>
      <c r="N12" s="1313"/>
      <c r="O12" s="1313"/>
      <c r="P12" s="1311"/>
      <c r="Q12" s="1318"/>
      <c r="R12" s="1317"/>
      <c r="S12" s="1316"/>
      <c r="T12" s="1315"/>
      <c r="U12" s="1314"/>
      <c r="V12" s="1313"/>
      <c r="W12" s="1312"/>
      <c r="X12" s="1311"/>
      <c r="Y12" s="1310"/>
    </row>
    <row r="13" spans="1:46" ht="13.5" customHeight="1">
      <c r="A13" s="1327"/>
      <c r="B13" s="1326"/>
      <c r="C13" s="1325"/>
      <c r="D13" s="1324"/>
      <c r="E13" s="1323"/>
      <c r="F13" s="1322"/>
      <c r="G13" s="1321"/>
      <c r="H13" s="1314"/>
      <c r="I13" s="1313"/>
      <c r="J13" s="1311"/>
      <c r="K13" s="1313"/>
      <c r="L13" s="1320"/>
      <c r="M13" s="1319"/>
      <c r="N13" s="1313"/>
      <c r="O13" s="1313"/>
      <c r="P13" s="1311"/>
      <c r="Q13" s="1318"/>
      <c r="R13" s="1317"/>
      <c r="S13" s="1316"/>
      <c r="T13" s="1315"/>
      <c r="U13" s="1314"/>
      <c r="V13" s="1313"/>
      <c r="W13" s="1312"/>
      <c r="X13" s="1311"/>
      <c r="Y13" s="1310"/>
    </row>
    <row r="14" spans="1:46" ht="13.5" customHeight="1">
      <c r="A14" s="1327"/>
      <c r="B14" s="1326"/>
      <c r="C14" s="1325"/>
      <c r="D14" s="1324"/>
      <c r="E14" s="1323"/>
      <c r="F14" s="1322"/>
      <c r="G14" s="1321"/>
      <c r="H14" s="1314"/>
      <c r="I14" s="1313"/>
      <c r="J14" s="1311"/>
      <c r="K14" s="1313"/>
      <c r="L14" s="1320"/>
      <c r="M14" s="1319"/>
      <c r="N14" s="1313"/>
      <c r="O14" s="1313"/>
      <c r="P14" s="1311"/>
      <c r="Q14" s="1318"/>
      <c r="R14" s="1317"/>
      <c r="S14" s="1316"/>
      <c r="T14" s="1315"/>
      <c r="U14" s="1314"/>
      <c r="V14" s="1313"/>
      <c r="W14" s="1312"/>
      <c r="X14" s="1311"/>
      <c r="Y14" s="1310"/>
    </row>
    <row r="15" spans="1:46" ht="13.5" customHeight="1">
      <c r="A15" s="1327"/>
      <c r="B15" s="1326"/>
      <c r="C15" s="1325"/>
      <c r="D15" s="1324"/>
      <c r="E15" s="1323"/>
      <c r="F15" s="1322"/>
      <c r="G15" s="1321"/>
      <c r="H15" s="1314"/>
      <c r="I15" s="1313"/>
      <c r="J15" s="1311"/>
      <c r="K15" s="1313"/>
      <c r="L15" s="1320"/>
      <c r="M15" s="1319"/>
      <c r="N15" s="1313"/>
      <c r="O15" s="1313"/>
      <c r="P15" s="1311"/>
      <c r="Q15" s="1318"/>
      <c r="R15" s="1317"/>
      <c r="S15" s="1316"/>
      <c r="T15" s="1315"/>
      <c r="U15" s="1314"/>
      <c r="V15" s="1313"/>
      <c r="W15" s="1312"/>
      <c r="X15" s="1311"/>
      <c r="Y15" s="1310"/>
    </row>
    <row r="16" spans="1:46" ht="13.5" customHeight="1">
      <c r="A16" s="1327"/>
      <c r="B16" s="1326"/>
      <c r="C16" s="1325"/>
      <c r="D16" s="1324"/>
      <c r="E16" s="1323"/>
      <c r="F16" s="1322"/>
      <c r="G16" s="1321"/>
      <c r="H16" s="1314"/>
      <c r="I16" s="1313"/>
      <c r="J16" s="1311"/>
      <c r="K16" s="1313"/>
      <c r="L16" s="1320"/>
      <c r="M16" s="1319"/>
      <c r="N16" s="1313"/>
      <c r="O16" s="1313"/>
      <c r="P16" s="1311"/>
      <c r="Q16" s="1318"/>
      <c r="R16" s="1317"/>
      <c r="S16" s="1316"/>
      <c r="T16" s="1315"/>
      <c r="U16" s="1314"/>
      <c r="V16" s="1313"/>
      <c r="W16" s="1312"/>
      <c r="X16" s="1311"/>
      <c r="Y16" s="1310"/>
    </row>
    <row r="17" spans="1:25" ht="13.5" customHeight="1">
      <c r="A17" s="1327"/>
      <c r="B17" s="1326"/>
      <c r="C17" s="1325"/>
      <c r="D17" s="1324"/>
      <c r="E17" s="1323"/>
      <c r="F17" s="1322"/>
      <c r="G17" s="1321"/>
      <c r="H17" s="1314"/>
      <c r="I17" s="1313"/>
      <c r="J17" s="1311"/>
      <c r="K17" s="1313"/>
      <c r="L17" s="1320"/>
      <c r="M17" s="1319"/>
      <c r="N17" s="1313"/>
      <c r="O17" s="1313"/>
      <c r="P17" s="1311"/>
      <c r="Q17" s="1318"/>
      <c r="R17" s="1317"/>
      <c r="S17" s="1316"/>
      <c r="T17" s="1315"/>
      <c r="U17" s="1314"/>
      <c r="V17" s="1313"/>
      <c r="W17" s="1312"/>
      <c r="X17" s="1311"/>
      <c r="Y17" s="1310"/>
    </row>
    <row r="18" spans="1:25" ht="13.5" customHeight="1">
      <c r="A18" s="1327"/>
      <c r="B18" s="1326"/>
      <c r="C18" s="1325"/>
      <c r="D18" s="1324"/>
      <c r="E18" s="1323"/>
      <c r="F18" s="1322"/>
      <c r="G18" s="1321"/>
      <c r="H18" s="1314"/>
      <c r="I18" s="1313"/>
      <c r="J18" s="1311"/>
      <c r="K18" s="1313"/>
      <c r="L18" s="1320"/>
      <c r="M18" s="1319"/>
      <c r="N18" s="1313"/>
      <c r="O18" s="1313"/>
      <c r="P18" s="1311"/>
      <c r="Q18" s="1318"/>
      <c r="R18" s="1317"/>
      <c r="S18" s="1316"/>
      <c r="T18" s="1315"/>
      <c r="U18" s="1314"/>
      <c r="V18" s="1313"/>
      <c r="W18" s="1312"/>
      <c r="X18" s="1311"/>
      <c r="Y18" s="1310"/>
    </row>
    <row r="19" spans="1:25" ht="13.5" customHeight="1">
      <c r="A19" s="1327"/>
      <c r="B19" s="1326"/>
      <c r="C19" s="1325"/>
      <c r="D19" s="1324"/>
      <c r="E19" s="1323"/>
      <c r="F19" s="1322"/>
      <c r="G19" s="1321"/>
      <c r="H19" s="1314"/>
      <c r="I19" s="1313"/>
      <c r="J19" s="1311"/>
      <c r="K19" s="1313"/>
      <c r="L19" s="1320"/>
      <c r="M19" s="1319"/>
      <c r="N19" s="1313"/>
      <c r="O19" s="1313"/>
      <c r="P19" s="1311"/>
      <c r="Q19" s="1318"/>
      <c r="R19" s="1317"/>
      <c r="S19" s="1316"/>
      <c r="T19" s="1315"/>
      <c r="U19" s="1314"/>
      <c r="V19" s="1313"/>
      <c r="W19" s="1312"/>
      <c r="X19" s="1311"/>
      <c r="Y19" s="1310"/>
    </row>
    <row r="20" spans="1:25" ht="13.5" customHeight="1">
      <c r="A20" s="1327"/>
      <c r="B20" s="1326"/>
      <c r="C20" s="1325"/>
      <c r="D20" s="1324"/>
      <c r="E20" s="1323"/>
      <c r="F20" s="1322"/>
      <c r="G20" s="1321"/>
      <c r="H20" s="1314"/>
      <c r="I20" s="1313"/>
      <c r="J20" s="1311"/>
      <c r="K20" s="1313"/>
      <c r="L20" s="1320"/>
      <c r="M20" s="1319"/>
      <c r="N20" s="1313"/>
      <c r="O20" s="1313"/>
      <c r="P20" s="1311"/>
      <c r="Q20" s="1318"/>
      <c r="R20" s="1317"/>
      <c r="S20" s="1316"/>
      <c r="T20" s="1315"/>
      <c r="U20" s="1314"/>
      <c r="V20" s="1313"/>
      <c r="W20" s="1312"/>
      <c r="X20" s="1311"/>
      <c r="Y20" s="1310"/>
    </row>
    <row r="21" spans="1:25" ht="13.5" customHeight="1">
      <c r="A21" s="1327"/>
      <c r="B21" s="1326"/>
      <c r="C21" s="1325"/>
      <c r="D21" s="1324"/>
      <c r="E21" s="1323"/>
      <c r="F21" s="1322"/>
      <c r="G21" s="1321"/>
      <c r="H21" s="1314"/>
      <c r="I21" s="1313"/>
      <c r="J21" s="1311"/>
      <c r="K21" s="1313"/>
      <c r="L21" s="1320"/>
      <c r="M21" s="1319"/>
      <c r="N21" s="1313"/>
      <c r="O21" s="1313"/>
      <c r="P21" s="1311"/>
      <c r="Q21" s="1318"/>
      <c r="R21" s="1317"/>
      <c r="S21" s="1316"/>
      <c r="T21" s="1315"/>
      <c r="U21" s="1314"/>
      <c r="V21" s="1313"/>
      <c r="W21" s="1312"/>
      <c r="X21" s="1311"/>
      <c r="Y21" s="1310"/>
    </row>
    <row r="22" spans="1:25" ht="13.5" customHeight="1">
      <c r="A22" s="1327"/>
      <c r="B22" s="1326"/>
      <c r="C22" s="1325"/>
      <c r="D22" s="1324"/>
      <c r="E22" s="1323"/>
      <c r="F22" s="1322"/>
      <c r="G22" s="1321"/>
      <c r="H22" s="1314"/>
      <c r="I22" s="1313"/>
      <c r="J22" s="1311"/>
      <c r="K22" s="1313"/>
      <c r="L22" s="1320"/>
      <c r="M22" s="1319"/>
      <c r="N22" s="1313"/>
      <c r="O22" s="1313"/>
      <c r="P22" s="1311"/>
      <c r="Q22" s="1318"/>
      <c r="R22" s="1317"/>
      <c r="S22" s="1316"/>
      <c r="T22" s="1315"/>
      <c r="U22" s="1314"/>
      <c r="V22" s="1313"/>
      <c r="W22" s="1312"/>
      <c r="X22" s="1311"/>
      <c r="Y22" s="1310"/>
    </row>
    <row r="23" spans="1:25" ht="13.5" customHeight="1">
      <c r="A23" s="1327"/>
      <c r="B23" s="1326"/>
      <c r="C23" s="1325"/>
      <c r="D23" s="1324"/>
      <c r="E23" s="1323"/>
      <c r="F23" s="1322"/>
      <c r="G23" s="1321"/>
      <c r="H23" s="1314"/>
      <c r="I23" s="1313"/>
      <c r="J23" s="1311"/>
      <c r="K23" s="1313"/>
      <c r="L23" s="1320"/>
      <c r="M23" s="1319"/>
      <c r="N23" s="1313"/>
      <c r="O23" s="1313"/>
      <c r="P23" s="1311"/>
      <c r="Q23" s="1318"/>
      <c r="R23" s="1317"/>
      <c r="S23" s="1316"/>
      <c r="T23" s="1315"/>
      <c r="U23" s="1314"/>
      <c r="V23" s="1313"/>
      <c r="W23" s="1312"/>
      <c r="X23" s="1311"/>
      <c r="Y23" s="1310"/>
    </row>
    <row r="24" spans="1:25" ht="13.5" customHeight="1">
      <c r="A24" s="1327"/>
      <c r="B24" s="1326"/>
      <c r="C24" s="1325"/>
      <c r="D24" s="1324"/>
      <c r="E24" s="1323"/>
      <c r="F24" s="1322"/>
      <c r="G24" s="1321"/>
      <c r="H24" s="1314"/>
      <c r="I24" s="1313"/>
      <c r="J24" s="1311"/>
      <c r="K24" s="1313"/>
      <c r="L24" s="1320"/>
      <c r="M24" s="1319"/>
      <c r="N24" s="1313"/>
      <c r="O24" s="1313"/>
      <c r="P24" s="1311"/>
      <c r="Q24" s="1318"/>
      <c r="R24" s="1317"/>
      <c r="S24" s="1316"/>
      <c r="T24" s="1315"/>
      <c r="U24" s="1314"/>
      <c r="V24" s="1313"/>
      <c r="W24" s="1312"/>
      <c r="X24" s="1311"/>
      <c r="Y24" s="1310"/>
    </row>
    <row r="25" spans="1:25" ht="13.5" customHeight="1">
      <c r="A25" s="1327"/>
      <c r="B25" s="1326"/>
      <c r="C25" s="1325"/>
      <c r="D25" s="1324"/>
      <c r="E25" s="1323"/>
      <c r="F25" s="1322"/>
      <c r="G25" s="1321"/>
      <c r="H25" s="1314"/>
      <c r="I25" s="1313"/>
      <c r="J25" s="1311"/>
      <c r="K25" s="1313"/>
      <c r="L25" s="1320"/>
      <c r="M25" s="1319"/>
      <c r="N25" s="1313"/>
      <c r="O25" s="1313"/>
      <c r="P25" s="1311"/>
      <c r="Q25" s="1318"/>
      <c r="R25" s="1317"/>
      <c r="S25" s="1316"/>
      <c r="T25" s="1315"/>
      <c r="U25" s="1314"/>
      <c r="V25" s="1313"/>
      <c r="W25" s="1312"/>
      <c r="X25" s="1311"/>
      <c r="Y25" s="1310"/>
    </row>
    <row r="26" spans="1:25" ht="13.5" customHeight="1">
      <c r="A26" s="1327"/>
      <c r="B26" s="1326"/>
      <c r="C26" s="1325"/>
      <c r="D26" s="1324"/>
      <c r="E26" s="1323"/>
      <c r="F26" s="1322"/>
      <c r="G26" s="1321"/>
      <c r="H26" s="1314"/>
      <c r="I26" s="1313"/>
      <c r="J26" s="1311"/>
      <c r="K26" s="1313"/>
      <c r="L26" s="1320"/>
      <c r="M26" s="1319"/>
      <c r="N26" s="1313"/>
      <c r="O26" s="1313"/>
      <c r="P26" s="1311"/>
      <c r="Q26" s="1318"/>
      <c r="R26" s="1317"/>
      <c r="S26" s="1316"/>
      <c r="T26" s="1315"/>
      <c r="U26" s="1314"/>
      <c r="V26" s="1313"/>
      <c r="W26" s="1312"/>
      <c r="X26" s="1311"/>
      <c r="Y26" s="1310"/>
    </row>
    <row r="27" spans="1:25" ht="13.5" customHeight="1">
      <c r="A27" s="1327"/>
      <c r="B27" s="1326"/>
      <c r="C27" s="1325"/>
      <c r="D27" s="1324"/>
      <c r="E27" s="1323"/>
      <c r="F27" s="1322"/>
      <c r="G27" s="1321"/>
      <c r="H27" s="1314"/>
      <c r="I27" s="1313"/>
      <c r="J27" s="1311"/>
      <c r="K27" s="1313"/>
      <c r="L27" s="1320"/>
      <c r="M27" s="1319"/>
      <c r="N27" s="1313"/>
      <c r="O27" s="1313"/>
      <c r="P27" s="1311"/>
      <c r="Q27" s="1318"/>
      <c r="R27" s="1317"/>
      <c r="S27" s="1316"/>
      <c r="T27" s="1315"/>
      <c r="U27" s="1314"/>
      <c r="V27" s="1313"/>
      <c r="W27" s="1312"/>
      <c r="X27" s="1311"/>
      <c r="Y27" s="1310"/>
    </row>
    <row r="28" spans="1:25" ht="13.5" customHeight="1">
      <c r="A28" s="1327"/>
      <c r="B28" s="1326"/>
      <c r="C28" s="1325"/>
      <c r="D28" s="1324"/>
      <c r="E28" s="1323"/>
      <c r="F28" s="1322"/>
      <c r="G28" s="1321"/>
      <c r="H28" s="1314"/>
      <c r="I28" s="1313"/>
      <c r="J28" s="1311"/>
      <c r="K28" s="1313"/>
      <c r="L28" s="1320"/>
      <c r="M28" s="1319"/>
      <c r="N28" s="1313"/>
      <c r="O28" s="1313"/>
      <c r="P28" s="1311"/>
      <c r="Q28" s="1318"/>
      <c r="R28" s="1317"/>
      <c r="S28" s="1316"/>
      <c r="T28" s="1315"/>
      <c r="U28" s="1314"/>
      <c r="V28" s="1313"/>
      <c r="W28" s="1312"/>
      <c r="X28" s="1311"/>
      <c r="Y28" s="1310"/>
    </row>
    <row r="29" spans="1:25" ht="13.5" customHeight="1">
      <c r="A29" s="1327"/>
      <c r="B29" s="1326"/>
      <c r="C29" s="1325"/>
      <c r="D29" s="1324"/>
      <c r="E29" s="1323"/>
      <c r="F29" s="1322"/>
      <c r="G29" s="1321"/>
      <c r="H29" s="1314"/>
      <c r="I29" s="1313"/>
      <c r="J29" s="1311"/>
      <c r="K29" s="1313"/>
      <c r="L29" s="1320"/>
      <c r="M29" s="1319"/>
      <c r="N29" s="1313"/>
      <c r="O29" s="1313"/>
      <c r="P29" s="1311"/>
      <c r="Q29" s="1318"/>
      <c r="R29" s="1317"/>
      <c r="S29" s="1316"/>
      <c r="T29" s="1315"/>
      <c r="U29" s="1314"/>
      <c r="V29" s="1313"/>
      <c r="W29" s="1312"/>
      <c r="X29" s="1311"/>
      <c r="Y29" s="1310"/>
    </row>
    <row r="30" spans="1:25" ht="13.5" customHeight="1">
      <c r="A30" s="1327"/>
      <c r="B30" s="1326"/>
      <c r="C30" s="1325"/>
      <c r="D30" s="1324"/>
      <c r="E30" s="1323"/>
      <c r="F30" s="1322"/>
      <c r="G30" s="1321"/>
      <c r="H30" s="1314"/>
      <c r="I30" s="1313"/>
      <c r="J30" s="1311"/>
      <c r="K30" s="1313"/>
      <c r="L30" s="1320"/>
      <c r="M30" s="1319"/>
      <c r="N30" s="1313"/>
      <c r="O30" s="1313"/>
      <c r="P30" s="1311"/>
      <c r="Q30" s="1318"/>
      <c r="R30" s="1317"/>
      <c r="S30" s="1316"/>
      <c r="T30" s="1315"/>
      <c r="U30" s="1314"/>
      <c r="V30" s="1313"/>
      <c r="W30" s="1312"/>
      <c r="X30" s="1311"/>
      <c r="Y30" s="1310"/>
    </row>
    <row r="31" spans="1:25" ht="13.5" customHeight="1">
      <c r="A31" s="1327"/>
      <c r="B31" s="1326"/>
      <c r="C31" s="1325"/>
      <c r="D31" s="1324"/>
      <c r="E31" s="1323"/>
      <c r="F31" s="1322"/>
      <c r="G31" s="1321"/>
      <c r="H31" s="1314"/>
      <c r="I31" s="1313"/>
      <c r="J31" s="1311"/>
      <c r="K31" s="1313"/>
      <c r="L31" s="1320"/>
      <c r="M31" s="1319"/>
      <c r="N31" s="1313"/>
      <c r="O31" s="1313"/>
      <c r="P31" s="1311"/>
      <c r="Q31" s="1318"/>
      <c r="R31" s="1317"/>
      <c r="S31" s="1316"/>
      <c r="T31" s="1315"/>
      <c r="U31" s="1314"/>
      <c r="V31" s="1313"/>
      <c r="W31" s="1312"/>
      <c r="X31" s="1311"/>
      <c r="Y31" s="1310"/>
    </row>
    <row r="32" spans="1:25" ht="13.5" customHeight="1">
      <c r="A32" s="1327"/>
      <c r="B32" s="1326"/>
      <c r="C32" s="1325"/>
      <c r="D32" s="1324"/>
      <c r="E32" s="1323"/>
      <c r="F32" s="1322"/>
      <c r="G32" s="1321"/>
      <c r="H32" s="1314"/>
      <c r="I32" s="1313"/>
      <c r="J32" s="1311"/>
      <c r="K32" s="1313"/>
      <c r="L32" s="1320"/>
      <c r="M32" s="1319"/>
      <c r="N32" s="1313"/>
      <c r="O32" s="1313"/>
      <c r="P32" s="1311"/>
      <c r="Q32" s="1318"/>
      <c r="R32" s="1317"/>
      <c r="S32" s="1316"/>
      <c r="T32" s="1315"/>
      <c r="U32" s="1314"/>
      <c r="V32" s="1313"/>
      <c r="W32" s="1312"/>
      <c r="X32" s="1311"/>
      <c r="Y32" s="1310"/>
    </row>
    <row r="33" spans="1:25" ht="13.5" customHeight="1">
      <c r="A33" s="1327"/>
      <c r="B33" s="1326"/>
      <c r="C33" s="1325"/>
      <c r="D33" s="1324"/>
      <c r="E33" s="1323"/>
      <c r="F33" s="1322"/>
      <c r="G33" s="1321"/>
      <c r="H33" s="1314"/>
      <c r="I33" s="1313"/>
      <c r="J33" s="1311"/>
      <c r="K33" s="1313"/>
      <c r="L33" s="1320"/>
      <c r="M33" s="1319"/>
      <c r="N33" s="1313"/>
      <c r="O33" s="1313"/>
      <c r="P33" s="1311"/>
      <c r="Q33" s="1318"/>
      <c r="R33" s="1317"/>
      <c r="S33" s="1316"/>
      <c r="T33" s="1315"/>
      <c r="U33" s="1314"/>
      <c r="V33" s="1313"/>
      <c r="W33" s="1312"/>
      <c r="X33" s="1311"/>
      <c r="Y33" s="1310"/>
    </row>
    <row r="34" spans="1:25" ht="13.5" customHeight="1">
      <c r="A34" s="1327"/>
      <c r="B34" s="1326"/>
      <c r="C34" s="1325"/>
      <c r="D34" s="1324"/>
      <c r="E34" s="1323"/>
      <c r="F34" s="1322"/>
      <c r="G34" s="1321"/>
      <c r="H34" s="1314"/>
      <c r="I34" s="1313"/>
      <c r="J34" s="1311"/>
      <c r="K34" s="1313"/>
      <c r="L34" s="1320"/>
      <c r="M34" s="1319"/>
      <c r="N34" s="1313"/>
      <c r="O34" s="1313"/>
      <c r="P34" s="1311"/>
      <c r="Q34" s="1318"/>
      <c r="R34" s="1317"/>
      <c r="S34" s="1316"/>
      <c r="T34" s="1315"/>
      <c r="U34" s="1314"/>
      <c r="V34" s="1313"/>
      <c r="W34" s="1312"/>
      <c r="X34" s="1311"/>
      <c r="Y34" s="1310"/>
    </row>
    <row r="35" spans="1:25" ht="13.5" customHeight="1">
      <c r="A35" s="1327"/>
      <c r="B35" s="1326"/>
      <c r="C35" s="1325"/>
      <c r="D35" s="1324"/>
      <c r="E35" s="1323"/>
      <c r="F35" s="1322"/>
      <c r="G35" s="1321"/>
      <c r="H35" s="1314"/>
      <c r="I35" s="1313"/>
      <c r="J35" s="1311"/>
      <c r="K35" s="1313"/>
      <c r="L35" s="1320"/>
      <c r="M35" s="1319"/>
      <c r="N35" s="1313"/>
      <c r="O35" s="1313"/>
      <c r="P35" s="1311"/>
      <c r="Q35" s="1318"/>
      <c r="R35" s="1317"/>
      <c r="S35" s="1316"/>
      <c r="T35" s="1315"/>
      <c r="U35" s="1314"/>
      <c r="V35" s="1313"/>
      <c r="W35" s="1312"/>
      <c r="X35" s="1311"/>
      <c r="Y35" s="1310"/>
    </row>
    <row r="36" spans="1:25" ht="13.5" customHeight="1" thickBot="1">
      <c r="A36" s="1430"/>
      <c r="B36" s="1431"/>
      <c r="C36" s="1432"/>
      <c r="D36" s="1433"/>
      <c r="E36" s="1434"/>
      <c r="F36" s="1435"/>
      <c r="G36" s="1436"/>
      <c r="H36" s="1437"/>
      <c r="I36" s="1438"/>
      <c r="J36" s="1439"/>
      <c r="K36" s="1438"/>
      <c r="L36" s="1440"/>
      <c r="M36" s="1441"/>
      <c r="N36" s="1438"/>
      <c r="O36" s="1438"/>
      <c r="P36" s="1439"/>
      <c r="Q36" s="1442"/>
      <c r="R36" s="1443"/>
      <c r="S36" s="1444"/>
      <c r="T36" s="1445"/>
      <c r="U36" s="1437"/>
      <c r="V36" s="1438"/>
      <c r="W36" s="1446"/>
      <c r="X36" s="1439"/>
      <c r="Y36" s="1447"/>
    </row>
    <row r="37" spans="1:25" ht="18.95" customHeight="1" thickTop="1">
      <c r="A37" s="1456" t="s">
        <v>738</v>
      </c>
      <c r="B37" s="1457"/>
      <c r="C37" s="1458"/>
      <c r="D37" s="1448">
        <v>269.24</v>
      </c>
      <c r="E37" s="1449"/>
      <c r="F37" s="1449">
        <v>753.90000000000009</v>
      </c>
      <c r="G37" s="1450"/>
      <c r="H37" s="1451">
        <v>17065</v>
      </c>
      <c r="I37" s="1452">
        <v>0</v>
      </c>
      <c r="J37" s="1452">
        <v>17065</v>
      </c>
      <c r="K37" s="1452">
        <v>1848</v>
      </c>
      <c r="L37" s="1452">
        <v>18913</v>
      </c>
      <c r="M37" s="1451">
        <v>0</v>
      </c>
      <c r="N37" s="1451">
        <v>13762</v>
      </c>
      <c r="O37" s="1452">
        <v>0</v>
      </c>
      <c r="P37" s="1452">
        <v>13762</v>
      </c>
      <c r="Q37" s="1452">
        <v>0</v>
      </c>
      <c r="R37" s="1452">
        <v>13762</v>
      </c>
      <c r="S37" s="1453"/>
      <c r="T37" s="1454"/>
      <c r="U37" s="1451">
        <v>840</v>
      </c>
      <c r="V37" s="1452">
        <v>3180</v>
      </c>
      <c r="W37" s="1452">
        <v>0</v>
      </c>
      <c r="X37" s="1452">
        <v>4020</v>
      </c>
      <c r="Y37" s="1455"/>
    </row>
    <row r="38" spans="1:25" ht="13.5" customHeight="1">
      <c r="A38" s="1297" t="s">
        <v>777</v>
      </c>
      <c r="C38" s="1297" t="s">
        <v>778</v>
      </c>
      <c r="M38" s="1297" t="s">
        <v>887</v>
      </c>
    </row>
    <row r="39" spans="1:25" ht="13.5" customHeight="1">
      <c r="C39" s="1297" t="s">
        <v>888</v>
      </c>
      <c r="M39" s="1297" t="s">
        <v>889</v>
      </c>
    </row>
    <row r="40" spans="1:25" ht="13.5" customHeight="1">
      <c r="C40" s="1297" t="s">
        <v>890</v>
      </c>
      <c r="M40" s="1297" t="s">
        <v>891</v>
      </c>
    </row>
    <row r="41" spans="1:25" ht="13.5" customHeight="1">
      <c r="C41" s="1297" t="s">
        <v>781</v>
      </c>
      <c r="M41" s="1297" t="s">
        <v>892</v>
      </c>
    </row>
    <row r="42" spans="1:25" ht="13.5" customHeight="1">
      <c r="C42" s="1297" t="s">
        <v>893</v>
      </c>
      <c r="M42" s="1297" t="s">
        <v>894</v>
      </c>
    </row>
    <row r="43" spans="1:25" ht="13.5" customHeight="1">
      <c r="C43" s="1297" t="s">
        <v>895</v>
      </c>
      <c r="M43" s="1297" t="s">
        <v>896</v>
      </c>
    </row>
    <row r="56" spans="3:46" s="1297" customFormat="1" ht="13.5" customHeight="1">
      <c r="C56" s="1304"/>
      <c r="D56" s="1304"/>
      <c r="E56" s="1304"/>
      <c r="F56" s="1304"/>
      <c r="G56" s="1304"/>
      <c r="H56" s="1304"/>
      <c r="J56" s="1301"/>
      <c r="P56" s="1301"/>
      <c r="AB56" s="1300"/>
      <c r="AC56" s="1300"/>
      <c r="AD56" s="1300"/>
      <c r="AE56" s="1300"/>
      <c r="AF56" s="1300"/>
      <c r="AG56" s="1300"/>
      <c r="AH56" s="1300"/>
      <c r="AI56" s="1300"/>
      <c r="AJ56" s="1300"/>
      <c r="AK56" s="1300"/>
      <c r="AL56" s="1300"/>
      <c r="AM56" s="1300"/>
      <c r="AN56" s="1300"/>
      <c r="AO56" s="1300"/>
      <c r="AP56" s="1300"/>
      <c r="AQ56" s="1300"/>
      <c r="AR56" s="1299"/>
      <c r="AS56" s="1298"/>
      <c r="AT56" s="1298"/>
    </row>
    <row r="57" spans="3:46" s="1297" customFormat="1" ht="13.5" customHeight="1">
      <c r="C57" s="1304"/>
      <c r="D57" s="1304"/>
      <c r="E57" s="1304"/>
      <c r="F57" s="1304"/>
      <c r="G57" s="1304"/>
      <c r="H57" s="1304"/>
      <c r="I57" s="1305"/>
      <c r="J57" s="1301"/>
      <c r="O57" s="1305"/>
      <c r="P57" s="1301"/>
      <c r="AB57" s="1300"/>
      <c r="AC57" s="1300"/>
      <c r="AD57" s="1300"/>
      <c r="AE57" s="1300"/>
      <c r="AF57" s="1300"/>
      <c r="AG57" s="1300"/>
      <c r="AH57" s="1300"/>
      <c r="AI57" s="1300"/>
      <c r="AJ57" s="1300"/>
      <c r="AK57" s="1300"/>
      <c r="AL57" s="1300"/>
      <c r="AM57" s="1300"/>
      <c r="AN57" s="1300"/>
      <c r="AO57" s="1300"/>
      <c r="AP57" s="1300"/>
      <c r="AQ57" s="1300"/>
      <c r="AR57" s="1299"/>
      <c r="AS57" s="1298"/>
      <c r="AT57" s="1298"/>
    </row>
    <row r="58" spans="3:46" s="1297" customFormat="1" ht="13.5" customHeight="1">
      <c r="C58" s="1304"/>
      <c r="D58" s="1304"/>
      <c r="E58" s="1304"/>
      <c r="F58" s="1304"/>
      <c r="G58" s="1304"/>
      <c r="H58" s="1304"/>
      <c r="I58" s="1303"/>
      <c r="J58" s="1301"/>
      <c r="O58" s="1303"/>
      <c r="P58" s="1301"/>
      <c r="AB58" s="1300"/>
      <c r="AC58" s="1300"/>
      <c r="AD58" s="1300"/>
      <c r="AE58" s="1300"/>
      <c r="AF58" s="1300"/>
      <c r="AG58" s="1300"/>
      <c r="AH58" s="1300"/>
      <c r="AI58" s="1300"/>
      <c r="AJ58" s="1300"/>
      <c r="AK58" s="1300"/>
      <c r="AL58" s="1300"/>
      <c r="AM58" s="1300"/>
      <c r="AN58" s="1300"/>
      <c r="AO58" s="1300"/>
      <c r="AP58" s="1300"/>
      <c r="AQ58" s="1300"/>
      <c r="AR58" s="1299"/>
      <c r="AS58" s="1298"/>
      <c r="AT58" s="1298"/>
    </row>
    <row r="59" spans="3:46" s="1297" customFormat="1" ht="13.5" customHeight="1">
      <c r="C59" s="1302"/>
      <c r="D59" s="1302"/>
      <c r="E59" s="1302"/>
      <c r="F59" s="1302"/>
      <c r="G59" s="1302"/>
      <c r="H59" s="1302"/>
      <c r="I59" s="1301"/>
      <c r="O59" s="1301"/>
      <c r="AB59" s="1300"/>
      <c r="AC59" s="1300"/>
      <c r="AD59" s="1300"/>
      <c r="AE59" s="1300"/>
      <c r="AF59" s="1300"/>
      <c r="AG59" s="1300"/>
      <c r="AH59" s="1300"/>
      <c r="AI59" s="1300"/>
      <c r="AJ59" s="1300"/>
      <c r="AK59" s="1300"/>
      <c r="AL59" s="1300"/>
      <c r="AM59" s="1300"/>
      <c r="AN59" s="1300"/>
      <c r="AO59" s="1300"/>
      <c r="AP59" s="1300"/>
      <c r="AQ59" s="1300"/>
      <c r="AR59" s="1299"/>
      <c r="AS59" s="1298"/>
      <c r="AT59" s="1298"/>
    </row>
  </sheetData>
  <mergeCells count="33">
    <mergeCell ref="A37:C37"/>
    <mergeCell ref="H5:H6"/>
    <mergeCell ref="N5:N6"/>
    <mergeCell ref="AB2:AI3"/>
    <mergeCell ref="AJ2:AQ3"/>
    <mergeCell ref="AS2:AT4"/>
    <mergeCell ref="A4:A6"/>
    <mergeCell ref="B4:B6"/>
    <mergeCell ref="C4:C6"/>
    <mergeCell ref="D4:D6"/>
    <mergeCell ref="E4:E6"/>
    <mergeCell ref="F4:F6"/>
    <mergeCell ref="G4:G6"/>
    <mergeCell ref="H4:L4"/>
    <mergeCell ref="M4:M6"/>
    <mergeCell ref="N4:R4"/>
    <mergeCell ref="S4:T5"/>
    <mergeCell ref="U4:X4"/>
    <mergeCell ref="Y4:Y6"/>
    <mergeCell ref="U5:U6"/>
    <mergeCell ref="V5:V6"/>
    <mergeCell ref="W5:W6"/>
    <mergeCell ref="X5:X6"/>
    <mergeCell ref="K5:K6"/>
    <mergeCell ref="L5:L6"/>
    <mergeCell ref="Q5:Q6"/>
    <mergeCell ref="R5:R6"/>
    <mergeCell ref="AS5:AS6"/>
    <mergeCell ref="AT5:AT6"/>
    <mergeCell ref="AB4:AE4"/>
    <mergeCell ref="AF4:AI4"/>
    <mergeCell ref="AJ4:AM4"/>
    <mergeCell ref="AN4:AQ4"/>
  </mergeCells>
  <phoneticPr fontId="4"/>
  <printOptions horizontalCentered="1"/>
  <pageMargins left="0.39370078740157483" right="0.39370078740157483" top="0.78740157480314965" bottom="0.47244094488188981" header="0.59055118110236227" footer="0.31496062992125984"/>
  <pageSetup paperSize="9" scale="74" orientation="landscape" horizontalDpi="1200" verticalDpi="1200" r:id="rId1"/>
  <headerFooter scaleWithDoc="0" alignWithMargins="0">
    <oddFooter>&amp;C&amp;"ＭＳ Ｐゴシック,標準"&amp;9( &amp;P / &amp;N )</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11111221266">
    <pageSetUpPr fitToPage="1"/>
  </sheetPr>
  <dimension ref="A1:AH32"/>
  <sheetViews>
    <sheetView showGridLines="0" zoomScaleNormal="100" workbookViewId="0"/>
  </sheetViews>
  <sheetFormatPr defaultColWidth="11.7109375" defaultRowHeight="18" customHeight="1"/>
  <cols>
    <col min="1" max="12" width="9.140625" style="1473" customWidth="1"/>
    <col min="13" max="13" width="2.5703125" style="1473" customWidth="1"/>
    <col min="14" max="16" width="9.140625" style="1473" customWidth="1"/>
    <col min="17" max="18" width="3.7109375" style="1473" customWidth="1"/>
    <col min="19" max="25" width="9.140625" style="1473" customWidth="1"/>
    <col min="26" max="27" width="3.7109375" style="1473" customWidth="1"/>
    <col min="28" max="34" width="9.140625" style="1473" customWidth="1"/>
    <col min="35" max="16384" width="11.7109375" style="1473"/>
  </cols>
  <sheetData>
    <row r="1" spans="1:34" s="1502" customFormat="1" ht="18" customHeight="1">
      <c r="A1" s="1507" t="s">
        <v>906</v>
      </c>
      <c r="B1" s="1504"/>
      <c r="C1" s="1504"/>
      <c r="D1" s="1504"/>
      <c r="E1" s="1504"/>
      <c r="F1" s="1504"/>
      <c r="G1" s="1504"/>
      <c r="H1" s="1504"/>
      <c r="I1" s="1504"/>
      <c r="J1" s="1504"/>
      <c r="K1" s="1504"/>
      <c r="L1" s="1504"/>
      <c r="M1" s="1504"/>
      <c r="N1" s="1504"/>
      <c r="O1" s="1504"/>
      <c r="P1" s="1503"/>
      <c r="R1" s="1506" t="s">
        <v>923</v>
      </c>
      <c r="S1" s="1505"/>
      <c r="T1" s="1504"/>
      <c r="U1" s="1504"/>
      <c r="V1" s="1504"/>
      <c r="W1" s="1504"/>
      <c r="X1" s="1504"/>
      <c r="Y1" s="1504"/>
      <c r="Z1" s="1504"/>
      <c r="AA1" s="1504"/>
      <c r="AB1" s="1504"/>
      <c r="AC1" s="1504"/>
      <c r="AD1" s="1504"/>
      <c r="AE1" s="1504"/>
      <c r="AF1" s="1504"/>
      <c r="AG1" s="1504"/>
      <c r="AH1" s="1503"/>
    </row>
    <row r="2" spans="1:34" ht="9.75" customHeight="1" thickBot="1">
      <c r="M2" s="1501"/>
      <c r="N2" s="1500"/>
      <c r="O2" s="1500"/>
      <c r="P2" s="1500"/>
    </row>
    <row r="3" spans="1:34" ht="18" customHeight="1" thickBot="1">
      <c r="A3" s="1488"/>
      <c r="B3" s="1499"/>
      <c r="C3" s="1499"/>
      <c r="D3" s="1499"/>
      <c r="E3" s="1499"/>
      <c r="F3" s="1499"/>
      <c r="G3" s="1499"/>
      <c r="H3" s="1499"/>
      <c r="I3" s="1499"/>
      <c r="J3" s="1499"/>
      <c r="K3" s="1499"/>
      <c r="L3" s="1490"/>
      <c r="M3" s="1490"/>
      <c r="N3" s="1498" t="s">
        <v>903</v>
      </c>
      <c r="O3" s="1497"/>
      <c r="P3" s="1496"/>
      <c r="Q3" s="1488"/>
      <c r="R3" s="1510" t="s">
        <v>805</v>
      </c>
      <c r="S3" s="1511"/>
      <c r="T3" s="1511"/>
      <c r="U3" s="1511"/>
      <c r="V3" s="1511"/>
      <c r="W3" s="1511"/>
      <c r="X3" s="1511"/>
      <c r="Y3" s="1511"/>
      <c r="AA3" s="1510" t="s">
        <v>828</v>
      </c>
      <c r="AB3" s="1511"/>
      <c r="AC3" s="1511"/>
      <c r="AD3" s="1511"/>
      <c r="AE3" s="1511"/>
      <c r="AF3" s="1511"/>
      <c r="AG3" s="1511"/>
      <c r="AH3" s="1511"/>
    </row>
    <row r="4" spans="1:34" ht="18" customHeight="1">
      <c r="A4" s="1488"/>
      <c r="B4" s="1488"/>
      <c r="C4" s="1488"/>
      <c r="D4" s="1488"/>
      <c r="E4" s="1488"/>
      <c r="F4" s="1488"/>
      <c r="G4" s="1488"/>
      <c r="H4" s="1488"/>
      <c r="I4" s="1495"/>
      <c r="J4" s="1490"/>
      <c r="K4" s="1495"/>
      <c r="L4" s="1490"/>
      <c r="M4" s="1490"/>
      <c r="N4" s="1480" t="s">
        <v>787</v>
      </c>
      <c r="O4" s="1479"/>
      <c r="P4" s="1478"/>
      <c r="Q4" s="1488"/>
      <c r="S4" s="1512" t="s">
        <v>907</v>
      </c>
      <c r="T4" s="1513"/>
      <c r="U4" s="1513"/>
      <c r="V4" s="1513"/>
      <c r="W4" s="1513"/>
      <c r="X4" s="1513"/>
      <c r="Y4" s="1513"/>
      <c r="AB4" s="1512" t="s">
        <v>922</v>
      </c>
      <c r="AC4" s="1513"/>
      <c r="AD4" s="1513"/>
      <c r="AE4" s="1513"/>
      <c r="AF4" s="1513"/>
      <c r="AG4" s="1513"/>
      <c r="AH4" s="1513"/>
    </row>
    <row r="5" spans="1:34" ht="18" customHeight="1">
      <c r="A5" s="1488"/>
      <c r="B5" s="1488"/>
      <c r="C5" s="1488"/>
      <c r="D5" s="1488"/>
      <c r="E5" s="1488"/>
      <c r="F5" s="1488"/>
      <c r="G5" s="1488"/>
      <c r="H5" s="1488"/>
      <c r="I5" s="1490"/>
      <c r="J5" s="1489"/>
      <c r="K5" s="1490"/>
      <c r="L5" s="1489"/>
      <c r="M5" s="1489"/>
      <c r="N5" s="1480" t="s">
        <v>788</v>
      </c>
      <c r="O5" s="1479"/>
      <c r="P5" s="1478"/>
      <c r="Q5" s="1488"/>
      <c r="S5" s="1508" t="s">
        <v>908</v>
      </c>
      <c r="T5" s="1509"/>
      <c r="U5" s="1509"/>
      <c r="V5" s="1509"/>
      <c r="W5" s="1509"/>
      <c r="X5" s="1509"/>
      <c r="Y5" s="1509"/>
      <c r="AB5" s="1508" t="s">
        <v>830</v>
      </c>
      <c r="AC5" s="1509"/>
      <c r="AD5" s="1509"/>
      <c r="AE5" s="1509"/>
      <c r="AF5" s="1509"/>
      <c r="AG5" s="1509"/>
      <c r="AH5" s="1509"/>
    </row>
    <row r="6" spans="1:34" ht="18" customHeight="1">
      <c r="A6" s="1488"/>
      <c r="F6" s="1488"/>
      <c r="G6" s="1488"/>
      <c r="H6" s="1488"/>
      <c r="I6" s="1490"/>
      <c r="J6" s="1489"/>
      <c r="K6" s="1490"/>
      <c r="L6" s="1489"/>
      <c r="M6" s="1489"/>
      <c r="N6" s="1480" t="s">
        <v>789</v>
      </c>
      <c r="O6" s="1479"/>
      <c r="P6" s="1478"/>
      <c r="Q6" s="1488"/>
      <c r="S6" s="1508" t="s">
        <v>786</v>
      </c>
      <c r="T6" s="1509"/>
      <c r="U6" s="1509"/>
      <c r="V6" s="1509"/>
      <c r="W6" s="1509"/>
      <c r="X6" s="1509"/>
      <c r="Y6" s="1509"/>
      <c r="AB6" s="1508" t="s">
        <v>831</v>
      </c>
      <c r="AC6" s="1509"/>
      <c r="AD6" s="1509"/>
      <c r="AE6" s="1509"/>
      <c r="AF6" s="1509"/>
      <c r="AG6" s="1509"/>
      <c r="AH6" s="1509"/>
    </row>
    <row r="7" spans="1:34" ht="18" customHeight="1" thickBot="1">
      <c r="A7" s="1488"/>
      <c r="F7" s="1488"/>
      <c r="G7" s="1488"/>
      <c r="H7" s="1488"/>
      <c r="I7" s="1481"/>
      <c r="J7" s="1481"/>
      <c r="K7" s="1481"/>
      <c r="L7" s="1481"/>
      <c r="M7" s="1481"/>
      <c r="N7" s="1480" t="s">
        <v>790</v>
      </c>
      <c r="O7" s="1479"/>
      <c r="P7" s="1478"/>
      <c r="Q7" s="1488"/>
      <c r="R7" s="1510" t="s">
        <v>808</v>
      </c>
      <c r="S7" s="1511"/>
      <c r="T7" s="1511"/>
      <c r="U7" s="1511"/>
      <c r="V7" s="1511"/>
      <c r="W7" s="1511"/>
      <c r="X7" s="1511"/>
      <c r="Y7" s="1511"/>
      <c r="AB7" s="1508" t="s">
        <v>832</v>
      </c>
      <c r="AC7" s="1509"/>
      <c r="AD7" s="1509"/>
      <c r="AE7" s="1509"/>
      <c r="AF7" s="1509"/>
      <c r="AG7" s="1509"/>
      <c r="AH7" s="1509"/>
    </row>
    <row r="8" spans="1:34" ht="18" customHeight="1">
      <c r="A8" s="1488"/>
      <c r="C8" s="1494" t="s">
        <v>785</v>
      </c>
      <c r="D8" s="1493"/>
      <c r="F8" s="1488"/>
      <c r="G8" s="1488"/>
      <c r="H8" s="1488"/>
      <c r="I8" s="1488"/>
      <c r="J8" s="1488"/>
      <c r="K8" s="1488"/>
      <c r="L8" s="1488"/>
      <c r="M8" s="1488"/>
      <c r="N8" s="1480" t="s">
        <v>791</v>
      </c>
      <c r="O8" s="1479"/>
      <c r="P8" s="1478"/>
      <c r="Q8" s="1488"/>
      <c r="R8" s="1512" t="s">
        <v>809</v>
      </c>
      <c r="S8" s="1513"/>
      <c r="T8" s="1513"/>
      <c r="U8" s="1513"/>
      <c r="V8" s="1513"/>
      <c r="W8" s="1513"/>
      <c r="X8" s="1513"/>
      <c r="Y8" s="1513"/>
      <c r="AB8" s="1508" t="s">
        <v>833</v>
      </c>
      <c r="AC8" s="1509"/>
      <c r="AD8" s="1509"/>
      <c r="AE8" s="1509"/>
      <c r="AF8" s="1509"/>
      <c r="AG8" s="1509"/>
      <c r="AH8" s="1509"/>
    </row>
    <row r="9" spans="1:34" ht="18" customHeight="1" thickBot="1">
      <c r="A9" s="1488"/>
      <c r="B9" s="1485"/>
      <c r="C9" s="1492"/>
      <c r="D9" s="1491"/>
      <c r="E9" s="1485"/>
      <c r="F9" s="1488"/>
      <c r="G9" s="1488"/>
      <c r="H9" s="1488"/>
      <c r="I9" s="1490"/>
      <c r="J9" s="1490"/>
      <c r="K9" s="1490"/>
      <c r="L9" s="1490"/>
      <c r="M9" s="1490"/>
      <c r="N9" s="1480" t="s">
        <v>792</v>
      </c>
      <c r="O9" s="1479"/>
      <c r="P9" s="1478"/>
      <c r="Q9" s="1488"/>
      <c r="R9" s="1485"/>
      <c r="S9" s="1514" t="s">
        <v>909</v>
      </c>
      <c r="T9" s="1509"/>
      <c r="U9" s="1509"/>
      <c r="V9" s="1509"/>
      <c r="W9" s="1509"/>
      <c r="X9" s="1509"/>
      <c r="Y9" s="1509"/>
    </row>
    <row r="10" spans="1:34" ht="18" customHeight="1">
      <c r="A10" s="1488"/>
      <c r="B10" s="1485"/>
      <c r="C10" s="1485"/>
      <c r="D10" s="1485"/>
      <c r="E10" s="1485"/>
      <c r="F10" s="1488"/>
      <c r="G10" s="1488"/>
      <c r="H10" s="1488"/>
      <c r="I10" s="1490"/>
      <c r="M10" s="1490"/>
      <c r="N10" s="1480" t="s">
        <v>897</v>
      </c>
      <c r="O10" s="1479"/>
      <c r="P10" s="1478"/>
      <c r="Q10" s="1488"/>
      <c r="R10" s="1485"/>
      <c r="S10" s="1514" t="s">
        <v>811</v>
      </c>
      <c r="T10" s="1509"/>
      <c r="U10" s="1509"/>
      <c r="V10" s="1509"/>
      <c r="W10" s="1509"/>
      <c r="X10" s="1509"/>
      <c r="Y10" s="1509"/>
    </row>
    <row r="11" spans="1:34" ht="18" customHeight="1">
      <c r="A11" s="1488"/>
      <c r="B11" s="1485"/>
      <c r="C11" s="1485"/>
      <c r="D11" s="1485"/>
      <c r="E11" s="1485"/>
      <c r="F11" s="1488"/>
      <c r="G11" s="1488"/>
      <c r="H11" s="1488"/>
      <c r="I11" s="1490"/>
      <c r="M11" s="1489"/>
      <c r="N11" s="1480" t="s">
        <v>794</v>
      </c>
      <c r="O11" s="1479"/>
      <c r="P11" s="1478"/>
      <c r="Q11" s="1488"/>
      <c r="R11" s="1485"/>
      <c r="S11" s="1514" t="s">
        <v>786</v>
      </c>
      <c r="T11" s="1509"/>
      <c r="U11" s="1509"/>
      <c r="V11" s="1509"/>
      <c r="W11" s="1509"/>
      <c r="X11" s="1509"/>
      <c r="Y11" s="1509"/>
    </row>
    <row r="12" spans="1:34" ht="18" customHeight="1">
      <c r="A12" s="1488"/>
      <c r="B12" s="1485"/>
      <c r="C12" s="1485"/>
      <c r="D12" s="1485"/>
      <c r="E12" s="1485"/>
      <c r="F12" s="1488"/>
      <c r="G12" s="1488"/>
      <c r="H12" s="1488"/>
      <c r="I12" s="1490"/>
      <c r="M12" s="1489"/>
      <c r="N12" s="1480" t="s">
        <v>898</v>
      </c>
      <c r="O12" s="1479"/>
      <c r="P12" s="1478"/>
      <c r="R12" s="1514" t="s">
        <v>910</v>
      </c>
      <c r="S12" s="1509"/>
      <c r="T12" s="1509"/>
      <c r="U12" s="1509"/>
      <c r="V12" s="1509"/>
      <c r="W12" s="1509"/>
      <c r="X12" s="1509"/>
      <c r="Y12" s="1509"/>
    </row>
    <row r="13" spans="1:34" ht="18" customHeight="1">
      <c r="A13" s="1488"/>
      <c r="B13" s="1485"/>
      <c r="C13" s="1485"/>
      <c r="D13" s="1485"/>
      <c r="E13" s="1485"/>
      <c r="F13" s="1488"/>
      <c r="G13" s="1488"/>
      <c r="H13" s="1488"/>
      <c r="I13" s="1481"/>
      <c r="M13" s="1481"/>
      <c r="N13" s="1480" t="s">
        <v>786</v>
      </c>
      <c r="O13" s="1479"/>
      <c r="P13" s="1478"/>
      <c r="R13" s="1485"/>
      <c r="S13" s="1514" t="s">
        <v>911</v>
      </c>
      <c r="T13" s="1509"/>
      <c r="U13" s="1509"/>
      <c r="V13" s="1509"/>
      <c r="W13" s="1509"/>
      <c r="X13" s="1509"/>
      <c r="Y13" s="1509"/>
    </row>
    <row r="14" spans="1:34" ht="18" customHeight="1">
      <c r="A14" s="1488"/>
      <c r="B14" s="1488"/>
      <c r="C14" s="1488"/>
      <c r="D14" s="1488"/>
      <c r="E14" s="1488"/>
      <c r="F14" s="1488"/>
      <c r="G14" s="1488"/>
      <c r="H14" s="1488"/>
      <c r="I14" s="1488"/>
      <c r="M14" s="1488"/>
      <c r="N14" s="1480" t="s">
        <v>899</v>
      </c>
      <c r="O14" s="1479"/>
      <c r="P14" s="1478"/>
      <c r="R14" s="1485"/>
      <c r="S14" s="1514" t="s">
        <v>912</v>
      </c>
      <c r="T14" s="1509"/>
      <c r="U14" s="1509"/>
      <c r="V14" s="1509"/>
      <c r="W14" s="1509"/>
      <c r="X14" s="1509"/>
      <c r="Y14" s="1509"/>
    </row>
    <row r="15" spans="1:34" ht="18" customHeight="1">
      <c r="N15" s="1480" t="s">
        <v>797</v>
      </c>
      <c r="O15" s="1479"/>
      <c r="P15" s="1478"/>
      <c r="S15" s="1514" t="s">
        <v>913</v>
      </c>
      <c r="T15" s="1509"/>
      <c r="U15" s="1509"/>
      <c r="V15" s="1509"/>
      <c r="W15" s="1509"/>
      <c r="X15" s="1509"/>
      <c r="Y15" s="1509"/>
    </row>
    <row r="16" spans="1:34" ht="18" customHeight="1">
      <c r="N16" s="1480" t="s">
        <v>798</v>
      </c>
      <c r="O16" s="1479"/>
      <c r="P16" s="1478"/>
      <c r="R16" s="1481"/>
      <c r="S16" s="1515" t="s">
        <v>786</v>
      </c>
      <c r="T16" s="1509"/>
      <c r="U16" s="1509"/>
      <c r="V16" s="1509"/>
      <c r="W16" s="1509"/>
      <c r="X16" s="1509"/>
      <c r="Y16" s="1509"/>
    </row>
    <row r="17" spans="1:25" ht="18" customHeight="1" thickBot="1">
      <c r="N17" s="1480" t="s">
        <v>799</v>
      </c>
      <c r="O17" s="1479"/>
      <c r="P17" s="1478"/>
      <c r="R17" s="1516" t="s">
        <v>816</v>
      </c>
      <c r="S17" s="1511"/>
      <c r="T17" s="1511"/>
      <c r="U17" s="1511"/>
      <c r="V17" s="1511"/>
      <c r="W17" s="1511"/>
      <c r="X17" s="1511"/>
      <c r="Y17" s="1511"/>
    </row>
    <row r="18" spans="1:25" ht="18" customHeight="1">
      <c r="N18" s="1480" t="s">
        <v>897</v>
      </c>
      <c r="O18" s="1479"/>
      <c r="P18" s="1478"/>
      <c r="R18" s="1517" t="s">
        <v>821</v>
      </c>
      <c r="S18" s="1513"/>
      <c r="T18" s="1513"/>
      <c r="U18" s="1513"/>
      <c r="V18" s="1513"/>
      <c r="W18" s="1513"/>
      <c r="X18" s="1513"/>
      <c r="Y18" s="1513"/>
    </row>
    <row r="19" spans="1:25" ht="18" customHeight="1">
      <c r="I19" s="1481"/>
      <c r="M19" s="1481"/>
      <c r="N19" s="1480" t="s">
        <v>900</v>
      </c>
      <c r="O19" s="1479"/>
      <c r="P19" s="1478"/>
      <c r="R19" s="1487"/>
      <c r="S19" s="1518" t="s">
        <v>914</v>
      </c>
      <c r="T19" s="1509"/>
      <c r="U19" s="1509"/>
      <c r="V19" s="1509"/>
      <c r="W19" s="1509"/>
      <c r="X19" s="1509"/>
      <c r="Y19" s="1509"/>
    </row>
    <row r="20" spans="1:25" ht="18" customHeight="1">
      <c r="N20" s="1480" t="s">
        <v>897</v>
      </c>
      <c r="O20" s="1479"/>
      <c r="P20" s="1478"/>
      <c r="R20" s="1485"/>
      <c r="S20" s="1514" t="s">
        <v>915</v>
      </c>
      <c r="T20" s="1509"/>
      <c r="U20" s="1509"/>
      <c r="V20" s="1509"/>
      <c r="W20" s="1509"/>
      <c r="X20" s="1509"/>
      <c r="Y20" s="1509"/>
    </row>
    <row r="21" spans="1:25" ht="18" customHeight="1">
      <c r="A21" s="1486"/>
      <c r="B21" s="1485"/>
      <c r="C21" s="1485"/>
      <c r="N21" s="1480" t="s">
        <v>901</v>
      </c>
      <c r="O21" s="1479"/>
      <c r="P21" s="1478"/>
      <c r="R21" s="1484"/>
      <c r="S21" s="1519" t="s">
        <v>916</v>
      </c>
      <c r="T21" s="1509"/>
      <c r="U21" s="1509"/>
      <c r="V21" s="1509"/>
      <c r="W21" s="1509"/>
      <c r="X21" s="1509"/>
      <c r="Y21" s="1509"/>
    </row>
    <row r="22" spans="1:25" ht="18" customHeight="1">
      <c r="A22" s="1486"/>
      <c r="B22" s="1485"/>
      <c r="C22" s="1485"/>
      <c r="N22" s="1480" t="s">
        <v>902</v>
      </c>
      <c r="O22" s="1479"/>
      <c r="P22" s="1478"/>
      <c r="R22" s="1484"/>
      <c r="S22" s="1519" t="s">
        <v>786</v>
      </c>
      <c r="T22" s="1509"/>
      <c r="U22" s="1509"/>
      <c r="V22" s="1509"/>
      <c r="W22" s="1509"/>
      <c r="X22" s="1509"/>
      <c r="Y22" s="1509"/>
    </row>
    <row r="23" spans="1:25" ht="18" customHeight="1">
      <c r="N23" s="1480"/>
      <c r="O23" s="1479"/>
      <c r="P23" s="1478"/>
      <c r="R23" s="1508" t="s">
        <v>824</v>
      </c>
      <c r="S23" s="1509"/>
      <c r="T23" s="1509"/>
      <c r="U23" s="1509"/>
      <c r="V23" s="1509"/>
      <c r="W23" s="1509"/>
      <c r="X23" s="1509"/>
      <c r="Y23" s="1509"/>
    </row>
    <row r="24" spans="1:25" ht="18" customHeight="1">
      <c r="N24" s="1480"/>
      <c r="O24" s="1479"/>
      <c r="P24" s="1478"/>
      <c r="S24" s="1508" t="s">
        <v>917</v>
      </c>
      <c r="T24" s="1509"/>
      <c r="U24" s="1509"/>
      <c r="V24" s="1509"/>
      <c r="W24" s="1509"/>
      <c r="X24" s="1509"/>
      <c r="Y24" s="1509"/>
    </row>
    <row r="25" spans="1:25" ht="18" customHeight="1">
      <c r="N25" s="1480"/>
      <c r="O25" s="1479"/>
      <c r="P25" s="1478"/>
      <c r="S25" s="1508" t="s">
        <v>918</v>
      </c>
      <c r="T25" s="1509"/>
      <c r="U25" s="1509"/>
      <c r="V25" s="1509"/>
      <c r="W25" s="1509"/>
      <c r="X25" s="1509"/>
      <c r="Y25" s="1509"/>
    </row>
    <row r="26" spans="1:25" ht="18" customHeight="1">
      <c r="N26" s="1480"/>
      <c r="O26" s="1479"/>
      <c r="P26" s="1478"/>
      <c r="S26" s="1508" t="s">
        <v>786</v>
      </c>
      <c r="T26" s="1509"/>
      <c r="U26" s="1509"/>
      <c r="V26" s="1509"/>
      <c r="W26" s="1509"/>
      <c r="X26" s="1509"/>
      <c r="Y26" s="1509"/>
    </row>
    <row r="27" spans="1:25" ht="18" customHeight="1">
      <c r="N27" s="1480"/>
      <c r="O27" s="1479"/>
      <c r="P27" s="1478"/>
      <c r="R27" s="1508" t="s">
        <v>919</v>
      </c>
      <c r="S27" s="1509"/>
      <c r="T27" s="1509"/>
      <c r="U27" s="1509"/>
      <c r="V27" s="1509"/>
      <c r="W27" s="1509"/>
      <c r="X27" s="1509"/>
      <c r="Y27" s="1509"/>
    </row>
    <row r="28" spans="1:25" ht="18" customHeight="1">
      <c r="A28" s="1481"/>
      <c r="B28" s="1481"/>
      <c r="C28" s="1481"/>
      <c r="D28" s="1481"/>
      <c r="N28" s="1480"/>
      <c r="O28" s="1479"/>
      <c r="P28" s="1478"/>
      <c r="S28" s="1508" t="s">
        <v>911</v>
      </c>
      <c r="T28" s="1509"/>
      <c r="U28" s="1509"/>
      <c r="V28" s="1509"/>
      <c r="W28" s="1509"/>
      <c r="X28" s="1509"/>
      <c r="Y28" s="1509"/>
    </row>
    <row r="29" spans="1:25" ht="18" customHeight="1" thickBot="1">
      <c r="A29" s="1483" t="s">
        <v>784</v>
      </c>
      <c r="B29" s="1483"/>
      <c r="C29" s="1483"/>
      <c r="D29" s="1483"/>
      <c r="E29" s="1483"/>
      <c r="F29" s="1483"/>
      <c r="G29" s="1483"/>
      <c r="H29" s="1483"/>
      <c r="I29" s="1483"/>
      <c r="J29" s="1483"/>
      <c r="K29" s="1483"/>
      <c r="L29" s="1483"/>
      <c r="M29" s="1481"/>
      <c r="N29" s="1480"/>
      <c r="O29" s="1479"/>
      <c r="P29" s="1478"/>
      <c r="S29" s="1508" t="s">
        <v>920</v>
      </c>
      <c r="T29" s="1509"/>
      <c r="U29" s="1509"/>
      <c r="V29" s="1509"/>
      <c r="W29" s="1509"/>
      <c r="X29" s="1509"/>
      <c r="Y29" s="1509"/>
    </row>
    <row r="30" spans="1:25" ht="18" customHeight="1">
      <c r="A30" s="1482" t="s">
        <v>904</v>
      </c>
      <c r="B30" s="1482"/>
      <c r="C30" s="1482"/>
      <c r="D30" s="1482"/>
      <c r="E30" s="1482"/>
      <c r="F30" s="1482"/>
      <c r="G30" s="1482"/>
      <c r="H30" s="1482"/>
      <c r="I30" s="1482"/>
      <c r="J30" s="1482"/>
      <c r="K30" s="1482"/>
      <c r="L30" s="1482"/>
      <c r="M30" s="1481"/>
      <c r="N30" s="1480"/>
      <c r="O30" s="1479"/>
      <c r="P30" s="1478"/>
      <c r="S30" s="1508" t="s">
        <v>921</v>
      </c>
      <c r="T30" s="1509"/>
      <c r="U30" s="1509"/>
      <c r="V30" s="1509"/>
      <c r="W30" s="1509"/>
      <c r="X30" s="1509"/>
      <c r="Y30" s="1509"/>
    </row>
    <row r="31" spans="1:25" ht="18" customHeight="1">
      <c r="A31" s="1477" t="s">
        <v>905</v>
      </c>
      <c r="B31" s="1477"/>
      <c r="C31" s="1477"/>
      <c r="D31" s="1477"/>
      <c r="E31" s="1477"/>
      <c r="F31" s="1477"/>
      <c r="G31" s="1477"/>
      <c r="H31" s="1477"/>
      <c r="I31" s="1477"/>
      <c r="J31" s="1477"/>
      <c r="K31" s="1477"/>
      <c r="L31" s="1477"/>
      <c r="N31" s="1480"/>
      <c r="O31" s="1479"/>
      <c r="P31" s="1478"/>
      <c r="S31" s="1508" t="s">
        <v>786</v>
      </c>
      <c r="T31" s="1509"/>
      <c r="U31" s="1509"/>
      <c r="V31" s="1509"/>
      <c r="W31" s="1509"/>
      <c r="X31" s="1509"/>
      <c r="Y31" s="1509"/>
    </row>
    <row r="32" spans="1:25" ht="18" customHeight="1">
      <c r="A32" s="1477"/>
      <c r="B32" s="1477"/>
      <c r="C32" s="1477"/>
      <c r="D32" s="1477"/>
      <c r="E32" s="1477"/>
      <c r="F32" s="1477"/>
      <c r="G32" s="1477"/>
      <c r="H32" s="1477"/>
      <c r="I32" s="1477"/>
      <c r="J32" s="1477"/>
      <c r="K32" s="1477"/>
      <c r="L32" s="1477"/>
      <c r="N32" s="1476"/>
      <c r="O32" s="1475"/>
      <c r="P32" s="1474"/>
    </row>
  </sheetData>
  <mergeCells count="70">
    <mergeCell ref="AB8:AH8"/>
    <mergeCell ref="R27:Y27"/>
    <mergeCell ref="S28:Y28"/>
    <mergeCell ref="S29:Y29"/>
    <mergeCell ref="S30:Y30"/>
    <mergeCell ref="S31:Y31"/>
    <mergeCell ref="AA3:AH3"/>
    <mergeCell ref="AB4:AH4"/>
    <mergeCell ref="AB5:AH5"/>
    <mergeCell ref="AB6:AH6"/>
    <mergeCell ref="AB7:AH7"/>
    <mergeCell ref="S21:Y21"/>
    <mergeCell ref="S22:Y22"/>
    <mergeCell ref="R23:Y23"/>
    <mergeCell ref="S24:Y24"/>
    <mergeCell ref="S25:Y25"/>
    <mergeCell ref="S26:Y26"/>
    <mergeCell ref="S15:Y15"/>
    <mergeCell ref="S16:Y16"/>
    <mergeCell ref="R17:Y17"/>
    <mergeCell ref="R18:Y18"/>
    <mergeCell ref="S19:Y19"/>
    <mergeCell ref="S20:Y20"/>
    <mergeCell ref="S9:Y9"/>
    <mergeCell ref="S10:Y10"/>
    <mergeCell ref="S11:Y11"/>
    <mergeCell ref="R12:Y12"/>
    <mergeCell ref="S13:Y13"/>
    <mergeCell ref="S14:Y14"/>
    <mergeCell ref="R3:Y3"/>
    <mergeCell ref="S4:Y4"/>
    <mergeCell ref="S5:Y5"/>
    <mergeCell ref="S6:Y6"/>
    <mergeCell ref="R7:Y7"/>
    <mergeCell ref="R8:Y8"/>
    <mergeCell ref="B3:K3"/>
    <mergeCell ref="N3:P3"/>
    <mergeCell ref="N4:P4"/>
    <mergeCell ref="N5:P5"/>
    <mergeCell ref="N6:P6"/>
    <mergeCell ref="N7:P7"/>
    <mergeCell ref="C8:D9"/>
    <mergeCell ref="N8:P8"/>
    <mergeCell ref="N9:P9"/>
    <mergeCell ref="N10:P10"/>
    <mergeCell ref="N11:P11"/>
    <mergeCell ref="N12:P12"/>
    <mergeCell ref="N13:P13"/>
    <mergeCell ref="N14:P14"/>
    <mergeCell ref="N15:P15"/>
    <mergeCell ref="N16:P16"/>
    <mergeCell ref="N17:P17"/>
    <mergeCell ref="N18:P18"/>
    <mergeCell ref="N30:P30"/>
    <mergeCell ref="N19:P19"/>
    <mergeCell ref="N20:P20"/>
    <mergeCell ref="N21:P21"/>
    <mergeCell ref="N22:P22"/>
    <mergeCell ref="N23:P23"/>
    <mergeCell ref="N24:P24"/>
    <mergeCell ref="A31:L31"/>
    <mergeCell ref="N31:P31"/>
    <mergeCell ref="A32:L32"/>
    <mergeCell ref="N32:P32"/>
    <mergeCell ref="N25:P25"/>
    <mergeCell ref="N26:P26"/>
    <mergeCell ref="N27:P27"/>
    <mergeCell ref="N28:P28"/>
    <mergeCell ref="N29:P29"/>
    <mergeCell ref="A30:L30"/>
  </mergeCells>
  <phoneticPr fontId="4"/>
  <printOptions horizontalCentered="1" gridLinesSet="0"/>
  <pageMargins left="0.39370078740157483" right="0.31496062992125984" top="0.59055118110236227" bottom="0.31496062992125984" header="0.39370078740157483" footer="0.23622047244094491"/>
  <pageSetup paperSize="9" fitToWidth="0" orientation="landscape" horizontalDpi="4294967292" verticalDpi="4294967292" r:id="rId1"/>
  <headerFooter scaleWithDoc="0" alignWithMargins="0">
    <oddFooter>&amp;C&amp;"ＭＳ Ｐゴシック,標準"&amp;9( &amp;P / &amp;N )</oddFooter>
  </headerFooter>
  <colBreaks count="1" manualBreakCount="1">
    <brk id="17" max="1048575" man="1"/>
  </colBreaks>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Q51"/>
  <sheetViews>
    <sheetView showGridLines="0" zoomScale="80" zoomScaleNormal="80" workbookViewId="0">
      <pane xSplit="4" ySplit="7" topLeftCell="E8" activePane="bottomRight" state="frozenSplit"/>
      <selection pane="topRight"/>
      <selection pane="bottomLeft"/>
      <selection pane="bottomRight"/>
    </sheetView>
  </sheetViews>
  <sheetFormatPr defaultColWidth="9.140625" defaultRowHeight="13.5" customHeight="1"/>
  <cols>
    <col min="1" max="1" width="5.42578125" style="1297" customWidth="1"/>
    <col min="2" max="2" width="7.5703125" style="1297" customWidth="1"/>
    <col min="3" max="3" width="26.28515625" style="1297" customWidth="1"/>
    <col min="4" max="16" width="7.7109375" style="1297" customWidth="1"/>
    <col min="17" max="17" width="26.28515625" style="1297" customWidth="1"/>
    <col min="18" max="16384" width="9.140625" style="1293"/>
  </cols>
  <sheetData>
    <row r="1" spans="1:17" s="1562" customFormat="1" ht="18.95" customHeight="1">
      <c r="A1" s="1568" t="s">
        <v>924</v>
      </c>
      <c r="B1" s="1567"/>
      <c r="C1" s="1566"/>
      <c r="D1" s="1565"/>
      <c r="E1" s="1565"/>
      <c r="F1" s="1564"/>
      <c r="G1" s="1564"/>
      <c r="H1" s="1564"/>
      <c r="I1" s="1564"/>
      <c r="J1" s="1564"/>
      <c r="K1" s="1565"/>
      <c r="L1" s="1564"/>
      <c r="M1" s="1564"/>
      <c r="N1" s="1564"/>
      <c r="O1" s="1564"/>
      <c r="P1" s="1564"/>
      <c r="Q1" s="1563"/>
    </row>
    <row r="4" spans="1:17" ht="13.5" customHeight="1">
      <c r="A4" s="1401" t="s">
        <v>363</v>
      </c>
      <c r="B4" s="1400" t="s">
        <v>341</v>
      </c>
      <c r="C4" s="1561" t="s">
        <v>729</v>
      </c>
      <c r="D4" s="1396" t="s">
        <v>846</v>
      </c>
      <c r="E4" s="1560" t="s">
        <v>845</v>
      </c>
      <c r="F4" s="1559"/>
      <c r="G4" s="1559"/>
      <c r="H4" s="1559"/>
      <c r="I4" s="1559"/>
      <c r="J4" s="1558"/>
      <c r="K4" s="1560" t="s">
        <v>844</v>
      </c>
      <c r="L4" s="1559"/>
      <c r="M4" s="1559"/>
      <c r="N4" s="1559"/>
      <c r="O4" s="1559"/>
      <c r="P4" s="1558"/>
      <c r="Q4" s="1557" t="s">
        <v>843</v>
      </c>
    </row>
    <row r="5" spans="1:17" ht="13.5" customHeight="1">
      <c r="A5" s="1369"/>
      <c r="B5" s="1368"/>
      <c r="C5" s="1554"/>
      <c r="D5" s="1382"/>
      <c r="E5" s="1553" t="s">
        <v>842</v>
      </c>
      <c r="F5" s="1556"/>
      <c r="G5" s="1552"/>
      <c r="H5" s="1377" t="s">
        <v>841</v>
      </c>
      <c r="I5" s="1555" t="s">
        <v>840</v>
      </c>
      <c r="J5" s="1380"/>
      <c r="K5" s="1553" t="s">
        <v>842</v>
      </c>
      <c r="L5" s="1556"/>
      <c r="M5" s="1552"/>
      <c r="N5" s="1377" t="s">
        <v>841</v>
      </c>
      <c r="O5" s="1555" t="s">
        <v>840</v>
      </c>
      <c r="P5" s="1380"/>
      <c r="Q5" s="1549"/>
    </row>
    <row r="6" spans="1:17" ht="13.5" customHeight="1">
      <c r="A6" s="1369"/>
      <c r="B6" s="1368"/>
      <c r="C6" s="1554"/>
      <c r="D6" s="1382"/>
      <c r="E6" s="1553" t="s">
        <v>839</v>
      </c>
      <c r="F6" s="1552"/>
      <c r="G6" s="1377" t="s">
        <v>838</v>
      </c>
      <c r="H6" s="1355"/>
      <c r="I6" s="1551"/>
      <c r="J6" s="1550"/>
      <c r="K6" s="1553" t="s">
        <v>839</v>
      </c>
      <c r="L6" s="1552"/>
      <c r="M6" s="1377" t="s">
        <v>838</v>
      </c>
      <c r="N6" s="1355"/>
      <c r="O6" s="1551"/>
      <c r="P6" s="1550"/>
      <c r="Q6" s="1549"/>
    </row>
    <row r="7" spans="1:17" ht="13.5" customHeight="1">
      <c r="A7" s="1548"/>
      <c r="B7" s="1547"/>
      <c r="C7" s="1546"/>
      <c r="D7" s="1363"/>
      <c r="E7" s="1545" t="s">
        <v>714</v>
      </c>
      <c r="F7" s="1362" t="s">
        <v>837</v>
      </c>
      <c r="G7" s="1544"/>
      <c r="H7" s="1544"/>
      <c r="I7" s="1543" t="s">
        <v>836</v>
      </c>
      <c r="J7" s="1542" t="s">
        <v>835</v>
      </c>
      <c r="K7" s="1545" t="s">
        <v>714</v>
      </c>
      <c r="L7" s="1362" t="s">
        <v>837</v>
      </c>
      <c r="M7" s="1544"/>
      <c r="N7" s="1544"/>
      <c r="O7" s="1543" t="s">
        <v>836</v>
      </c>
      <c r="P7" s="1542" t="s">
        <v>835</v>
      </c>
      <c r="Q7" s="1541"/>
    </row>
    <row r="8" spans="1:17" ht="13.5" customHeight="1">
      <c r="A8" s="1345"/>
      <c r="B8" s="1344"/>
      <c r="C8" s="1343" t="s">
        <v>925</v>
      </c>
      <c r="D8" s="1332"/>
      <c r="E8" s="1540"/>
      <c r="F8" s="1539"/>
      <c r="G8" s="1538"/>
      <c r="H8" s="1537"/>
      <c r="I8" s="1536"/>
      <c r="J8" s="1535"/>
      <c r="K8" s="1540"/>
      <c r="L8" s="1539"/>
      <c r="M8" s="1538"/>
      <c r="N8" s="1537"/>
      <c r="O8" s="1536"/>
      <c r="P8" s="1535"/>
      <c r="Q8" s="1534"/>
    </row>
    <row r="9" spans="1:17" ht="13.5" customHeight="1" thickBot="1">
      <c r="A9" s="1430">
        <v>3</v>
      </c>
      <c r="B9" s="1431">
        <v>301</v>
      </c>
      <c r="C9" s="1432" t="s">
        <v>613</v>
      </c>
      <c r="D9" s="1437">
        <v>1850</v>
      </c>
      <c r="E9" s="1569"/>
      <c r="F9" s="1570"/>
      <c r="G9" s="1571"/>
      <c r="H9" s="1572"/>
      <c r="I9" s="1573"/>
      <c r="J9" s="1574"/>
      <c r="K9" s="1569"/>
      <c r="L9" s="1570"/>
      <c r="M9" s="1571"/>
      <c r="N9" s="1572"/>
      <c r="O9" s="1573"/>
      <c r="P9" s="1574"/>
      <c r="Q9" s="1575"/>
    </row>
    <row r="10" spans="1:17" ht="18.95" customHeight="1" thickTop="1">
      <c r="A10" s="1584" t="s">
        <v>926</v>
      </c>
      <c r="B10" s="1585"/>
      <c r="C10" s="1586"/>
      <c r="D10" s="1577">
        <v>1850</v>
      </c>
      <c r="E10" s="1578">
        <v>28</v>
      </c>
      <c r="F10" s="1579">
        <v>19.399999999999999</v>
      </c>
      <c r="G10" s="1580">
        <v>15.72</v>
      </c>
      <c r="H10" s="1580">
        <v>11.86</v>
      </c>
      <c r="I10" s="1581">
        <v>7619</v>
      </c>
      <c r="J10" s="1582">
        <v>7.7</v>
      </c>
      <c r="K10" s="1578">
        <v>20</v>
      </c>
      <c r="L10" s="1579">
        <v>12.4</v>
      </c>
      <c r="M10" s="1580">
        <v>29.8</v>
      </c>
      <c r="N10" s="1580">
        <v>9.8000000000000007</v>
      </c>
      <c r="O10" s="1581">
        <v>6080</v>
      </c>
      <c r="P10" s="1582">
        <v>6.1</v>
      </c>
      <c r="Q10" s="1583"/>
    </row>
    <row r="11" spans="1:17" ht="13.5" customHeight="1">
      <c r="A11" s="1327"/>
      <c r="B11" s="1326"/>
      <c r="C11" s="1576"/>
      <c r="D11" s="1314"/>
      <c r="E11" s="1533"/>
      <c r="F11" s="1532"/>
      <c r="G11" s="1531"/>
      <c r="H11" s="1530"/>
      <c r="I11" s="1529"/>
      <c r="J11" s="1528"/>
      <c r="K11" s="1533"/>
      <c r="L11" s="1532"/>
      <c r="M11" s="1531"/>
      <c r="N11" s="1530"/>
      <c r="O11" s="1529"/>
      <c r="P11" s="1528"/>
      <c r="Q11" s="1527"/>
    </row>
    <row r="12" spans="1:17" ht="13.5" customHeight="1">
      <c r="A12" s="1327"/>
      <c r="B12" s="1326"/>
      <c r="C12" s="1325" t="s">
        <v>927</v>
      </c>
      <c r="D12" s="1314"/>
      <c r="E12" s="1533"/>
      <c r="F12" s="1532"/>
      <c r="G12" s="1531"/>
      <c r="H12" s="1530"/>
      <c r="I12" s="1529"/>
      <c r="J12" s="1528"/>
      <c r="K12" s="1533"/>
      <c r="L12" s="1532"/>
      <c r="M12" s="1531"/>
      <c r="N12" s="1530"/>
      <c r="O12" s="1529"/>
      <c r="P12" s="1528"/>
      <c r="Q12" s="1527"/>
    </row>
    <row r="13" spans="1:17" ht="13.5" customHeight="1" thickBot="1">
      <c r="A13" s="1430">
        <v>3</v>
      </c>
      <c r="B13" s="1431">
        <v>302</v>
      </c>
      <c r="C13" s="1432" t="s">
        <v>678</v>
      </c>
      <c r="D13" s="1437">
        <v>1330</v>
      </c>
      <c r="E13" s="1569"/>
      <c r="F13" s="1570"/>
      <c r="G13" s="1571"/>
      <c r="H13" s="1572"/>
      <c r="I13" s="1573"/>
      <c r="J13" s="1574"/>
      <c r="K13" s="1569"/>
      <c r="L13" s="1570"/>
      <c r="M13" s="1571"/>
      <c r="N13" s="1572"/>
      <c r="O13" s="1573"/>
      <c r="P13" s="1574"/>
      <c r="Q13" s="1575"/>
    </row>
    <row r="14" spans="1:17" ht="18.95" customHeight="1" thickTop="1">
      <c r="A14" s="1584" t="s">
        <v>928</v>
      </c>
      <c r="B14" s="1585"/>
      <c r="C14" s="1586"/>
      <c r="D14" s="1577">
        <v>1330</v>
      </c>
      <c r="E14" s="1578">
        <v>28</v>
      </c>
      <c r="F14" s="1579">
        <v>19.399999999999999</v>
      </c>
      <c r="G14" s="1580">
        <v>15.72</v>
      </c>
      <c r="H14" s="1580">
        <v>11.86</v>
      </c>
      <c r="I14" s="1581">
        <v>5477</v>
      </c>
      <c r="J14" s="1582">
        <v>5.5</v>
      </c>
      <c r="K14" s="1578">
        <v>20</v>
      </c>
      <c r="L14" s="1579">
        <v>12.4</v>
      </c>
      <c r="M14" s="1580">
        <v>30.07</v>
      </c>
      <c r="N14" s="1580">
        <v>10.07</v>
      </c>
      <c r="O14" s="1581">
        <v>4492</v>
      </c>
      <c r="P14" s="1582">
        <v>4.5</v>
      </c>
      <c r="Q14" s="1583"/>
    </row>
    <row r="15" spans="1:17" ht="13.5" customHeight="1">
      <c r="A15" s="1327"/>
      <c r="B15" s="1326"/>
      <c r="C15" s="1576"/>
      <c r="D15" s="1314"/>
      <c r="E15" s="1533"/>
      <c r="F15" s="1532"/>
      <c r="G15" s="1531"/>
      <c r="H15" s="1530"/>
      <c r="I15" s="1529"/>
      <c r="J15" s="1528"/>
      <c r="K15" s="1533"/>
      <c r="L15" s="1532"/>
      <c r="M15" s="1531"/>
      <c r="N15" s="1530"/>
      <c r="O15" s="1529"/>
      <c r="P15" s="1528"/>
      <c r="Q15" s="1527"/>
    </row>
    <row r="16" spans="1:17" ht="13.5" customHeight="1">
      <c r="A16" s="1327"/>
      <c r="B16" s="1326"/>
      <c r="C16" s="1325"/>
      <c r="D16" s="1314"/>
      <c r="E16" s="1533"/>
      <c r="F16" s="1532"/>
      <c r="G16" s="1531"/>
      <c r="H16" s="1530"/>
      <c r="I16" s="1529"/>
      <c r="J16" s="1528"/>
      <c r="K16" s="1533"/>
      <c r="L16" s="1532"/>
      <c r="M16" s="1531"/>
      <c r="N16" s="1530"/>
      <c r="O16" s="1529"/>
      <c r="P16" s="1528"/>
      <c r="Q16" s="1527"/>
    </row>
    <row r="17" spans="1:17" ht="13.5" customHeight="1">
      <c r="A17" s="1327"/>
      <c r="B17" s="1326"/>
      <c r="C17" s="1325"/>
      <c r="D17" s="1314"/>
      <c r="E17" s="1533"/>
      <c r="F17" s="1532"/>
      <c r="G17" s="1531"/>
      <c r="H17" s="1530"/>
      <c r="I17" s="1529"/>
      <c r="J17" s="1528"/>
      <c r="K17" s="1533"/>
      <c r="L17" s="1532"/>
      <c r="M17" s="1531"/>
      <c r="N17" s="1530"/>
      <c r="O17" s="1529"/>
      <c r="P17" s="1528"/>
      <c r="Q17" s="1527"/>
    </row>
    <row r="18" spans="1:17" ht="13.5" customHeight="1">
      <c r="A18" s="1327"/>
      <c r="B18" s="1326"/>
      <c r="C18" s="1325"/>
      <c r="D18" s="1314"/>
      <c r="E18" s="1533"/>
      <c r="F18" s="1532"/>
      <c r="G18" s="1531"/>
      <c r="H18" s="1530"/>
      <c r="I18" s="1529"/>
      <c r="J18" s="1528"/>
      <c r="K18" s="1533"/>
      <c r="L18" s="1532"/>
      <c r="M18" s="1531"/>
      <c r="N18" s="1530"/>
      <c r="O18" s="1529"/>
      <c r="P18" s="1528"/>
      <c r="Q18" s="1527"/>
    </row>
    <row r="19" spans="1:17" ht="13.5" customHeight="1">
      <c r="A19" s="1327"/>
      <c r="B19" s="1326"/>
      <c r="C19" s="1325"/>
      <c r="D19" s="1314"/>
      <c r="E19" s="1533"/>
      <c r="F19" s="1532"/>
      <c r="G19" s="1531"/>
      <c r="H19" s="1530"/>
      <c r="I19" s="1529"/>
      <c r="J19" s="1528"/>
      <c r="K19" s="1533"/>
      <c r="L19" s="1532"/>
      <c r="M19" s="1531"/>
      <c r="N19" s="1530"/>
      <c r="O19" s="1529"/>
      <c r="P19" s="1528"/>
      <c r="Q19" s="1527"/>
    </row>
    <row r="20" spans="1:17" ht="13.5" customHeight="1">
      <c r="A20" s="1327"/>
      <c r="B20" s="1326"/>
      <c r="C20" s="1325"/>
      <c r="D20" s="1314"/>
      <c r="E20" s="1533"/>
      <c r="F20" s="1532"/>
      <c r="G20" s="1531"/>
      <c r="H20" s="1530"/>
      <c r="I20" s="1529"/>
      <c r="J20" s="1528"/>
      <c r="K20" s="1533"/>
      <c r="L20" s="1532"/>
      <c r="M20" s="1531"/>
      <c r="N20" s="1530"/>
      <c r="O20" s="1529"/>
      <c r="P20" s="1528"/>
      <c r="Q20" s="1527"/>
    </row>
    <row r="21" spans="1:17" ht="13.5" customHeight="1">
      <c r="A21" s="1327"/>
      <c r="B21" s="1326"/>
      <c r="C21" s="1325"/>
      <c r="D21" s="1314"/>
      <c r="E21" s="1533"/>
      <c r="F21" s="1532"/>
      <c r="G21" s="1531"/>
      <c r="H21" s="1530"/>
      <c r="I21" s="1529"/>
      <c r="J21" s="1528"/>
      <c r="K21" s="1533"/>
      <c r="L21" s="1532"/>
      <c r="M21" s="1531"/>
      <c r="N21" s="1530"/>
      <c r="O21" s="1529"/>
      <c r="P21" s="1528"/>
      <c r="Q21" s="1527"/>
    </row>
    <row r="22" spans="1:17" ht="13.5" customHeight="1">
      <c r="A22" s="1327"/>
      <c r="B22" s="1326"/>
      <c r="C22" s="1325"/>
      <c r="D22" s="1314"/>
      <c r="E22" s="1533"/>
      <c r="F22" s="1532"/>
      <c r="G22" s="1531"/>
      <c r="H22" s="1530"/>
      <c r="I22" s="1529"/>
      <c r="J22" s="1528"/>
      <c r="K22" s="1533"/>
      <c r="L22" s="1532"/>
      <c r="M22" s="1531"/>
      <c r="N22" s="1530"/>
      <c r="O22" s="1529"/>
      <c r="P22" s="1528"/>
      <c r="Q22" s="1527"/>
    </row>
    <row r="23" spans="1:17" ht="13.5" customHeight="1">
      <c r="A23" s="1327"/>
      <c r="B23" s="1326"/>
      <c r="C23" s="1325"/>
      <c r="D23" s="1314"/>
      <c r="E23" s="1533"/>
      <c r="F23" s="1532"/>
      <c r="G23" s="1531"/>
      <c r="H23" s="1530"/>
      <c r="I23" s="1529"/>
      <c r="J23" s="1528"/>
      <c r="K23" s="1533"/>
      <c r="L23" s="1532"/>
      <c r="M23" s="1531"/>
      <c r="N23" s="1530"/>
      <c r="O23" s="1529"/>
      <c r="P23" s="1528"/>
      <c r="Q23" s="1527"/>
    </row>
    <row r="24" spans="1:17" ht="13.5" customHeight="1">
      <c r="A24" s="1327"/>
      <c r="B24" s="1326"/>
      <c r="C24" s="1325"/>
      <c r="D24" s="1314"/>
      <c r="E24" s="1533"/>
      <c r="F24" s="1532"/>
      <c r="G24" s="1531"/>
      <c r="H24" s="1530"/>
      <c r="I24" s="1529"/>
      <c r="J24" s="1528"/>
      <c r="K24" s="1533"/>
      <c r="L24" s="1532"/>
      <c r="M24" s="1531"/>
      <c r="N24" s="1530"/>
      <c r="O24" s="1529"/>
      <c r="P24" s="1528"/>
      <c r="Q24" s="1527"/>
    </row>
    <row r="25" spans="1:17" ht="13.5" customHeight="1">
      <c r="A25" s="1327"/>
      <c r="B25" s="1326"/>
      <c r="C25" s="1325"/>
      <c r="D25" s="1314"/>
      <c r="E25" s="1533"/>
      <c r="F25" s="1532"/>
      <c r="G25" s="1531"/>
      <c r="H25" s="1530"/>
      <c r="I25" s="1529"/>
      <c r="J25" s="1528"/>
      <c r="K25" s="1533"/>
      <c r="L25" s="1532"/>
      <c r="M25" s="1531"/>
      <c r="N25" s="1530"/>
      <c r="O25" s="1529"/>
      <c r="P25" s="1528"/>
      <c r="Q25" s="1527"/>
    </row>
    <row r="26" spans="1:17" ht="13.5" customHeight="1">
      <c r="A26" s="1327"/>
      <c r="B26" s="1326"/>
      <c r="C26" s="1325"/>
      <c r="D26" s="1314"/>
      <c r="E26" s="1533"/>
      <c r="F26" s="1532"/>
      <c r="G26" s="1531"/>
      <c r="H26" s="1530"/>
      <c r="I26" s="1529"/>
      <c r="J26" s="1528"/>
      <c r="K26" s="1533"/>
      <c r="L26" s="1532"/>
      <c r="M26" s="1531"/>
      <c r="N26" s="1530"/>
      <c r="O26" s="1529"/>
      <c r="P26" s="1528"/>
      <c r="Q26" s="1527"/>
    </row>
    <row r="27" spans="1:17" ht="13.5" customHeight="1">
      <c r="A27" s="1327"/>
      <c r="B27" s="1326"/>
      <c r="C27" s="1325"/>
      <c r="D27" s="1314"/>
      <c r="E27" s="1533"/>
      <c r="F27" s="1532"/>
      <c r="G27" s="1531"/>
      <c r="H27" s="1530"/>
      <c r="I27" s="1529"/>
      <c r="J27" s="1528"/>
      <c r="K27" s="1533"/>
      <c r="L27" s="1532"/>
      <c r="M27" s="1531"/>
      <c r="N27" s="1530"/>
      <c r="O27" s="1529"/>
      <c r="P27" s="1528"/>
      <c r="Q27" s="1527"/>
    </row>
    <row r="28" spans="1:17" ht="13.5" customHeight="1">
      <c r="A28" s="1327"/>
      <c r="B28" s="1326"/>
      <c r="C28" s="1325"/>
      <c r="D28" s="1314"/>
      <c r="E28" s="1533"/>
      <c r="F28" s="1532"/>
      <c r="G28" s="1531"/>
      <c r="H28" s="1530"/>
      <c r="I28" s="1529"/>
      <c r="J28" s="1528"/>
      <c r="K28" s="1533"/>
      <c r="L28" s="1532"/>
      <c r="M28" s="1531"/>
      <c r="N28" s="1530"/>
      <c r="O28" s="1529"/>
      <c r="P28" s="1528"/>
      <c r="Q28" s="1527"/>
    </row>
    <row r="29" spans="1:17" ht="13.5" customHeight="1">
      <c r="A29" s="1327"/>
      <c r="B29" s="1326"/>
      <c r="C29" s="1325"/>
      <c r="D29" s="1314"/>
      <c r="E29" s="1533"/>
      <c r="F29" s="1532"/>
      <c r="G29" s="1531"/>
      <c r="H29" s="1530"/>
      <c r="I29" s="1529"/>
      <c r="J29" s="1528"/>
      <c r="K29" s="1533"/>
      <c r="L29" s="1532"/>
      <c r="M29" s="1531"/>
      <c r="N29" s="1530"/>
      <c r="O29" s="1529"/>
      <c r="P29" s="1528"/>
      <c r="Q29" s="1527"/>
    </row>
    <row r="30" spans="1:17" ht="13.5" customHeight="1">
      <c r="A30" s="1327"/>
      <c r="B30" s="1326"/>
      <c r="C30" s="1325"/>
      <c r="D30" s="1314"/>
      <c r="E30" s="1533"/>
      <c r="F30" s="1532"/>
      <c r="G30" s="1531"/>
      <c r="H30" s="1530"/>
      <c r="I30" s="1529"/>
      <c r="J30" s="1528"/>
      <c r="K30" s="1533"/>
      <c r="L30" s="1532"/>
      <c r="M30" s="1531"/>
      <c r="N30" s="1530"/>
      <c r="O30" s="1529"/>
      <c r="P30" s="1528"/>
      <c r="Q30" s="1527"/>
    </row>
    <row r="31" spans="1:17" ht="13.5" customHeight="1">
      <c r="A31" s="1327"/>
      <c r="B31" s="1326"/>
      <c r="C31" s="1325"/>
      <c r="D31" s="1314"/>
      <c r="E31" s="1533"/>
      <c r="F31" s="1532"/>
      <c r="G31" s="1531"/>
      <c r="H31" s="1530"/>
      <c r="I31" s="1529"/>
      <c r="J31" s="1528"/>
      <c r="K31" s="1533"/>
      <c r="L31" s="1532"/>
      <c r="M31" s="1531"/>
      <c r="N31" s="1530"/>
      <c r="O31" s="1529"/>
      <c r="P31" s="1528"/>
      <c r="Q31" s="1527"/>
    </row>
    <row r="32" spans="1:17" ht="13.5" customHeight="1">
      <c r="A32" s="1327"/>
      <c r="B32" s="1326"/>
      <c r="C32" s="1325"/>
      <c r="D32" s="1314"/>
      <c r="E32" s="1533"/>
      <c r="F32" s="1532"/>
      <c r="G32" s="1531"/>
      <c r="H32" s="1530"/>
      <c r="I32" s="1529"/>
      <c r="J32" s="1528"/>
      <c r="K32" s="1533"/>
      <c r="L32" s="1532"/>
      <c r="M32" s="1531"/>
      <c r="N32" s="1530"/>
      <c r="O32" s="1529"/>
      <c r="P32" s="1528"/>
      <c r="Q32" s="1527"/>
    </row>
    <row r="33" spans="1:17" ht="13.5" customHeight="1">
      <c r="A33" s="1327"/>
      <c r="B33" s="1326"/>
      <c r="C33" s="1325"/>
      <c r="D33" s="1314"/>
      <c r="E33" s="1533"/>
      <c r="F33" s="1532"/>
      <c r="G33" s="1531"/>
      <c r="H33" s="1530"/>
      <c r="I33" s="1529"/>
      <c r="J33" s="1528"/>
      <c r="K33" s="1533"/>
      <c r="L33" s="1532"/>
      <c r="M33" s="1531"/>
      <c r="N33" s="1530"/>
      <c r="O33" s="1529"/>
      <c r="P33" s="1528"/>
      <c r="Q33" s="1527"/>
    </row>
    <row r="34" spans="1:17" ht="13.5" customHeight="1">
      <c r="A34" s="1327"/>
      <c r="B34" s="1326"/>
      <c r="C34" s="1325"/>
      <c r="D34" s="1314"/>
      <c r="E34" s="1533"/>
      <c r="F34" s="1532"/>
      <c r="G34" s="1531"/>
      <c r="H34" s="1530"/>
      <c r="I34" s="1529"/>
      <c r="J34" s="1528"/>
      <c r="K34" s="1533"/>
      <c r="L34" s="1532"/>
      <c r="M34" s="1531"/>
      <c r="N34" s="1530"/>
      <c r="O34" s="1529"/>
      <c r="P34" s="1528"/>
      <c r="Q34" s="1527"/>
    </row>
    <row r="35" spans="1:17" ht="13.5" customHeight="1">
      <c r="A35" s="1327"/>
      <c r="B35" s="1326"/>
      <c r="C35" s="1325"/>
      <c r="D35" s="1314"/>
      <c r="E35" s="1533"/>
      <c r="F35" s="1532"/>
      <c r="G35" s="1531"/>
      <c r="H35" s="1530"/>
      <c r="I35" s="1529"/>
      <c r="J35" s="1528"/>
      <c r="K35" s="1533"/>
      <c r="L35" s="1532"/>
      <c r="M35" s="1531"/>
      <c r="N35" s="1530"/>
      <c r="O35" s="1529"/>
      <c r="P35" s="1528"/>
      <c r="Q35" s="1527"/>
    </row>
    <row r="36" spans="1:17" ht="13.5" customHeight="1">
      <c r="A36" s="1327"/>
      <c r="B36" s="1326"/>
      <c r="C36" s="1325"/>
      <c r="D36" s="1314"/>
      <c r="E36" s="1533"/>
      <c r="F36" s="1532"/>
      <c r="G36" s="1531"/>
      <c r="H36" s="1530"/>
      <c r="I36" s="1529"/>
      <c r="J36" s="1528"/>
      <c r="K36" s="1533"/>
      <c r="L36" s="1532"/>
      <c r="M36" s="1531"/>
      <c r="N36" s="1530"/>
      <c r="O36" s="1529"/>
      <c r="P36" s="1528"/>
      <c r="Q36" s="1527"/>
    </row>
    <row r="37" spans="1:17" ht="13.5" customHeight="1">
      <c r="A37" s="1309"/>
      <c r="B37" s="1308"/>
      <c r="C37" s="1307"/>
      <c r="D37" s="1306"/>
      <c r="E37" s="1526"/>
      <c r="F37" s="1525"/>
      <c r="G37" s="1524"/>
      <c r="H37" s="1523"/>
      <c r="I37" s="1522"/>
      <c r="J37" s="1521"/>
      <c r="K37" s="1526"/>
      <c r="L37" s="1525"/>
      <c r="M37" s="1524"/>
      <c r="N37" s="1523"/>
      <c r="O37" s="1522"/>
      <c r="P37" s="1521"/>
      <c r="Q37" s="1520"/>
    </row>
    <row r="48" spans="1:17" s="1297" customFormat="1" ht="13.5" customHeight="1">
      <c r="C48" s="1304"/>
    </row>
    <row r="49" spans="3:3" s="1297" customFormat="1" ht="13.5" customHeight="1">
      <c r="C49" s="1304"/>
    </row>
    <row r="50" spans="3:3" s="1297" customFormat="1" ht="13.5" customHeight="1">
      <c r="C50" s="1304"/>
    </row>
    <row r="51" spans="3:3" s="1297" customFormat="1" ht="13.5" customHeight="1">
      <c r="C51" s="1302"/>
    </row>
  </sheetData>
  <mergeCells count="19">
    <mergeCell ref="A10:C10"/>
    <mergeCell ref="A14:C14"/>
    <mergeCell ref="A4:A7"/>
    <mergeCell ref="B4:B7"/>
    <mergeCell ref="C4:C7"/>
    <mergeCell ref="D4:D7"/>
    <mergeCell ref="E4:J4"/>
    <mergeCell ref="K4:P4"/>
    <mergeCell ref="M6:M7"/>
    <mergeCell ref="Q4:Q7"/>
    <mergeCell ref="E5:G5"/>
    <mergeCell ref="H5:H7"/>
    <mergeCell ref="I5:J6"/>
    <mergeCell ref="K5:M5"/>
    <mergeCell ref="N5:N7"/>
    <mergeCell ref="O5:P6"/>
    <mergeCell ref="E6:F6"/>
    <mergeCell ref="G6:G7"/>
    <mergeCell ref="K6:L6"/>
  </mergeCells>
  <phoneticPr fontId="4"/>
  <printOptions horizontalCentered="1"/>
  <pageMargins left="0.39370078740157483" right="0.39370078740157483" top="0.78740157480314965" bottom="0.35433070866141736" header="0.59055118110236227" footer="0.23622047244094491"/>
  <pageSetup paperSize="9" scale="93" fitToHeight="0" orientation="landscape" horizontalDpi="1200" verticalDpi="1200" r:id="rId1"/>
  <headerFooter scaleWithDoc="0" alignWithMargins="0">
    <oddFooter>&amp;C&amp;"ＭＳ Ｐゴシック,標準"&amp;9( &amp;P / &amp;N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13"/>
  <sheetViews>
    <sheetView showGridLines="0" zoomScale="90" zoomScaleNormal="90" workbookViewId="0"/>
  </sheetViews>
  <sheetFormatPr defaultColWidth="9.140625" defaultRowHeight="30" customHeight="1"/>
  <cols>
    <col min="1" max="1" width="69.28515625" style="9" customWidth="1"/>
    <col min="2" max="5" width="8" style="5" customWidth="1"/>
    <col min="6" max="16384" width="9.140625" style="5"/>
  </cols>
  <sheetData>
    <row r="1" spans="1:5" ht="30" customHeight="1">
      <c r="A1" s="1"/>
      <c r="B1" s="2"/>
      <c r="C1" s="3"/>
      <c r="D1" s="4" t="s">
        <v>0</v>
      </c>
      <c r="E1" s="2"/>
    </row>
    <row r="2" spans="1:5" ht="30" customHeight="1">
      <c r="A2" s="6"/>
    </row>
    <row r="3" spans="1:5" ht="30" customHeight="1">
      <c r="A3" s="6"/>
      <c r="D3" s="7"/>
    </row>
    <row r="4" spans="1:5" ht="30" customHeight="1">
      <c r="A4" s="6"/>
    </row>
    <row r="5" spans="1:5" ht="30" customHeight="1">
      <c r="A5" s="8" t="s">
        <v>929</v>
      </c>
    </row>
    <row r="6" spans="1:5" ht="30" customHeight="1">
      <c r="A6" s="6"/>
    </row>
    <row r="7" spans="1:5" ht="30" customHeight="1">
      <c r="A7" s="6" t="s">
        <v>930</v>
      </c>
    </row>
    <row r="8" spans="1:5" ht="30" customHeight="1">
      <c r="A8" s="6"/>
    </row>
    <row r="9" spans="1:5" ht="30" customHeight="1">
      <c r="A9" s="6"/>
    </row>
    <row r="10" spans="1:5" ht="30" customHeight="1">
      <c r="A10" s="6"/>
    </row>
    <row r="11" spans="1:5" ht="30" customHeight="1">
      <c r="A11" s="6"/>
    </row>
    <row r="12" spans="1:5" ht="30" customHeight="1">
      <c r="A12" s="6"/>
    </row>
    <row r="13" spans="1:5" ht="30" customHeight="1">
      <c r="A13" s="6"/>
    </row>
  </sheetData>
  <sheetProtection insertRows="0" deleteRows="0" sort="0" autoFilter="0"/>
  <phoneticPr fontId="4"/>
  <printOptions horizontalCentered="1"/>
  <pageMargins left="0.70866141732283472" right="0.70866141732283472" top="0.98425196850393704" bottom="0.51181102362204722" header="0.78740157480314965" footer="0.35433070866141736"/>
  <pageSetup paperSize="9" orientation="landscape" horizontalDpi="300" verticalDpi="300" r:id="rId1"/>
  <headerFooter scaleWithDoc="0" alignWithMargins="0">
    <oddFooter>&amp;C&amp;"ＭＳ Ｐゴシック,標準"&amp;9( &amp;P / &amp;N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AC68"/>
  <sheetViews>
    <sheetView showGridLines="0" zoomScale="80" zoomScaleNormal="80" workbookViewId="0">
      <pane xSplit="4" ySplit="5" topLeftCell="E6" activePane="bottomRight" state="frozenSplit"/>
      <selection pane="topRight" activeCell="P1" sqref="P1"/>
      <selection pane="bottomLeft" activeCell="A17" sqref="A17"/>
      <selection pane="bottomRight"/>
    </sheetView>
  </sheetViews>
  <sheetFormatPr defaultColWidth="9.140625" defaultRowHeight="13.5" customHeight="1"/>
  <cols>
    <col min="1" max="1" width="5.42578125" style="1297" customWidth="1"/>
    <col min="2" max="2" width="7.5703125" style="1297" customWidth="1"/>
    <col min="3" max="3" width="33.7109375" style="1297" customWidth="1"/>
    <col min="4" max="4" width="10.7109375" style="1297" customWidth="1"/>
    <col min="5" max="28" width="7.7109375" style="1297" customWidth="1"/>
    <col min="29" max="29" width="14.7109375" style="1297" customWidth="1"/>
    <col min="30" max="16384" width="9.140625" style="1293"/>
  </cols>
  <sheetData>
    <row r="1" spans="1:29" s="1601" customFormat="1" ht="30" customHeight="1">
      <c r="A1" s="1609" t="s">
        <v>932</v>
      </c>
      <c r="B1" s="1608"/>
      <c r="C1" s="1607"/>
      <c r="D1" s="1606"/>
      <c r="E1" s="1605"/>
      <c r="F1" s="1605"/>
      <c r="G1" s="1605"/>
      <c r="H1" s="1604"/>
      <c r="I1" s="1604"/>
      <c r="J1" s="1605"/>
      <c r="K1" s="1605"/>
      <c r="L1" s="1604"/>
      <c r="M1" s="1604"/>
      <c r="N1" s="1605"/>
      <c r="O1" s="1604"/>
      <c r="P1" s="1605"/>
      <c r="Q1" s="1605"/>
      <c r="R1" s="1604"/>
      <c r="S1" s="1605"/>
      <c r="T1" s="1605"/>
      <c r="U1" s="1604"/>
      <c r="V1" s="1605"/>
      <c r="W1" s="1605"/>
      <c r="X1" s="1604"/>
      <c r="Y1" s="1604"/>
      <c r="Z1" s="1605"/>
      <c r="AA1" s="1604"/>
      <c r="AB1" s="1603"/>
      <c r="AC1" s="1602"/>
    </row>
    <row r="4" spans="1:29" ht="13.5" customHeight="1">
      <c r="A4" s="1401" t="s">
        <v>363</v>
      </c>
      <c r="B4" s="1400" t="s">
        <v>341</v>
      </c>
      <c r="C4" s="1561" t="s">
        <v>729</v>
      </c>
      <c r="D4" s="1600" t="s">
        <v>728</v>
      </c>
      <c r="E4" s="1599" t="s">
        <v>931</v>
      </c>
      <c r="F4" s="1598"/>
      <c r="G4" s="1598"/>
      <c r="H4" s="1598"/>
      <c r="I4" s="1598"/>
      <c r="J4" s="1598"/>
      <c r="K4" s="1598"/>
      <c r="L4" s="1598"/>
      <c r="M4" s="1598"/>
      <c r="N4" s="1598"/>
      <c r="O4" s="1598"/>
      <c r="P4" s="1598"/>
      <c r="Q4" s="1598"/>
      <c r="R4" s="1598"/>
      <c r="S4" s="1598"/>
      <c r="T4" s="1598"/>
      <c r="U4" s="1598"/>
      <c r="V4" s="1598"/>
      <c r="W4" s="1598"/>
      <c r="X4" s="1598"/>
      <c r="Y4" s="1598"/>
      <c r="Z4" s="1598"/>
      <c r="AA4" s="1598"/>
      <c r="AB4" s="1597"/>
      <c r="AC4" s="1596" t="s">
        <v>843</v>
      </c>
    </row>
    <row r="5" spans="1:29" ht="13.5" customHeight="1">
      <c r="A5" s="1369"/>
      <c r="B5" s="1368"/>
      <c r="C5" s="1554"/>
      <c r="D5" s="1610"/>
      <c r="E5" s="1595">
        <v>1</v>
      </c>
      <c r="F5" s="1594">
        <v>2</v>
      </c>
      <c r="G5" s="1594">
        <v>3</v>
      </c>
      <c r="H5" s="1594">
        <v>4</v>
      </c>
      <c r="I5" s="1594">
        <v>5</v>
      </c>
      <c r="J5" s="1594">
        <v>6</v>
      </c>
      <c r="K5" s="1594">
        <v>7</v>
      </c>
      <c r="L5" s="1594">
        <v>8</v>
      </c>
      <c r="M5" s="1594">
        <v>9</v>
      </c>
      <c r="N5" s="1594">
        <v>10</v>
      </c>
      <c r="O5" s="1594">
        <v>11</v>
      </c>
      <c r="P5" s="1594">
        <v>12</v>
      </c>
      <c r="Q5" s="1594">
        <v>13</v>
      </c>
      <c r="R5" s="1594">
        <v>14</v>
      </c>
      <c r="S5" s="1594">
        <v>15</v>
      </c>
      <c r="T5" s="1594">
        <v>16</v>
      </c>
      <c r="U5" s="1594">
        <v>17</v>
      </c>
      <c r="V5" s="1594">
        <v>18</v>
      </c>
      <c r="W5" s="1594">
        <v>19</v>
      </c>
      <c r="X5" s="1594">
        <v>20</v>
      </c>
      <c r="Y5" s="1594">
        <v>21</v>
      </c>
      <c r="Z5" s="1594">
        <v>22</v>
      </c>
      <c r="AA5" s="1594">
        <v>23</v>
      </c>
      <c r="AB5" s="1593">
        <v>24</v>
      </c>
      <c r="AC5" s="1611"/>
    </row>
    <row r="6" spans="1:29" ht="13.5" customHeight="1">
      <c r="A6" s="1617" t="s">
        <v>375</v>
      </c>
      <c r="B6" s="1618"/>
      <c r="C6" s="1618"/>
      <c r="D6" s="1618"/>
      <c r="E6" s="1618"/>
      <c r="F6" s="1618"/>
      <c r="G6" s="1618"/>
      <c r="H6" s="1618"/>
      <c r="I6" s="1618"/>
      <c r="J6" s="1618"/>
      <c r="K6" s="1618"/>
      <c r="L6" s="1618"/>
      <c r="M6" s="1618"/>
      <c r="N6" s="1618"/>
      <c r="O6" s="1618"/>
      <c r="P6" s="1618"/>
      <c r="Q6" s="1618"/>
      <c r="R6" s="1618"/>
      <c r="S6" s="1618"/>
      <c r="T6" s="1618"/>
      <c r="U6" s="1618"/>
      <c r="V6" s="1618"/>
      <c r="W6" s="1618"/>
      <c r="X6" s="1618"/>
      <c r="Y6" s="1618"/>
      <c r="Z6" s="1618"/>
      <c r="AA6" s="1618"/>
      <c r="AB6" s="1618"/>
      <c r="AC6" s="1619"/>
    </row>
    <row r="7" spans="1:29" ht="13.5" customHeight="1">
      <c r="A7" s="1626" t="s">
        <v>933</v>
      </c>
      <c r="B7" s="1627"/>
      <c r="C7" s="1628"/>
      <c r="D7" s="1621"/>
      <c r="E7" s="1622"/>
      <c r="F7" s="1623"/>
      <c r="G7" s="1623"/>
      <c r="H7" s="1623"/>
      <c r="I7" s="1623"/>
      <c r="J7" s="1623"/>
      <c r="K7" s="1623"/>
      <c r="L7" s="1623"/>
      <c r="M7" s="1623"/>
      <c r="N7" s="1623"/>
      <c r="O7" s="1623"/>
      <c r="P7" s="1623"/>
      <c r="Q7" s="1623"/>
      <c r="R7" s="1623"/>
      <c r="S7" s="1623"/>
      <c r="T7" s="1623"/>
      <c r="U7" s="1623"/>
      <c r="V7" s="1623"/>
      <c r="W7" s="1623"/>
      <c r="X7" s="1623"/>
      <c r="Y7" s="1623"/>
      <c r="Z7" s="1623"/>
      <c r="AA7" s="1623"/>
      <c r="AB7" s="1624"/>
      <c r="AC7" s="1625"/>
    </row>
    <row r="8" spans="1:29" ht="13.5" customHeight="1">
      <c r="A8" s="1327">
        <v>2</v>
      </c>
      <c r="B8" s="1326">
        <v>201</v>
      </c>
      <c r="C8" s="1612" t="s">
        <v>332</v>
      </c>
      <c r="D8" s="1324">
        <v>121</v>
      </c>
      <c r="E8" s="1314">
        <v>25773</v>
      </c>
      <c r="F8" s="1313">
        <v>25168</v>
      </c>
      <c r="G8" s="1313">
        <v>23837</v>
      </c>
      <c r="H8" s="1313">
        <v>22869</v>
      </c>
      <c r="I8" s="1313">
        <v>22506</v>
      </c>
      <c r="J8" s="1313">
        <v>23232</v>
      </c>
      <c r="K8" s="1313">
        <v>26378</v>
      </c>
      <c r="L8" s="1313">
        <v>28556</v>
      </c>
      <c r="M8" s="1313">
        <v>29645</v>
      </c>
      <c r="N8" s="1313">
        <v>31460</v>
      </c>
      <c r="O8" s="1313">
        <v>33154</v>
      </c>
      <c r="P8" s="1313">
        <v>33396</v>
      </c>
      <c r="Q8" s="1313">
        <v>34364</v>
      </c>
      <c r="R8" s="1313">
        <v>34122</v>
      </c>
      <c r="S8" s="1313">
        <v>34969</v>
      </c>
      <c r="T8" s="1313">
        <v>34243</v>
      </c>
      <c r="U8" s="1313">
        <v>32670</v>
      </c>
      <c r="V8" s="1313">
        <v>31823</v>
      </c>
      <c r="W8" s="1313">
        <v>30734</v>
      </c>
      <c r="X8" s="1313">
        <v>29524</v>
      </c>
      <c r="Y8" s="1313">
        <v>29040</v>
      </c>
      <c r="Z8" s="1313">
        <v>27951</v>
      </c>
      <c r="AA8" s="1313">
        <v>27346</v>
      </c>
      <c r="AB8" s="1591">
        <v>26499</v>
      </c>
      <c r="AC8" s="1590"/>
    </row>
    <row r="9" spans="1:29" ht="13.5" customHeight="1">
      <c r="A9" s="1430">
        <v>2</v>
      </c>
      <c r="B9" s="1431">
        <v>202</v>
      </c>
      <c r="C9" s="1614" t="s">
        <v>547</v>
      </c>
      <c r="D9" s="1433">
        <v>91</v>
      </c>
      <c r="E9" s="1437">
        <v>19383</v>
      </c>
      <c r="F9" s="1438">
        <v>18928</v>
      </c>
      <c r="G9" s="1438">
        <v>17927</v>
      </c>
      <c r="H9" s="1438">
        <v>17199</v>
      </c>
      <c r="I9" s="1438">
        <v>16926</v>
      </c>
      <c r="J9" s="1438">
        <v>17472</v>
      </c>
      <c r="K9" s="1438">
        <v>19838</v>
      </c>
      <c r="L9" s="1438">
        <v>21476</v>
      </c>
      <c r="M9" s="1438">
        <v>22295</v>
      </c>
      <c r="N9" s="1438">
        <v>23660</v>
      </c>
      <c r="O9" s="1438">
        <v>24934</v>
      </c>
      <c r="P9" s="1438">
        <v>25116</v>
      </c>
      <c r="Q9" s="1438">
        <v>25844</v>
      </c>
      <c r="R9" s="1438">
        <v>25662</v>
      </c>
      <c r="S9" s="1438">
        <v>26299</v>
      </c>
      <c r="T9" s="1438">
        <v>25753</v>
      </c>
      <c r="U9" s="1438">
        <v>24570</v>
      </c>
      <c r="V9" s="1438">
        <v>23933</v>
      </c>
      <c r="W9" s="1438">
        <v>23114</v>
      </c>
      <c r="X9" s="1438">
        <v>22204</v>
      </c>
      <c r="Y9" s="1438">
        <v>21840</v>
      </c>
      <c r="Z9" s="1438">
        <v>21021</v>
      </c>
      <c r="AA9" s="1438">
        <v>20566</v>
      </c>
      <c r="AB9" s="1615">
        <v>19929</v>
      </c>
      <c r="AC9" s="1616"/>
    </row>
    <row r="10" spans="1:29" ht="13.5" customHeight="1">
      <c r="A10" s="1631"/>
      <c r="B10" s="1632"/>
      <c r="C10" s="1633" t="s">
        <v>934</v>
      </c>
      <c r="D10" s="1634"/>
      <c r="E10" s="1635">
        <v>2943</v>
      </c>
      <c r="F10" s="1636">
        <v>2943</v>
      </c>
      <c r="G10" s="1636">
        <v>2943</v>
      </c>
      <c r="H10" s="1636">
        <v>2943</v>
      </c>
      <c r="I10" s="1636">
        <v>2943</v>
      </c>
      <c r="J10" s="1636">
        <v>2943</v>
      </c>
      <c r="K10" s="1636">
        <v>2943</v>
      </c>
      <c r="L10" s="1636">
        <v>2943</v>
      </c>
      <c r="M10" s="1636">
        <v>2943</v>
      </c>
      <c r="N10" s="1636">
        <v>2943</v>
      </c>
      <c r="O10" s="1636">
        <v>2943</v>
      </c>
      <c r="P10" s="1636">
        <v>2943</v>
      </c>
      <c r="Q10" s="1636">
        <v>2943</v>
      </c>
      <c r="R10" s="1636">
        <v>2943</v>
      </c>
      <c r="S10" s="1636">
        <v>2943</v>
      </c>
      <c r="T10" s="1636">
        <v>2943</v>
      </c>
      <c r="U10" s="1636">
        <v>2943</v>
      </c>
      <c r="V10" s="1636">
        <v>2943</v>
      </c>
      <c r="W10" s="1636">
        <v>2943</v>
      </c>
      <c r="X10" s="1636">
        <v>2943</v>
      </c>
      <c r="Y10" s="1636">
        <v>2943</v>
      </c>
      <c r="Z10" s="1636">
        <v>2943</v>
      </c>
      <c r="AA10" s="1636">
        <v>2943</v>
      </c>
      <c r="AB10" s="1636">
        <v>2943</v>
      </c>
      <c r="AC10" s="1637"/>
    </row>
    <row r="11" spans="1:29" ht="13.5" customHeight="1" thickBot="1">
      <c r="A11" s="1631"/>
      <c r="B11" s="1632"/>
      <c r="C11" s="1633" t="s">
        <v>935</v>
      </c>
      <c r="D11" s="1634"/>
      <c r="E11" s="1635">
        <v>19504</v>
      </c>
      <c r="F11" s="1636">
        <v>19504</v>
      </c>
      <c r="G11" s="1636">
        <v>19504</v>
      </c>
      <c r="H11" s="1636">
        <v>19504</v>
      </c>
      <c r="I11" s="1636">
        <v>19504</v>
      </c>
      <c r="J11" s="1636">
        <v>19504</v>
      </c>
      <c r="K11" s="1636">
        <v>19504</v>
      </c>
      <c r="L11" s="1636">
        <v>19504</v>
      </c>
      <c r="M11" s="1636">
        <v>19504</v>
      </c>
      <c r="N11" s="1636">
        <v>19504</v>
      </c>
      <c r="O11" s="1636">
        <v>19504</v>
      </c>
      <c r="P11" s="1636">
        <v>19504</v>
      </c>
      <c r="Q11" s="1636">
        <v>19504</v>
      </c>
      <c r="R11" s="1636">
        <v>19504</v>
      </c>
      <c r="S11" s="1636">
        <v>19504</v>
      </c>
      <c r="T11" s="1636">
        <v>19504</v>
      </c>
      <c r="U11" s="1636">
        <v>19504</v>
      </c>
      <c r="V11" s="1636">
        <v>19504</v>
      </c>
      <c r="W11" s="1636">
        <v>19504</v>
      </c>
      <c r="X11" s="1636">
        <v>19504</v>
      </c>
      <c r="Y11" s="1636">
        <v>19504</v>
      </c>
      <c r="Z11" s="1636">
        <v>19504</v>
      </c>
      <c r="AA11" s="1636">
        <v>19504</v>
      </c>
      <c r="AB11" s="1636">
        <v>19504</v>
      </c>
      <c r="AC11" s="1637"/>
    </row>
    <row r="12" spans="1:29" ht="13.5" customHeight="1" thickTop="1">
      <c r="A12" s="1642" t="s">
        <v>936</v>
      </c>
      <c r="B12" s="1585"/>
      <c r="C12" s="1586"/>
      <c r="D12" s="1643">
        <v>212</v>
      </c>
      <c r="E12" s="1639">
        <v>67603</v>
      </c>
      <c r="F12" s="1640">
        <v>66543</v>
      </c>
      <c r="G12" s="1640">
        <v>64211</v>
      </c>
      <c r="H12" s="1640">
        <v>62515</v>
      </c>
      <c r="I12" s="1640">
        <v>61879</v>
      </c>
      <c r="J12" s="1640">
        <v>63151</v>
      </c>
      <c r="K12" s="1640">
        <v>68663</v>
      </c>
      <c r="L12" s="1640">
        <v>72479</v>
      </c>
      <c r="M12" s="1640">
        <v>74387</v>
      </c>
      <c r="N12" s="1640">
        <v>77567</v>
      </c>
      <c r="O12" s="1640">
        <v>80535</v>
      </c>
      <c r="P12" s="1640">
        <v>80959</v>
      </c>
      <c r="Q12" s="1640">
        <v>82655</v>
      </c>
      <c r="R12" s="1640">
        <v>82231</v>
      </c>
      <c r="S12" s="1640">
        <v>83715</v>
      </c>
      <c r="T12" s="1640">
        <v>82443</v>
      </c>
      <c r="U12" s="1640">
        <v>79687</v>
      </c>
      <c r="V12" s="1640">
        <v>78203</v>
      </c>
      <c r="W12" s="1640">
        <v>76295</v>
      </c>
      <c r="X12" s="1640">
        <v>74175</v>
      </c>
      <c r="Y12" s="1640">
        <v>73327</v>
      </c>
      <c r="Z12" s="1640">
        <v>71419</v>
      </c>
      <c r="AA12" s="1640">
        <v>70359</v>
      </c>
      <c r="AB12" s="1640">
        <v>68875</v>
      </c>
      <c r="AC12" s="1641"/>
    </row>
    <row r="13" spans="1:29" ht="13.5" customHeight="1" thickBot="1">
      <c r="A13" s="1430"/>
      <c r="B13" s="1431"/>
      <c r="C13" s="1644"/>
      <c r="D13" s="1433"/>
      <c r="E13" s="1437"/>
      <c r="F13" s="1438"/>
      <c r="G13" s="1438"/>
      <c r="H13" s="1438"/>
      <c r="I13" s="1438"/>
      <c r="J13" s="1438"/>
      <c r="K13" s="1438"/>
      <c r="L13" s="1438"/>
      <c r="M13" s="1438"/>
      <c r="N13" s="1438"/>
      <c r="O13" s="1438"/>
      <c r="P13" s="1438"/>
      <c r="Q13" s="1438"/>
      <c r="R13" s="1438"/>
      <c r="S13" s="1438"/>
      <c r="T13" s="1438"/>
      <c r="U13" s="1438"/>
      <c r="V13" s="1438"/>
      <c r="W13" s="1438"/>
      <c r="X13" s="1438"/>
      <c r="Y13" s="1438"/>
      <c r="Z13" s="1438"/>
      <c r="AA13" s="1438"/>
      <c r="AB13" s="1615"/>
      <c r="AC13" s="1616"/>
    </row>
    <row r="14" spans="1:29" ht="13.5" customHeight="1" thickTop="1">
      <c r="A14" s="1649" t="s">
        <v>937</v>
      </c>
      <c r="B14" s="1650"/>
      <c r="C14" s="1650"/>
      <c r="D14" s="1645">
        <v>212</v>
      </c>
      <c r="E14" s="1646">
        <v>67603</v>
      </c>
      <c r="F14" s="1647">
        <v>66543</v>
      </c>
      <c r="G14" s="1647">
        <v>64211</v>
      </c>
      <c r="H14" s="1647">
        <v>62515</v>
      </c>
      <c r="I14" s="1647">
        <v>61879</v>
      </c>
      <c r="J14" s="1647">
        <v>63151</v>
      </c>
      <c r="K14" s="1647">
        <v>68663</v>
      </c>
      <c r="L14" s="1647">
        <v>72479</v>
      </c>
      <c r="M14" s="1647">
        <v>74387</v>
      </c>
      <c r="N14" s="1647">
        <v>77567</v>
      </c>
      <c r="O14" s="1647">
        <v>80535</v>
      </c>
      <c r="P14" s="1647">
        <v>80959</v>
      </c>
      <c r="Q14" s="1647">
        <v>82655</v>
      </c>
      <c r="R14" s="1647">
        <v>82231</v>
      </c>
      <c r="S14" s="1647">
        <v>83715</v>
      </c>
      <c r="T14" s="1647">
        <v>82443</v>
      </c>
      <c r="U14" s="1647">
        <v>79687</v>
      </c>
      <c r="V14" s="1647">
        <v>78203</v>
      </c>
      <c r="W14" s="1647">
        <v>76295</v>
      </c>
      <c r="X14" s="1647">
        <v>74175</v>
      </c>
      <c r="Y14" s="1647">
        <v>73327</v>
      </c>
      <c r="Z14" s="1647">
        <v>71419</v>
      </c>
      <c r="AA14" s="1647">
        <v>70359</v>
      </c>
      <c r="AB14" s="1647">
        <v>68875</v>
      </c>
      <c r="AC14" s="1648"/>
    </row>
    <row r="15" spans="1:29" ht="13.5" customHeight="1">
      <c r="A15" s="1430"/>
      <c r="B15" s="1431"/>
      <c r="C15" s="1644"/>
      <c r="D15" s="1433"/>
      <c r="E15" s="1437"/>
      <c r="F15" s="1438"/>
      <c r="G15" s="1438"/>
      <c r="H15" s="1438"/>
      <c r="I15" s="1438"/>
      <c r="J15" s="1438"/>
      <c r="K15" s="1438"/>
      <c r="L15" s="1438"/>
      <c r="M15" s="1438"/>
      <c r="N15" s="1438"/>
      <c r="O15" s="1438"/>
      <c r="P15" s="1438"/>
      <c r="Q15" s="1438"/>
      <c r="R15" s="1438"/>
      <c r="S15" s="1438"/>
      <c r="T15" s="1438"/>
      <c r="U15" s="1438"/>
      <c r="V15" s="1438"/>
      <c r="W15" s="1438"/>
      <c r="X15" s="1438"/>
      <c r="Y15" s="1438"/>
      <c r="Z15" s="1438"/>
      <c r="AA15" s="1438"/>
      <c r="AB15" s="1615"/>
      <c r="AC15" s="1616"/>
    </row>
    <row r="16" spans="1:29" ht="13.5" customHeight="1">
      <c r="A16" s="1629" t="s">
        <v>378</v>
      </c>
      <c r="B16" s="1618"/>
      <c r="C16" s="1618"/>
      <c r="D16" s="1618"/>
      <c r="E16" s="1618"/>
      <c r="F16" s="1618"/>
      <c r="G16" s="1618"/>
      <c r="H16" s="1618"/>
      <c r="I16" s="1618"/>
      <c r="J16" s="1618"/>
      <c r="K16" s="1618"/>
      <c r="L16" s="1618"/>
      <c r="M16" s="1618"/>
      <c r="N16" s="1618"/>
      <c r="O16" s="1618"/>
      <c r="P16" s="1618"/>
      <c r="Q16" s="1618"/>
      <c r="R16" s="1618"/>
      <c r="S16" s="1618"/>
      <c r="T16" s="1618"/>
      <c r="U16" s="1618"/>
      <c r="V16" s="1618"/>
      <c r="W16" s="1618"/>
      <c r="X16" s="1618"/>
      <c r="Y16" s="1618"/>
      <c r="Z16" s="1618"/>
      <c r="AA16" s="1618"/>
      <c r="AB16" s="1618"/>
      <c r="AC16" s="1619"/>
    </row>
    <row r="17" spans="1:29" ht="13.5" customHeight="1">
      <c r="A17" s="1626" t="s">
        <v>933</v>
      </c>
      <c r="B17" s="1627"/>
      <c r="C17" s="1628"/>
      <c r="D17" s="1621"/>
      <c r="E17" s="1622"/>
      <c r="F17" s="1623"/>
      <c r="G17" s="1623"/>
      <c r="H17" s="1623"/>
      <c r="I17" s="1623"/>
      <c r="J17" s="1623"/>
      <c r="K17" s="1623"/>
      <c r="L17" s="1623"/>
      <c r="M17" s="1623"/>
      <c r="N17" s="1623"/>
      <c r="O17" s="1623"/>
      <c r="P17" s="1623"/>
      <c r="Q17" s="1623"/>
      <c r="R17" s="1623"/>
      <c r="S17" s="1623"/>
      <c r="T17" s="1623"/>
      <c r="U17" s="1623"/>
      <c r="V17" s="1623"/>
      <c r="W17" s="1623"/>
      <c r="X17" s="1623"/>
      <c r="Y17" s="1623"/>
      <c r="Z17" s="1623"/>
      <c r="AA17" s="1623"/>
      <c r="AB17" s="1624"/>
      <c r="AC17" s="1625"/>
    </row>
    <row r="18" spans="1:29" ht="13.5" customHeight="1">
      <c r="A18" s="1327">
        <v>2</v>
      </c>
      <c r="B18" s="1326">
        <v>201</v>
      </c>
      <c r="C18" s="1612" t="s">
        <v>332</v>
      </c>
      <c r="D18" s="1324">
        <v>121</v>
      </c>
      <c r="E18" s="1314">
        <v>20812</v>
      </c>
      <c r="F18" s="1313">
        <v>19481</v>
      </c>
      <c r="G18" s="1313">
        <v>18271</v>
      </c>
      <c r="H18" s="1313">
        <v>17182</v>
      </c>
      <c r="I18" s="1313">
        <v>16577</v>
      </c>
      <c r="J18" s="1313">
        <v>18513</v>
      </c>
      <c r="K18" s="1313">
        <v>21780</v>
      </c>
      <c r="L18" s="1313">
        <v>24926</v>
      </c>
      <c r="M18" s="1313">
        <v>26257</v>
      </c>
      <c r="N18" s="1313">
        <v>28193</v>
      </c>
      <c r="O18" s="1313">
        <v>28556</v>
      </c>
      <c r="P18" s="1313">
        <v>28193</v>
      </c>
      <c r="Q18" s="1313">
        <v>28314</v>
      </c>
      <c r="R18" s="1313">
        <v>28072</v>
      </c>
      <c r="S18" s="1313">
        <v>28314</v>
      </c>
      <c r="T18" s="1313">
        <v>27346</v>
      </c>
      <c r="U18" s="1313">
        <v>27346</v>
      </c>
      <c r="V18" s="1313">
        <v>26983</v>
      </c>
      <c r="W18" s="1313">
        <v>25894</v>
      </c>
      <c r="X18" s="1313">
        <v>25289</v>
      </c>
      <c r="Y18" s="1313">
        <v>24684</v>
      </c>
      <c r="Z18" s="1313">
        <v>24200</v>
      </c>
      <c r="AA18" s="1313">
        <v>22990</v>
      </c>
      <c r="AB18" s="1591">
        <v>21780</v>
      </c>
      <c r="AC18" s="1590"/>
    </row>
    <row r="19" spans="1:29" ht="13.5" customHeight="1">
      <c r="A19" s="1430">
        <v>2</v>
      </c>
      <c r="B19" s="1431">
        <v>202</v>
      </c>
      <c r="C19" s="1614" t="s">
        <v>547</v>
      </c>
      <c r="D19" s="1433">
        <v>91</v>
      </c>
      <c r="E19" s="1437">
        <v>15652</v>
      </c>
      <c r="F19" s="1438">
        <v>14651</v>
      </c>
      <c r="G19" s="1438">
        <v>13741</v>
      </c>
      <c r="H19" s="1438">
        <v>12922</v>
      </c>
      <c r="I19" s="1438">
        <v>12467</v>
      </c>
      <c r="J19" s="1438">
        <v>13923</v>
      </c>
      <c r="K19" s="1438">
        <v>16380</v>
      </c>
      <c r="L19" s="1438">
        <v>18746</v>
      </c>
      <c r="M19" s="1438">
        <v>19747</v>
      </c>
      <c r="N19" s="1438">
        <v>21203</v>
      </c>
      <c r="O19" s="1438">
        <v>21476</v>
      </c>
      <c r="P19" s="1438">
        <v>21203</v>
      </c>
      <c r="Q19" s="1438">
        <v>21294</v>
      </c>
      <c r="R19" s="1438">
        <v>21112</v>
      </c>
      <c r="S19" s="1438">
        <v>21294</v>
      </c>
      <c r="T19" s="1438">
        <v>20566</v>
      </c>
      <c r="U19" s="1438">
        <v>20566</v>
      </c>
      <c r="V19" s="1438">
        <v>20293</v>
      </c>
      <c r="W19" s="1438">
        <v>19474</v>
      </c>
      <c r="X19" s="1438">
        <v>19019</v>
      </c>
      <c r="Y19" s="1438">
        <v>18564</v>
      </c>
      <c r="Z19" s="1438">
        <v>18200</v>
      </c>
      <c r="AA19" s="1438">
        <v>17290</v>
      </c>
      <c r="AB19" s="1615">
        <v>16380</v>
      </c>
      <c r="AC19" s="1616"/>
    </row>
    <row r="20" spans="1:29" ht="13.5" customHeight="1">
      <c r="A20" s="1631"/>
      <c r="B20" s="1632"/>
      <c r="C20" s="1633" t="s">
        <v>934</v>
      </c>
      <c r="D20" s="1634"/>
      <c r="E20" s="1635">
        <v>2943</v>
      </c>
      <c r="F20" s="1636">
        <v>2943</v>
      </c>
      <c r="G20" s="1636">
        <v>2943</v>
      </c>
      <c r="H20" s="1636">
        <v>2943</v>
      </c>
      <c r="I20" s="1636">
        <v>2943</v>
      </c>
      <c r="J20" s="1636">
        <v>2943</v>
      </c>
      <c r="K20" s="1636">
        <v>2943</v>
      </c>
      <c r="L20" s="1636">
        <v>2943</v>
      </c>
      <c r="M20" s="1636">
        <v>2943</v>
      </c>
      <c r="N20" s="1636">
        <v>2943</v>
      </c>
      <c r="O20" s="1636">
        <v>2943</v>
      </c>
      <c r="P20" s="1636">
        <v>2943</v>
      </c>
      <c r="Q20" s="1636">
        <v>2943</v>
      </c>
      <c r="R20" s="1636">
        <v>2943</v>
      </c>
      <c r="S20" s="1636">
        <v>2943</v>
      </c>
      <c r="T20" s="1636">
        <v>2943</v>
      </c>
      <c r="U20" s="1636">
        <v>2943</v>
      </c>
      <c r="V20" s="1636">
        <v>2943</v>
      </c>
      <c r="W20" s="1636">
        <v>2943</v>
      </c>
      <c r="X20" s="1636">
        <v>2943</v>
      </c>
      <c r="Y20" s="1636">
        <v>2943</v>
      </c>
      <c r="Z20" s="1636">
        <v>2943</v>
      </c>
      <c r="AA20" s="1636">
        <v>2943</v>
      </c>
      <c r="AB20" s="1636">
        <v>2943</v>
      </c>
      <c r="AC20" s="1637"/>
    </row>
    <row r="21" spans="1:29" ht="13.5" customHeight="1" thickBot="1">
      <c r="A21" s="1631"/>
      <c r="B21" s="1632"/>
      <c r="C21" s="1633" t="s">
        <v>935</v>
      </c>
      <c r="D21" s="1634"/>
      <c r="E21" s="1635">
        <v>19504</v>
      </c>
      <c r="F21" s="1636">
        <v>19504</v>
      </c>
      <c r="G21" s="1636">
        <v>19504</v>
      </c>
      <c r="H21" s="1636">
        <v>19504</v>
      </c>
      <c r="I21" s="1636">
        <v>19504</v>
      </c>
      <c r="J21" s="1636">
        <v>19504</v>
      </c>
      <c r="K21" s="1636">
        <v>19504</v>
      </c>
      <c r="L21" s="1636">
        <v>19504</v>
      </c>
      <c r="M21" s="1636">
        <v>19504</v>
      </c>
      <c r="N21" s="1636">
        <v>19504</v>
      </c>
      <c r="O21" s="1636">
        <v>19504</v>
      </c>
      <c r="P21" s="1636">
        <v>19504</v>
      </c>
      <c r="Q21" s="1636">
        <v>19504</v>
      </c>
      <c r="R21" s="1636">
        <v>19504</v>
      </c>
      <c r="S21" s="1636">
        <v>19504</v>
      </c>
      <c r="T21" s="1636">
        <v>19504</v>
      </c>
      <c r="U21" s="1636">
        <v>19504</v>
      </c>
      <c r="V21" s="1636">
        <v>19504</v>
      </c>
      <c r="W21" s="1636">
        <v>19504</v>
      </c>
      <c r="X21" s="1636">
        <v>19504</v>
      </c>
      <c r="Y21" s="1636">
        <v>19504</v>
      </c>
      <c r="Z21" s="1636">
        <v>19504</v>
      </c>
      <c r="AA21" s="1636">
        <v>19504</v>
      </c>
      <c r="AB21" s="1636">
        <v>19504</v>
      </c>
      <c r="AC21" s="1637"/>
    </row>
    <row r="22" spans="1:29" ht="13.5" customHeight="1" thickTop="1">
      <c r="A22" s="1642" t="s">
        <v>936</v>
      </c>
      <c r="B22" s="1585"/>
      <c r="C22" s="1586"/>
      <c r="D22" s="1643">
        <v>212</v>
      </c>
      <c r="E22" s="1639">
        <v>58911</v>
      </c>
      <c r="F22" s="1640">
        <v>56579</v>
      </c>
      <c r="G22" s="1640">
        <v>54459</v>
      </c>
      <c r="H22" s="1640">
        <v>52551</v>
      </c>
      <c r="I22" s="1640">
        <v>51491</v>
      </c>
      <c r="J22" s="1640">
        <v>54883</v>
      </c>
      <c r="K22" s="1640">
        <v>60607</v>
      </c>
      <c r="L22" s="1640">
        <v>66119</v>
      </c>
      <c r="M22" s="1640">
        <v>68451</v>
      </c>
      <c r="N22" s="1640">
        <v>71843</v>
      </c>
      <c r="O22" s="1640">
        <v>72479</v>
      </c>
      <c r="P22" s="1640">
        <v>71843</v>
      </c>
      <c r="Q22" s="1640">
        <v>72055</v>
      </c>
      <c r="R22" s="1640">
        <v>71631</v>
      </c>
      <c r="S22" s="1640">
        <v>72055</v>
      </c>
      <c r="T22" s="1640">
        <v>70359</v>
      </c>
      <c r="U22" s="1640">
        <v>70359</v>
      </c>
      <c r="V22" s="1640">
        <v>69723</v>
      </c>
      <c r="W22" s="1640">
        <v>67815</v>
      </c>
      <c r="X22" s="1640">
        <v>66755</v>
      </c>
      <c r="Y22" s="1640">
        <v>65695</v>
      </c>
      <c r="Z22" s="1640">
        <v>64847</v>
      </c>
      <c r="AA22" s="1640">
        <v>62727</v>
      </c>
      <c r="AB22" s="1640">
        <v>60607</v>
      </c>
      <c r="AC22" s="1641"/>
    </row>
    <row r="23" spans="1:29" ht="13.5" customHeight="1" thickBot="1">
      <c r="A23" s="1430"/>
      <c r="B23" s="1431"/>
      <c r="C23" s="1644"/>
      <c r="D23" s="1433"/>
      <c r="E23" s="1437"/>
      <c r="F23" s="1438"/>
      <c r="G23" s="1438"/>
      <c r="H23" s="1438"/>
      <c r="I23" s="1438"/>
      <c r="J23" s="1438"/>
      <c r="K23" s="1438"/>
      <c r="L23" s="1438"/>
      <c r="M23" s="1438"/>
      <c r="N23" s="1438"/>
      <c r="O23" s="1438"/>
      <c r="P23" s="1438"/>
      <c r="Q23" s="1438"/>
      <c r="R23" s="1438"/>
      <c r="S23" s="1438"/>
      <c r="T23" s="1438"/>
      <c r="U23" s="1438"/>
      <c r="V23" s="1438"/>
      <c r="W23" s="1438"/>
      <c r="X23" s="1438"/>
      <c r="Y23" s="1438"/>
      <c r="Z23" s="1438"/>
      <c r="AA23" s="1438"/>
      <c r="AB23" s="1615"/>
      <c r="AC23" s="1616"/>
    </row>
    <row r="24" spans="1:29" ht="13.5" customHeight="1" thickTop="1">
      <c r="A24" s="1655" t="s">
        <v>938</v>
      </c>
      <c r="B24" s="1656"/>
      <c r="C24" s="1656"/>
      <c r="D24" s="1651">
        <v>212</v>
      </c>
      <c r="E24" s="1652">
        <v>58911</v>
      </c>
      <c r="F24" s="1653">
        <v>56579</v>
      </c>
      <c r="G24" s="1653">
        <v>54459</v>
      </c>
      <c r="H24" s="1653">
        <v>52551</v>
      </c>
      <c r="I24" s="1653">
        <v>51491</v>
      </c>
      <c r="J24" s="1653">
        <v>54883</v>
      </c>
      <c r="K24" s="1653">
        <v>60607</v>
      </c>
      <c r="L24" s="1653">
        <v>66119</v>
      </c>
      <c r="M24" s="1653">
        <v>68451</v>
      </c>
      <c r="N24" s="1653">
        <v>71843</v>
      </c>
      <c r="O24" s="1653">
        <v>72479</v>
      </c>
      <c r="P24" s="1653">
        <v>71843</v>
      </c>
      <c r="Q24" s="1653">
        <v>72055</v>
      </c>
      <c r="R24" s="1653">
        <v>71631</v>
      </c>
      <c r="S24" s="1653">
        <v>72055</v>
      </c>
      <c r="T24" s="1653">
        <v>70359</v>
      </c>
      <c r="U24" s="1653">
        <v>70359</v>
      </c>
      <c r="V24" s="1653">
        <v>69723</v>
      </c>
      <c r="W24" s="1653">
        <v>67815</v>
      </c>
      <c r="X24" s="1653">
        <v>66755</v>
      </c>
      <c r="Y24" s="1653">
        <v>65695</v>
      </c>
      <c r="Z24" s="1653">
        <v>64847</v>
      </c>
      <c r="AA24" s="1653">
        <v>62727</v>
      </c>
      <c r="AB24" s="1653">
        <v>60607</v>
      </c>
      <c r="AC24" s="1654"/>
    </row>
    <row r="25" spans="1:29" ht="13.5" customHeight="1">
      <c r="A25" s="1430"/>
      <c r="B25" s="1431"/>
      <c r="C25" s="1644"/>
      <c r="D25" s="1433"/>
      <c r="E25" s="1437"/>
      <c r="F25" s="1438"/>
      <c r="G25" s="1438"/>
      <c r="H25" s="1438"/>
      <c r="I25" s="1438"/>
      <c r="J25" s="1438"/>
      <c r="K25" s="1438"/>
      <c r="L25" s="1438"/>
      <c r="M25" s="1438"/>
      <c r="N25" s="1438"/>
      <c r="O25" s="1438"/>
      <c r="P25" s="1438"/>
      <c r="Q25" s="1438"/>
      <c r="R25" s="1438"/>
      <c r="S25" s="1438"/>
      <c r="T25" s="1438"/>
      <c r="U25" s="1438"/>
      <c r="V25" s="1438"/>
      <c r="W25" s="1438"/>
      <c r="X25" s="1438"/>
      <c r="Y25" s="1438"/>
      <c r="Z25" s="1438"/>
      <c r="AA25" s="1438"/>
      <c r="AB25" s="1615"/>
      <c r="AC25" s="1616"/>
    </row>
    <row r="26" spans="1:29" ht="13.5" customHeight="1">
      <c r="A26" s="1630" t="s">
        <v>379</v>
      </c>
      <c r="B26" s="1618"/>
      <c r="C26" s="1618"/>
      <c r="D26" s="1618"/>
      <c r="E26" s="1618"/>
      <c r="F26" s="1618"/>
      <c r="G26" s="1618"/>
      <c r="H26" s="1618"/>
      <c r="I26" s="1618"/>
      <c r="J26" s="1618"/>
      <c r="K26" s="1618"/>
      <c r="L26" s="1618"/>
      <c r="M26" s="1618"/>
      <c r="N26" s="1618"/>
      <c r="O26" s="1618"/>
      <c r="P26" s="1618"/>
      <c r="Q26" s="1618"/>
      <c r="R26" s="1618"/>
      <c r="S26" s="1618"/>
      <c r="T26" s="1618"/>
      <c r="U26" s="1618"/>
      <c r="V26" s="1618"/>
      <c r="W26" s="1618"/>
      <c r="X26" s="1618"/>
      <c r="Y26" s="1618"/>
      <c r="Z26" s="1618"/>
      <c r="AA26" s="1618"/>
      <c r="AB26" s="1618"/>
      <c r="AC26" s="1619"/>
    </row>
    <row r="27" spans="1:29" ht="13.5" customHeight="1">
      <c r="A27" s="1626" t="s">
        <v>933</v>
      </c>
      <c r="B27" s="1627"/>
      <c r="C27" s="1628"/>
      <c r="D27" s="1621"/>
      <c r="E27" s="1622"/>
      <c r="F27" s="1623"/>
      <c r="G27" s="1623"/>
      <c r="H27" s="1623"/>
      <c r="I27" s="1623"/>
      <c r="J27" s="1623"/>
      <c r="K27" s="1623"/>
      <c r="L27" s="1623"/>
      <c r="M27" s="1623"/>
      <c r="N27" s="1623"/>
      <c r="O27" s="1623"/>
      <c r="P27" s="1623"/>
      <c r="Q27" s="1623"/>
      <c r="R27" s="1623"/>
      <c r="S27" s="1623"/>
      <c r="T27" s="1623"/>
      <c r="U27" s="1623"/>
      <c r="V27" s="1623"/>
      <c r="W27" s="1623"/>
      <c r="X27" s="1623"/>
      <c r="Y27" s="1623"/>
      <c r="Z27" s="1623"/>
      <c r="AA27" s="1623"/>
      <c r="AB27" s="1624"/>
      <c r="AC27" s="1625"/>
    </row>
    <row r="28" spans="1:29" ht="13.5" customHeight="1">
      <c r="A28" s="1327">
        <v>2</v>
      </c>
      <c r="B28" s="1326">
        <v>201</v>
      </c>
      <c r="C28" s="1612" t="s">
        <v>332</v>
      </c>
      <c r="D28" s="1324">
        <v>121</v>
      </c>
      <c r="E28" s="1314">
        <v>3751</v>
      </c>
      <c r="F28" s="1313">
        <v>2904</v>
      </c>
      <c r="G28" s="1313">
        <v>2057</v>
      </c>
      <c r="H28" s="1313">
        <v>1210</v>
      </c>
      <c r="I28" s="1313">
        <v>363</v>
      </c>
      <c r="J28" s="1313">
        <v>0</v>
      </c>
      <c r="K28" s="1313">
        <v>1936</v>
      </c>
      <c r="L28" s="1313">
        <v>4719</v>
      </c>
      <c r="M28" s="1313">
        <v>6897</v>
      </c>
      <c r="N28" s="1313">
        <v>7502</v>
      </c>
      <c r="O28" s="1313">
        <v>7502</v>
      </c>
      <c r="P28" s="1313">
        <v>8349</v>
      </c>
      <c r="Q28" s="1313">
        <v>8228</v>
      </c>
      <c r="R28" s="1313">
        <v>9317</v>
      </c>
      <c r="S28" s="1313">
        <v>9680</v>
      </c>
      <c r="T28" s="1313">
        <v>7986</v>
      </c>
      <c r="U28" s="1313">
        <v>8591</v>
      </c>
      <c r="V28" s="1313">
        <v>7623</v>
      </c>
      <c r="W28" s="1313">
        <v>7018</v>
      </c>
      <c r="X28" s="1313">
        <v>7018</v>
      </c>
      <c r="Y28" s="1313">
        <v>7139</v>
      </c>
      <c r="Z28" s="1313">
        <v>6534</v>
      </c>
      <c r="AA28" s="1313">
        <v>5808</v>
      </c>
      <c r="AB28" s="1591">
        <v>4840</v>
      </c>
      <c r="AC28" s="1590"/>
    </row>
    <row r="29" spans="1:29" ht="13.5" customHeight="1">
      <c r="A29" s="1430">
        <v>2</v>
      </c>
      <c r="B29" s="1431">
        <v>202</v>
      </c>
      <c r="C29" s="1614" t="s">
        <v>547</v>
      </c>
      <c r="D29" s="1433">
        <v>91</v>
      </c>
      <c r="E29" s="1437">
        <v>2821</v>
      </c>
      <c r="F29" s="1438">
        <v>2184</v>
      </c>
      <c r="G29" s="1438">
        <v>1547</v>
      </c>
      <c r="H29" s="1438">
        <v>910</v>
      </c>
      <c r="I29" s="1438">
        <v>273</v>
      </c>
      <c r="J29" s="1438">
        <v>0</v>
      </c>
      <c r="K29" s="1438">
        <v>1456</v>
      </c>
      <c r="L29" s="1438">
        <v>3549</v>
      </c>
      <c r="M29" s="1438">
        <v>5187</v>
      </c>
      <c r="N29" s="1438">
        <v>5642</v>
      </c>
      <c r="O29" s="1438">
        <v>5642</v>
      </c>
      <c r="P29" s="1438">
        <v>6279</v>
      </c>
      <c r="Q29" s="1438">
        <v>6188</v>
      </c>
      <c r="R29" s="1438">
        <v>7007</v>
      </c>
      <c r="S29" s="1438">
        <v>7280</v>
      </c>
      <c r="T29" s="1438">
        <v>6006</v>
      </c>
      <c r="U29" s="1438">
        <v>6461</v>
      </c>
      <c r="V29" s="1438">
        <v>5733</v>
      </c>
      <c r="W29" s="1438">
        <v>5278</v>
      </c>
      <c r="X29" s="1438">
        <v>5278</v>
      </c>
      <c r="Y29" s="1438">
        <v>5369</v>
      </c>
      <c r="Z29" s="1438">
        <v>4914</v>
      </c>
      <c r="AA29" s="1438">
        <v>4368</v>
      </c>
      <c r="AB29" s="1615">
        <v>3640</v>
      </c>
      <c r="AC29" s="1616"/>
    </row>
    <row r="30" spans="1:29" ht="13.5" customHeight="1">
      <c r="A30" s="1631"/>
      <c r="B30" s="1632"/>
      <c r="C30" s="1633" t="s">
        <v>934</v>
      </c>
      <c r="D30" s="1634"/>
      <c r="E30" s="1635">
        <v>2943</v>
      </c>
      <c r="F30" s="1636">
        <v>2943</v>
      </c>
      <c r="G30" s="1636">
        <v>2943</v>
      </c>
      <c r="H30" s="1636">
        <v>2943</v>
      </c>
      <c r="I30" s="1636">
        <v>2943</v>
      </c>
      <c r="J30" s="1636">
        <v>2943</v>
      </c>
      <c r="K30" s="1636">
        <v>2943</v>
      </c>
      <c r="L30" s="1636">
        <v>2943</v>
      </c>
      <c r="M30" s="1636">
        <v>2943</v>
      </c>
      <c r="N30" s="1636">
        <v>2943</v>
      </c>
      <c r="O30" s="1636">
        <v>2943</v>
      </c>
      <c r="P30" s="1636">
        <v>2943</v>
      </c>
      <c r="Q30" s="1636">
        <v>2943</v>
      </c>
      <c r="R30" s="1636">
        <v>2943</v>
      </c>
      <c r="S30" s="1636">
        <v>2943</v>
      </c>
      <c r="T30" s="1636">
        <v>2943</v>
      </c>
      <c r="U30" s="1636">
        <v>2943</v>
      </c>
      <c r="V30" s="1636">
        <v>2943</v>
      </c>
      <c r="W30" s="1636">
        <v>2943</v>
      </c>
      <c r="X30" s="1636">
        <v>2943</v>
      </c>
      <c r="Y30" s="1636">
        <v>2943</v>
      </c>
      <c r="Z30" s="1636">
        <v>2943</v>
      </c>
      <c r="AA30" s="1636">
        <v>2943</v>
      </c>
      <c r="AB30" s="1636">
        <v>2943</v>
      </c>
      <c r="AC30" s="1637"/>
    </row>
    <row r="31" spans="1:29" ht="13.5" customHeight="1" thickBot="1">
      <c r="A31" s="1631"/>
      <c r="B31" s="1632"/>
      <c r="C31" s="1633" t="s">
        <v>935</v>
      </c>
      <c r="D31" s="1634"/>
      <c r="E31" s="1635">
        <v>19504</v>
      </c>
      <c r="F31" s="1636">
        <v>19504</v>
      </c>
      <c r="G31" s="1636">
        <v>19504</v>
      </c>
      <c r="H31" s="1636">
        <v>19504</v>
      </c>
      <c r="I31" s="1636">
        <v>19504</v>
      </c>
      <c r="J31" s="1636">
        <v>19504</v>
      </c>
      <c r="K31" s="1636">
        <v>19504</v>
      </c>
      <c r="L31" s="1636">
        <v>19504</v>
      </c>
      <c r="M31" s="1636">
        <v>19504</v>
      </c>
      <c r="N31" s="1636">
        <v>19504</v>
      </c>
      <c r="O31" s="1636">
        <v>19504</v>
      </c>
      <c r="P31" s="1636">
        <v>19504</v>
      </c>
      <c r="Q31" s="1636">
        <v>19504</v>
      </c>
      <c r="R31" s="1636">
        <v>19504</v>
      </c>
      <c r="S31" s="1636">
        <v>19504</v>
      </c>
      <c r="T31" s="1636">
        <v>19504</v>
      </c>
      <c r="U31" s="1636">
        <v>19504</v>
      </c>
      <c r="V31" s="1636">
        <v>19504</v>
      </c>
      <c r="W31" s="1636">
        <v>19504</v>
      </c>
      <c r="X31" s="1636">
        <v>19504</v>
      </c>
      <c r="Y31" s="1636">
        <v>19504</v>
      </c>
      <c r="Z31" s="1636">
        <v>19504</v>
      </c>
      <c r="AA31" s="1636">
        <v>19504</v>
      </c>
      <c r="AB31" s="1636">
        <v>19504</v>
      </c>
      <c r="AC31" s="1637"/>
    </row>
    <row r="32" spans="1:29" ht="13.5" customHeight="1" thickTop="1">
      <c r="A32" s="1642" t="s">
        <v>936</v>
      </c>
      <c r="B32" s="1585"/>
      <c r="C32" s="1586"/>
      <c r="D32" s="1643">
        <v>212</v>
      </c>
      <c r="E32" s="1639">
        <v>29019</v>
      </c>
      <c r="F32" s="1640">
        <v>27535</v>
      </c>
      <c r="G32" s="1640">
        <v>26051</v>
      </c>
      <c r="H32" s="1640">
        <v>24567</v>
      </c>
      <c r="I32" s="1640">
        <v>23083</v>
      </c>
      <c r="J32" s="1640">
        <v>22447</v>
      </c>
      <c r="K32" s="1640">
        <v>25839</v>
      </c>
      <c r="L32" s="1640">
        <v>30715</v>
      </c>
      <c r="M32" s="1640">
        <v>34531</v>
      </c>
      <c r="N32" s="1640">
        <v>35591</v>
      </c>
      <c r="O32" s="1640">
        <v>35591</v>
      </c>
      <c r="P32" s="1640">
        <v>37075</v>
      </c>
      <c r="Q32" s="1640">
        <v>36863</v>
      </c>
      <c r="R32" s="1640">
        <v>38771</v>
      </c>
      <c r="S32" s="1640">
        <v>39407</v>
      </c>
      <c r="T32" s="1640">
        <v>36439</v>
      </c>
      <c r="U32" s="1640">
        <v>37499</v>
      </c>
      <c r="V32" s="1640">
        <v>35803</v>
      </c>
      <c r="W32" s="1640">
        <v>34743</v>
      </c>
      <c r="X32" s="1640">
        <v>34743</v>
      </c>
      <c r="Y32" s="1640">
        <v>34955</v>
      </c>
      <c r="Z32" s="1640">
        <v>33895</v>
      </c>
      <c r="AA32" s="1640">
        <v>32623</v>
      </c>
      <c r="AB32" s="1640">
        <v>30927</v>
      </c>
      <c r="AC32" s="1641"/>
    </row>
    <row r="33" spans="1:29" ht="13.5" customHeight="1" thickBot="1">
      <c r="A33" s="1430"/>
      <c r="B33" s="1431"/>
      <c r="C33" s="1644"/>
      <c r="D33" s="1433"/>
      <c r="E33" s="1437"/>
      <c r="F33" s="1438"/>
      <c r="G33" s="1438"/>
      <c r="H33" s="1438"/>
      <c r="I33" s="1438"/>
      <c r="J33" s="1438"/>
      <c r="K33" s="1438"/>
      <c r="L33" s="1438"/>
      <c r="M33" s="1438"/>
      <c r="N33" s="1438"/>
      <c r="O33" s="1438"/>
      <c r="P33" s="1438"/>
      <c r="Q33" s="1438"/>
      <c r="R33" s="1438"/>
      <c r="S33" s="1438"/>
      <c r="T33" s="1438"/>
      <c r="U33" s="1438"/>
      <c r="V33" s="1438"/>
      <c r="W33" s="1438"/>
      <c r="X33" s="1438"/>
      <c r="Y33" s="1438"/>
      <c r="Z33" s="1438"/>
      <c r="AA33" s="1438"/>
      <c r="AB33" s="1615"/>
      <c r="AC33" s="1616"/>
    </row>
    <row r="34" spans="1:29" ht="13.5" customHeight="1" thickTop="1">
      <c r="A34" s="1661" t="s">
        <v>939</v>
      </c>
      <c r="B34" s="1662"/>
      <c r="C34" s="1662"/>
      <c r="D34" s="1657">
        <v>212</v>
      </c>
      <c r="E34" s="1658">
        <v>29019</v>
      </c>
      <c r="F34" s="1659">
        <v>27535</v>
      </c>
      <c r="G34" s="1659">
        <v>26051</v>
      </c>
      <c r="H34" s="1659">
        <v>24567</v>
      </c>
      <c r="I34" s="1659">
        <v>23083</v>
      </c>
      <c r="J34" s="1659">
        <v>22447</v>
      </c>
      <c r="K34" s="1659">
        <v>25839</v>
      </c>
      <c r="L34" s="1659">
        <v>30715</v>
      </c>
      <c r="M34" s="1659">
        <v>34531</v>
      </c>
      <c r="N34" s="1659">
        <v>35591</v>
      </c>
      <c r="O34" s="1659">
        <v>35591</v>
      </c>
      <c r="P34" s="1659">
        <v>37075</v>
      </c>
      <c r="Q34" s="1659">
        <v>36863</v>
      </c>
      <c r="R34" s="1659">
        <v>38771</v>
      </c>
      <c r="S34" s="1659">
        <v>39407</v>
      </c>
      <c r="T34" s="1659">
        <v>36439</v>
      </c>
      <c r="U34" s="1659">
        <v>37499</v>
      </c>
      <c r="V34" s="1659">
        <v>35803</v>
      </c>
      <c r="W34" s="1659">
        <v>34743</v>
      </c>
      <c r="X34" s="1659">
        <v>34743</v>
      </c>
      <c r="Y34" s="1659">
        <v>34955</v>
      </c>
      <c r="Z34" s="1659">
        <v>33895</v>
      </c>
      <c r="AA34" s="1659">
        <v>32623</v>
      </c>
      <c r="AB34" s="1659">
        <v>30927</v>
      </c>
      <c r="AC34" s="1660"/>
    </row>
    <row r="35" spans="1:29" ht="13.5" customHeight="1">
      <c r="A35" s="1327"/>
      <c r="B35" s="1326"/>
      <c r="C35" s="1612"/>
      <c r="D35" s="1324"/>
      <c r="E35" s="1314"/>
      <c r="F35" s="1313"/>
      <c r="G35" s="1313"/>
      <c r="H35" s="1313"/>
      <c r="I35" s="1313"/>
      <c r="J35" s="1313"/>
      <c r="K35" s="1313"/>
      <c r="L35" s="1313"/>
      <c r="M35" s="1313"/>
      <c r="N35" s="1313"/>
      <c r="O35" s="1313"/>
      <c r="P35" s="1313"/>
      <c r="Q35" s="1313"/>
      <c r="R35" s="1313"/>
      <c r="S35" s="1313"/>
      <c r="T35" s="1313"/>
      <c r="U35" s="1313"/>
      <c r="V35" s="1313"/>
      <c r="W35" s="1313"/>
      <c r="X35" s="1313"/>
      <c r="Y35" s="1313"/>
      <c r="Z35" s="1313"/>
      <c r="AA35" s="1313"/>
      <c r="AB35" s="1591"/>
      <c r="AC35" s="1590"/>
    </row>
    <row r="36" spans="1:29" ht="13.5" customHeight="1">
      <c r="A36" s="1327"/>
      <c r="B36" s="1326"/>
      <c r="C36" s="1592"/>
      <c r="D36" s="1324"/>
      <c r="E36" s="1314"/>
      <c r="F36" s="1313"/>
      <c r="G36" s="1313"/>
      <c r="H36" s="1313"/>
      <c r="I36" s="1313"/>
      <c r="J36" s="1313"/>
      <c r="K36" s="1313"/>
      <c r="L36" s="1313"/>
      <c r="M36" s="1313"/>
      <c r="N36" s="1313"/>
      <c r="O36" s="1313"/>
      <c r="P36" s="1313"/>
      <c r="Q36" s="1313"/>
      <c r="R36" s="1313"/>
      <c r="S36" s="1313"/>
      <c r="T36" s="1313"/>
      <c r="U36" s="1313"/>
      <c r="V36" s="1313"/>
      <c r="W36" s="1313"/>
      <c r="X36" s="1313"/>
      <c r="Y36" s="1313"/>
      <c r="Z36" s="1313"/>
      <c r="AA36" s="1313"/>
      <c r="AB36" s="1591"/>
      <c r="AC36" s="1590"/>
    </row>
    <row r="37" spans="1:29" ht="13.5" customHeight="1">
      <c r="A37" s="1327"/>
      <c r="B37" s="1326"/>
      <c r="C37" s="1592"/>
      <c r="D37" s="1324"/>
      <c r="E37" s="1314"/>
      <c r="F37" s="1313"/>
      <c r="G37" s="1313"/>
      <c r="H37" s="1313"/>
      <c r="I37" s="1313"/>
      <c r="J37" s="1313"/>
      <c r="K37" s="1313"/>
      <c r="L37" s="1313"/>
      <c r="M37" s="1313"/>
      <c r="N37" s="1313"/>
      <c r="O37" s="1313"/>
      <c r="P37" s="1313"/>
      <c r="Q37" s="1313"/>
      <c r="R37" s="1313"/>
      <c r="S37" s="1313"/>
      <c r="T37" s="1313"/>
      <c r="U37" s="1313"/>
      <c r="V37" s="1313"/>
      <c r="W37" s="1313"/>
      <c r="X37" s="1313"/>
      <c r="Y37" s="1313"/>
      <c r="Z37" s="1313"/>
      <c r="AA37" s="1313"/>
      <c r="AB37" s="1591"/>
      <c r="AC37" s="1590"/>
    </row>
    <row r="38" spans="1:29" ht="13.5" customHeight="1">
      <c r="A38" s="1327"/>
      <c r="B38" s="1326"/>
      <c r="C38" s="1592"/>
      <c r="D38" s="1324"/>
      <c r="E38" s="1314"/>
      <c r="F38" s="1313"/>
      <c r="G38" s="1313"/>
      <c r="H38" s="1313"/>
      <c r="I38" s="1313"/>
      <c r="J38" s="1313"/>
      <c r="K38" s="1313"/>
      <c r="L38" s="1313"/>
      <c r="M38" s="1313"/>
      <c r="N38" s="1313"/>
      <c r="O38" s="1313"/>
      <c r="P38" s="1313"/>
      <c r="Q38" s="1313"/>
      <c r="R38" s="1313"/>
      <c r="S38" s="1313"/>
      <c r="T38" s="1313"/>
      <c r="U38" s="1313"/>
      <c r="V38" s="1313"/>
      <c r="W38" s="1313"/>
      <c r="X38" s="1313"/>
      <c r="Y38" s="1313"/>
      <c r="Z38" s="1313"/>
      <c r="AA38" s="1313"/>
      <c r="AB38" s="1591"/>
      <c r="AC38" s="1590"/>
    </row>
    <row r="39" spans="1:29" ht="13.5" customHeight="1">
      <c r="A39" s="1327"/>
      <c r="B39" s="1326"/>
      <c r="C39" s="1592"/>
      <c r="D39" s="1324"/>
      <c r="E39" s="1314"/>
      <c r="F39" s="1313"/>
      <c r="G39" s="1313"/>
      <c r="H39" s="1313"/>
      <c r="I39" s="1313"/>
      <c r="J39" s="1313"/>
      <c r="K39" s="1313"/>
      <c r="L39" s="1313"/>
      <c r="M39" s="1313"/>
      <c r="N39" s="1313"/>
      <c r="O39" s="1313"/>
      <c r="P39" s="1313"/>
      <c r="Q39" s="1313"/>
      <c r="R39" s="1313"/>
      <c r="S39" s="1313"/>
      <c r="T39" s="1313"/>
      <c r="U39" s="1313"/>
      <c r="V39" s="1313"/>
      <c r="W39" s="1313"/>
      <c r="X39" s="1313"/>
      <c r="Y39" s="1313"/>
      <c r="Z39" s="1313"/>
      <c r="AA39" s="1313"/>
      <c r="AB39" s="1591"/>
      <c r="AC39" s="1590"/>
    </row>
    <row r="40" spans="1:29" ht="13.5" customHeight="1">
      <c r="A40" s="1327"/>
      <c r="B40" s="1326"/>
      <c r="C40" s="1592"/>
      <c r="D40" s="1324"/>
      <c r="E40" s="1314"/>
      <c r="F40" s="1313"/>
      <c r="G40" s="1313"/>
      <c r="H40" s="1313"/>
      <c r="I40" s="1313"/>
      <c r="J40" s="1313"/>
      <c r="K40" s="1313"/>
      <c r="L40" s="1313"/>
      <c r="M40" s="1313"/>
      <c r="N40" s="1313"/>
      <c r="O40" s="1313"/>
      <c r="P40" s="1313"/>
      <c r="Q40" s="1313"/>
      <c r="R40" s="1313"/>
      <c r="S40" s="1313"/>
      <c r="T40" s="1313"/>
      <c r="U40" s="1313"/>
      <c r="V40" s="1313"/>
      <c r="W40" s="1313"/>
      <c r="X40" s="1313"/>
      <c r="Y40" s="1313"/>
      <c r="Z40" s="1313"/>
      <c r="AA40" s="1313"/>
      <c r="AB40" s="1591"/>
      <c r="AC40" s="1590"/>
    </row>
    <row r="41" spans="1:29" ht="13.5" customHeight="1">
      <c r="A41" s="1327"/>
      <c r="B41" s="1326"/>
      <c r="C41" s="1592"/>
      <c r="D41" s="1324"/>
      <c r="E41" s="1314"/>
      <c r="F41" s="1313"/>
      <c r="G41" s="1313"/>
      <c r="H41" s="1313"/>
      <c r="I41" s="1313"/>
      <c r="J41" s="1313"/>
      <c r="K41" s="1313"/>
      <c r="L41" s="1313"/>
      <c r="M41" s="1313"/>
      <c r="N41" s="1313"/>
      <c r="O41" s="1313"/>
      <c r="P41" s="1313"/>
      <c r="Q41" s="1313"/>
      <c r="R41" s="1313"/>
      <c r="S41" s="1313"/>
      <c r="T41" s="1313"/>
      <c r="U41" s="1313"/>
      <c r="V41" s="1313"/>
      <c r="W41" s="1313"/>
      <c r="X41" s="1313"/>
      <c r="Y41" s="1313"/>
      <c r="Z41" s="1313"/>
      <c r="AA41" s="1313"/>
      <c r="AB41" s="1591"/>
      <c r="AC41" s="1590"/>
    </row>
    <row r="42" spans="1:29" ht="13.5" customHeight="1">
      <c r="A42" s="1327"/>
      <c r="B42" s="1326"/>
      <c r="C42" s="1592"/>
      <c r="D42" s="1324"/>
      <c r="E42" s="1314"/>
      <c r="F42" s="1313"/>
      <c r="G42" s="1313"/>
      <c r="H42" s="1313"/>
      <c r="I42" s="1313"/>
      <c r="J42" s="1313"/>
      <c r="K42" s="1313"/>
      <c r="L42" s="1313"/>
      <c r="M42" s="1313"/>
      <c r="N42" s="1313"/>
      <c r="O42" s="1313"/>
      <c r="P42" s="1313"/>
      <c r="Q42" s="1313"/>
      <c r="R42" s="1313"/>
      <c r="S42" s="1313"/>
      <c r="T42" s="1313"/>
      <c r="U42" s="1313"/>
      <c r="V42" s="1313"/>
      <c r="W42" s="1313"/>
      <c r="X42" s="1313"/>
      <c r="Y42" s="1313"/>
      <c r="Z42" s="1313"/>
      <c r="AA42" s="1313"/>
      <c r="AB42" s="1591"/>
      <c r="AC42" s="1590"/>
    </row>
    <row r="43" spans="1:29" ht="13.5" customHeight="1">
      <c r="A43" s="1327"/>
      <c r="B43" s="1326"/>
      <c r="C43" s="1592"/>
      <c r="D43" s="1324"/>
      <c r="E43" s="1314"/>
      <c r="F43" s="1313"/>
      <c r="G43" s="1313"/>
      <c r="H43" s="1313"/>
      <c r="I43" s="1313"/>
      <c r="J43" s="1313"/>
      <c r="K43" s="1313"/>
      <c r="L43" s="1313"/>
      <c r="M43" s="1313"/>
      <c r="N43" s="1313"/>
      <c r="O43" s="1313"/>
      <c r="P43" s="1313"/>
      <c r="Q43" s="1313"/>
      <c r="R43" s="1313"/>
      <c r="S43" s="1313"/>
      <c r="T43" s="1313"/>
      <c r="U43" s="1313"/>
      <c r="V43" s="1313"/>
      <c r="W43" s="1313"/>
      <c r="X43" s="1313"/>
      <c r="Y43" s="1313"/>
      <c r="Z43" s="1313"/>
      <c r="AA43" s="1313"/>
      <c r="AB43" s="1591"/>
      <c r="AC43" s="1590"/>
    </row>
    <row r="44" spans="1:29" ht="13.5" customHeight="1">
      <c r="A44" s="1327"/>
      <c r="B44" s="1326"/>
      <c r="C44" s="1592"/>
      <c r="D44" s="1324"/>
      <c r="E44" s="1314"/>
      <c r="F44" s="1313"/>
      <c r="G44" s="1313"/>
      <c r="H44" s="1313"/>
      <c r="I44" s="1313"/>
      <c r="J44" s="1313"/>
      <c r="K44" s="1313"/>
      <c r="L44" s="1313"/>
      <c r="M44" s="1313"/>
      <c r="N44" s="1313"/>
      <c r="O44" s="1313"/>
      <c r="P44" s="1313"/>
      <c r="Q44" s="1313"/>
      <c r="R44" s="1313"/>
      <c r="S44" s="1313"/>
      <c r="T44" s="1313"/>
      <c r="U44" s="1313"/>
      <c r="V44" s="1313"/>
      <c r="W44" s="1313"/>
      <c r="X44" s="1313"/>
      <c r="Y44" s="1313"/>
      <c r="Z44" s="1313"/>
      <c r="AA44" s="1313"/>
      <c r="AB44" s="1591"/>
      <c r="AC44" s="1590"/>
    </row>
    <row r="45" spans="1:29" ht="13.5" customHeight="1">
      <c r="A45" s="1327"/>
      <c r="B45" s="1326"/>
      <c r="C45" s="1592"/>
      <c r="D45" s="1324"/>
      <c r="E45" s="1314"/>
      <c r="F45" s="1313"/>
      <c r="G45" s="1313"/>
      <c r="H45" s="1313"/>
      <c r="I45" s="1313"/>
      <c r="J45" s="1313"/>
      <c r="K45" s="1313"/>
      <c r="L45" s="1313"/>
      <c r="M45" s="1313"/>
      <c r="N45" s="1313"/>
      <c r="O45" s="1313"/>
      <c r="P45" s="1313"/>
      <c r="Q45" s="1313"/>
      <c r="R45" s="1313"/>
      <c r="S45" s="1313"/>
      <c r="T45" s="1313"/>
      <c r="U45" s="1313"/>
      <c r="V45" s="1313"/>
      <c r="W45" s="1313"/>
      <c r="X45" s="1313"/>
      <c r="Y45" s="1313"/>
      <c r="Z45" s="1313"/>
      <c r="AA45" s="1313"/>
      <c r="AB45" s="1591"/>
      <c r="AC45" s="1590"/>
    </row>
    <row r="46" spans="1:29" ht="13.5" customHeight="1">
      <c r="A46" s="1327"/>
      <c r="B46" s="1326"/>
      <c r="C46" s="1592"/>
      <c r="D46" s="1324"/>
      <c r="E46" s="1314"/>
      <c r="F46" s="1313"/>
      <c r="G46" s="1313"/>
      <c r="H46" s="1313"/>
      <c r="I46" s="1313"/>
      <c r="J46" s="1313"/>
      <c r="K46" s="1313"/>
      <c r="L46" s="1313"/>
      <c r="M46" s="1313"/>
      <c r="N46" s="1313"/>
      <c r="O46" s="1313"/>
      <c r="P46" s="1313"/>
      <c r="Q46" s="1313"/>
      <c r="R46" s="1313"/>
      <c r="S46" s="1313"/>
      <c r="T46" s="1313"/>
      <c r="U46" s="1313"/>
      <c r="V46" s="1313"/>
      <c r="W46" s="1313"/>
      <c r="X46" s="1313"/>
      <c r="Y46" s="1313"/>
      <c r="Z46" s="1313"/>
      <c r="AA46" s="1313"/>
      <c r="AB46" s="1591"/>
      <c r="AC46" s="1590"/>
    </row>
    <row r="47" spans="1:29" ht="13.5" customHeight="1">
      <c r="A47" s="1327"/>
      <c r="B47" s="1326"/>
      <c r="C47" s="1592"/>
      <c r="D47" s="1324"/>
      <c r="E47" s="1314"/>
      <c r="F47" s="1313"/>
      <c r="G47" s="1313"/>
      <c r="H47" s="1313"/>
      <c r="I47" s="1313"/>
      <c r="J47" s="1313"/>
      <c r="K47" s="1313"/>
      <c r="L47" s="1313"/>
      <c r="M47" s="1313"/>
      <c r="N47" s="1313"/>
      <c r="O47" s="1313"/>
      <c r="P47" s="1313"/>
      <c r="Q47" s="1313"/>
      <c r="R47" s="1313"/>
      <c r="S47" s="1313"/>
      <c r="T47" s="1313"/>
      <c r="U47" s="1313"/>
      <c r="V47" s="1313"/>
      <c r="W47" s="1313"/>
      <c r="X47" s="1313"/>
      <c r="Y47" s="1313"/>
      <c r="Z47" s="1313"/>
      <c r="AA47" s="1313"/>
      <c r="AB47" s="1591"/>
      <c r="AC47" s="1590"/>
    </row>
    <row r="48" spans="1:29" ht="13.5" customHeight="1">
      <c r="A48" s="1327"/>
      <c r="B48" s="1326"/>
      <c r="C48" s="1592"/>
      <c r="D48" s="1324"/>
      <c r="E48" s="1314"/>
      <c r="F48" s="1313"/>
      <c r="G48" s="1313"/>
      <c r="H48" s="1313"/>
      <c r="I48" s="1313"/>
      <c r="J48" s="1313"/>
      <c r="K48" s="1313"/>
      <c r="L48" s="1313"/>
      <c r="M48" s="1313"/>
      <c r="N48" s="1313"/>
      <c r="O48" s="1313"/>
      <c r="P48" s="1313"/>
      <c r="Q48" s="1313"/>
      <c r="R48" s="1313"/>
      <c r="S48" s="1313"/>
      <c r="T48" s="1313"/>
      <c r="U48" s="1313"/>
      <c r="V48" s="1313"/>
      <c r="W48" s="1313"/>
      <c r="X48" s="1313"/>
      <c r="Y48" s="1313"/>
      <c r="Z48" s="1313"/>
      <c r="AA48" s="1313"/>
      <c r="AB48" s="1591"/>
      <c r="AC48" s="1590"/>
    </row>
    <row r="49" spans="1:29" ht="13.5" customHeight="1">
      <c r="A49" s="1327"/>
      <c r="B49" s="1326"/>
      <c r="C49" s="1592"/>
      <c r="D49" s="1324"/>
      <c r="E49" s="1314"/>
      <c r="F49" s="1313"/>
      <c r="G49" s="1313"/>
      <c r="H49" s="1313"/>
      <c r="I49" s="1313"/>
      <c r="J49" s="1313"/>
      <c r="K49" s="1313"/>
      <c r="L49" s="1313"/>
      <c r="M49" s="1313"/>
      <c r="N49" s="1313"/>
      <c r="O49" s="1313"/>
      <c r="P49" s="1313"/>
      <c r="Q49" s="1313"/>
      <c r="R49" s="1313"/>
      <c r="S49" s="1313"/>
      <c r="T49" s="1313"/>
      <c r="U49" s="1313"/>
      <c r="V49" s="1313"/>
      <c r="W49" s="1313"/>
      <c r="X49" s="1313"/>
      <c r="Y49" s="1313"/>
      <c r="Z49" s="1313"/>
      <c r="AA49" s="1313"/>
      <c r="AB49" s="1591"/>
      <c r="AC49" s="1590"/>
    </row>
    <row r="50" spans="1:29" ht="13.5" customHeight="1">
      <c r="A50" s="1327"/>
      <c r="B50" s="1326"/>
      <c r="C50" s="1592"/>
      <c r="D50" s="1324"/>
      <c r="E50" s="1314"/>
      <c r="F50" s="1313"/>
      <c r="G50" s="1313"/>
      <c r="H50" s="1313"/>
      <c r="I50" s="1313"/>
      <c r="J50" s="1313"/>
      <c r="K50" s="1313"/>
      <c r="L50" s="1313"/>
      <c r="M50" s="1313"/>
      <c r="N50" s="1313"/>
      <c r="O50" s="1313"/>
      <c r="P50" s="1313"/>
      <c r="Q50" s="1313"/>
      <c r="R50" s="1313"/>
      <c r="S50" s="1313"/>
      <c r="T50" s="1313"/>
      <c r="U50" s="1313"/>
      <c r="V50" s="1313"/>
      <c r="W50" s="1313"/>
      <c r="X50" s="1313"/>
      <c r="Y50" s="1313"/>
      <c r="Z50" s="1313"/>
      <c r="AA50" s="1313"/>
      <c r="AB50" s="1591"/>
      <c r="AC50" s="1590"/>
    </row>
    <row r="51" spans="1:29" ht="13.5" customHeight="1">
      <c r="A51" s="1327"/>
      <c r="B51" s="1326"/>
      <c r="C51" s="1592"/>
      <c r="D51" s="1324"/>
      <c r="E51" s="1314"/>
      <c r="F51" s="1313"/>
      <c r="G51" s="1313"/>
      <c r="H51" s="1313"/>
      <c r="I51" s="1313"/>
      <c r="J51" s="1313"/>
      <c r="K51" s="1313"/>
      <c r="L51" s="1313"/>
      <c r="M51" s="1313"/>
      <c r="N51" s="1313"/>
      <c r="O51" s="1313"/>
      <c r="P51" s="1313"/>
      <c r="Q51" s="1313"/>
      <c r="R51" s="1313"/>
      <c r="S51" s="1313"/>
      <c r="T51" s="1313"/>
      <c r="U51" s="1313"/>
      <c r="V51" s="1313"/>
      <c r="W51" s="1313"/>
      <c r="X51" s="1313"/>
      <c r="Y51" s="1313"/>
      <c r="Z51" s="1313"/>
      <c r="AA51" s="1313"/>
      <c r="AB51" s="1591"/>
      <c r="AC51" s="1590"/>
    </row>
    <row r="52" spans="1:29" ht="13.5" customHeight="1">
      <c r="A52" s="1327"/>
      <c r="B52" s="1326"/>
      <c r="C52" s="1592"/>
      <c r="D52" s="1324"/>
      <c r="E52" s="1314"/>
      <c r="F52" s="1313"/>
      <c r="G52" s="1313"/>
      <c r="H52" s="1313"/>
      <c r="I52" s="1313"/>
      <c r="J52" s="1313"/>
      <c r="K52" s="1313"/>
      <c r="L52" s="1313"/>
      <c r="M52" s="1313"/>
      <c r="N52" s="1313"/>
      <c r="O52" s="1313"/>
      <c r="P52" s="1313"/>
      <c r="Q52" s="1313"/>
      <c r="R52" s="1313"/>
      <c r="S52" s="1313"/>
      <c r="T52" s="1313"/>
      <c r="U52" s="1313"/>
      <c r="V52" s="1313"/>
      <c r="W52" s="1313"/>
      <c r="X52" s="1313"/>
      <c r="Y52" s="1313"/>
      <c r="Z52" s="1313"/>
      <c r="AA52" s="1313"/>
      <c r="AB52" s="1591"/>
      <c r="AC52" s="1590"/>
    </row>
    <row r="53" spans="1:29" ht="13.5" customHeight="1">
      <c r="A53" s="1327"/>
      <c r="B53" s="1326"/>
      <c r="C53" s="1592"/>
      <c r="D53" s="1324"/>
      <c r="E53" s="1314"/>
      <c r="F53" s="1313"/>
      <c r="G53" s="1313"/>
      <c r="H53" s="1313"/>
      <c r="I53" s="1313"/>
      <c r="J53" s="1313"/>
      <c r="K53" s="1313"/>
      <c r="L53" s="1313"/>
      <c r="M53" s="1313"/>
      <c r="N53" s="1313"/>
      <c r="O53" s="1313"/>
      <c r="P53" s="1313"/>
      <c r="Q53" s="1313"/>
      <c r="R53" s="1313"/>
      <c r="S53" s="1313"/>
      <c r="T53" s="1313"/>
      <c r="U53" s="1313"/>
      <c r="V53" s="1313"/>
      <c r="W53" s="1313"/>
      <c r="X53" s="1313"/>
      <c r="Y53" s="1313"/>
      <c r="Z53" s="1313"/>
      <c r="AA53" s="1313"/>
      <c r="AB53" s="1591"/>
      <c r="AC53" s="1590"/>
    </row>
    <row r="54" spans="1:29" ht="13.5" customHeight="1">
      <c r="A54" s="1327"/>
      <c r="B54" s="1326"/>
      <c r="C54" s="1592"/>
      <c r="D54" s="1324"/>
      <c r="E54" s="1314"/>
      <c r="F54" s="1313"/>
      <c r="G54" s="1313"/>
      <c r="H54" s="1313"/>
      <c r="I54" s="1313"/>
      <c r="J54" s="1313"/>
      <c r="K54" s="1313"/>
      <c r="L54" s="1313"/>
      <c r="M54" s="1313"/>
      <c r="N54" s="1313"/>
      <c r="O54" s="1313"/>
      <c r="P54" s="1313"/>
      <c r="Q54" s="1313"/>
      <c r="R54" s="1313"/>
      <c r="S54" s="1313"/>
      <c r="T54" s="1313"/>
      <c r="U54" s="1313"/>
      <c r="V54" s="1313"/>
      <c r="W54" s="1313"/>
      <c r="X54" s="1313"/>
      <c r="Y54" s="1313"/>
      <c r="Z54" s="1313"/>
      <c r="AA54" s="1313"/>
      <c r="AB54" s="1591"/>
      <c r="AC54" s="1590"/>
    </row>
    <row r="55" spans="1:29" ht="13.5" customHeight="1" thickBot="1">
      <c r="A55" s="1430"/>
      <c r="B55" s="1431"/>
      <c r="C55" s="1614"/>
      <c r="D55" s="1433"/>
      <c r="E55" s="1437"/>
      <c r="F55" s="1438"/>
      <c r="G55" s="1438"/>
      <c r="H55" s="1438"/>
      <c r="I55" s="1438"/>
      <c r="J55" s="1438"/>
      <c r="K55" s="1438"/>
      <c r="L55" s="1438"/>
      <c r="M55" s="1438"/>
      <c r="N55" s="1438"/>
      <c r="O55" s="1438"/>
      <c r="P55" s="1438"/>
      <c r="Q55" s="1438"/>
      <c r="R55" s="1438"/>
      <c r="S55" s="1438"/>
      <c r="T55" s="1438"/>
      <c r="U55" s="1438"/>
      <c r="V55" s="1438"/>
      <c r="W55" s="1438"/>
      <c r="X55" s="1438"/>
      <c r="Y55" s="1438"/>
      <c r="Z55" s="1438"/>
      <c r="AA55" s="1438"/>
      <c r="AB55" s="1615"/>
      <c r="AC55" s="1616"/>
    </row>
    <row r="56" spans="1:29" ht="18.95" customHeight="1" thickTop="1" thickBot="1">
      <c r="A56" s="1663" t="s">
        <v>940</v>
      </c>
      <c r="B56" s="1664"/>
      <c r="C56" s="1665"/>
      <c r="D56" s="1666">
        <v>212</v>
      </c>
      <c r="E56" s="1667">
        <v>67603</v>
      </c>
      <c r="F56" s="1668">
        <v>66543</v>
      </c>
      <c r="G56" s="1668">
        <v>64211</v>
      </c>
      <c r="H56" s="1668">
        <v>62515</v>
      </c>
      <c r="I56" s="1668">
        <v>61879</v>
      </c>
      <c r="J56" s="1668">
        <v>63151</v>
      </c>
      <c r="K56" s="1668">
        <v>68663</v>
      </c>
      <c r="L56" s="1668">
        <v>72479</v>
      </c>
      <c r="M56" s="1668">
        <v>74387</v>
      </c>
      <c r="N56" s="1668">
        <v>77567</v>
      </c>
      <c r="O56" s="1668">
        <v>80535</v>
      </c>
      <c r="P56" s="1668">
        <v>80959</v>
      </c>
      <c r="Q56" s="1668">
        <v>82655</v>
      </c>
      <c r="R56" s="1668">
        <v>82231</v>
      </c>
      <c r="S56" s="1669">
        <v>83715</v>
      </c>
      <c r="T56" s="1668">
        <v>82443</v>
      </c>
      <c r="U56" s="1668">
        <v>79687</v>
      </c>
      <c r="V56" s="1668">
        <v>78203</v>
      </c>
      <c r="W56" s="1668">
        <v>76295</v>
      </c>
      <c r="X56" s="1668">
        <v>74175</v>
      </c>
      <c r="Y56" s="1668">
        <v>73327</v>
      </c>
      <c r="Z56" s="1668">
        <v>71419</v>
      </c>
      <c r="AA56" s="1668">
        <v>70359</v>
      </c>
      <c r="AB56" s="1668">
        <v>68875</v>
      </c>
      <c r="AC56" s="1670"/>
    </row>
    <row r="57" spans="1:29" ht="13.5" customHeight="1" thickTop="1">
      <c r="A57" s="1671" t="s">
        <v>941</v>
      </c>
      <c r="B57" s="1664"/>
      <c r="C57" s="1665"/>
      <c r="D57" s="1672">
        <v>212</v>
      </c>
      <c r="E57" s="1673">
        <v>68</v>
      </c>
      <c r="F57" s="1674">
        <v>67</v>
      </c>
      <c r="G57" s="1674">
        <v>65</v>
      </c>
      <c r="H57" s="1674">
        <v>63</v>
      </c>
      <c r="I57" s="1674">
        <v>62</v>
      </c>
      <c r="J57" s="1674">
        <v>64</v>
      </c>
      <c r="K57" s="1674">
        <v>69</v>
      </c>
      <c r="L57" s="1674">
        <v>73</v>
      </c>
      <c r="M57" s="1674">
        <v>75</v>
      </c>
      <c r="N57" s="1674">
        <v>78</v>
      </c>
      <c r="O57" s="1674">
        <v>81</v>
      </c>
      <c r="P57" s="1674">
        <v>81</v>
      </c>
      <c r="Q57" s="1674">
        <v>83</v>
      </c>
      <c r="R57" s="1674">
        <v>83</v>
      </c>
      <c r="S57" s="1675">
        <v>84</v>
      </c>
      <c r="T57" s="1674">
        <v>83</v>
      </c>
      <c r="U57" s="1674">
        <v>80</v>
      </c>
      <c r="V57" s="1674">
        <v>79</v>
      </c>
      <c r="W57" s="1674">
        <v>77</v>
      </c>
      <c r="X57" s="1674">
        <v>75</v>
      </c>
      <c r="Y57" s="1674">
        <v>74</v>
      </c>
      <c r="Z57" s="1674">
        <v>72</v>
      </c>
      <c r="AA57" s="1674">
        <v>71</v>
      </c>
      <c r="AB57" s="1674">
        <v>69</v>
      </c>
      <c r="AC57" s="1676"/>
    </row>
    <row r="58" spans="1:29" ht="13.5" customHeight="1">
      <c r="A58" s="1677" t="s">
        <v>942</v>
      </c>
      <c r="B58" s="1613"/>
      <c r="C58" s="1678"/>
      <c r="D58" s="1679">
        <v>212</v>
      </c>
      <c r="E58" s="1680">
        <v>319</v>
      </c>
      <c r="F58" s="1681">
        <v>314</v>
      </c>
      <c r="G58" s="1681">
        <v>303</v>
      </c>
      <c r="H58" s="1681">
        <v>295</v>
      </c>
      <c r="I58" s="1681">
        <v>292</v>
      </c>
      <c r="J58" s="1681">
        <v>298</v>
      </c>
      <c r="K58" s="1681">
        <v>324</v>
      </c>
      <c r="L58" s="1681">
        <v>342</v>
      </c>
      <c r="M58" s="1681">
        <v>351</v>
      </c>
      <c r="N58" s="1681">
        <v>366</v>
      </c>
      <c r="O58" s="1681">
        <v>380</v>
      </c>
      <c r="P58" s="1681">
        <v>382</v>
      </c>
      <c r="Q58" s="1681">
        <v>390</v>
      </c>
      <c r="R58" s="1681">
        <v>388</v>
      </c>
      <c r="S58" s="1683">
        <v>395</v>
      </c>
      <c r="T58" s="1681">
        <v>389</v>
      </c>
      <c r="U58" s="1681">
        <v>376</v>
      </c>
      <c r="V58" s="1681">
        <v>369</v>
      </c>
      <c r="W58" s="1681">
        <v>360</v>
      </c>
      <c r="X58" s="1681">
        <v>350</v>
      </c>
      <c r="Y58" s="1681">
        <v>346</v>
      </c>
      <c r="Z58" s="1681">
        <v>337</v>
      </c>
      <c r="AA58" s="1681">
        <v>332</v>
      </c>
      <c r="AB58" s="1681">
        <v>325</v>
      </c>
      <c r="AC58" s="1682"/>
    </row>
    <row r="65" spans="3:26" s="1297" customFormat="1" ht="13.5" customHeight="1">
      <c r="C65" s="1304"/>
      <c r="D65" s="1304"/>
      <c r="E65" s="1304"/>
      <c r="G65" s="1301"/>
      <c r="K65" s="1301"/>
      <c r="N65" s="1301"/>
      <c r="Q65" s="1301"/>
      <c r="S65" s="1301"/>
      <c r="T65" s="1301"/>
      <c r="W65" s="1301"/>
      <c r="Z65" s="1301"/>
    </row>
    <row r="66" spans="3:26" s="1297" customFormat="1" ht="13.5" customHeight="1">
      <c r="C66" s="1304"/>
      <c r="D66" s="1304"/>
      <c r="E66" s="1304"/>
      <c r="F66" s="1305"/>
      <c r="G66" s="1301"/>
      <c r="J66" s="1305"/>
      <c r="K66" s="1301"/>
      <c r="N66" s="1301"/>
      <c r="P66" s="1305"/>
      <c r="Q66" s="1301"/>
      <c r="S66" s="1301"/>
      <c r="T66" s="1301"/>
      <c r="V66" s="1305"/>
      <c r="W66" s="1301"/>
      <c r="Z66" s="1301"/>
    </row>
    <row r="67" spans="3:26" s="1297" customFormat="1" ht="13.5" customHeight="1">
      <c r="C67" s="1304"/>
      <c r="D67" s="1304"/>
      <c r="E67" s="1304"/>
      <c r="F67" s="1303"/>
      <c r="G67" s="1301"/>
      <c r="J67" s="1303"/>
      <c r="K67" s="1301"/>
      <c r="N67" s="1301"/>
      <c r="P67" s="1303"/>
      <c r="Q67" s="1301"/>
      <c r="S67" s="1301"/>
      <c r="T67" s="1301"/>
      <c r="V67" s="1303"/>
      <c r="W67" s="1301"/>
      <c r="Z67" s="1301"/>
    </row>
    <row r="68" spans="3:26" s="1297" customFormat="1" ht="13.5" customHeight="1">
      <c r="C68" s="1302"/>
      <c r="D68" s="1302"/>
      <c r="E68" s="1302"/>
      <c r="F68" s="1301"/>
      <c r="J68" s="1301"/>
      <c r="P68" s="1301"/>
      <c r="V68" s="1301"/>
    </row>
  </sheetData>
  <mergeCells count="27">
    <mergeCell ref="A58:C58"/>
    <mergeCell ref="A32:C32"/>
    <mergeCell ref="A14:C14"/>
    <mergeCell ref="A24:C24"/>
    <mergeCell ref="A34:C34"/>
    <mergeCell ref="A56:C56"/>
    <mergeCell ref="A57:C57"/>
    <mergeCell ref="C30:D30"/>
    <mergeCell ref="C11:D11"/>
    <mergeCell ref="C21:D21"/>
    <mergeCell ref="C31:D31"/>
    <mergeCell ref="A12:C12"/>
    <mergeCell ref="A22:C22"/>
    <mergeCell ref="A6:AC6"/>
    <mergeCell ref="A16:AC16"/>
    <mergeCell ref="A26:AC26"/>
    <mergeCell ref="A7:C7"/>
    <mergeCell ref="A17:C17"/>
    <mergeCell ref="A27:C27"/>
    <mergeCell ref="C10:D10"/>
    <mergeCell ref="C20:D20"/>
    <mergeCell ref="A4:A5"/>
    <mergeCell ref="B4:B5"/>
    <mergeCell ref="C4:C5"/>
    <mergeCell ref="D4:D5"/>
    <mergeCell ref="E4:AB4"/>
    <mergeCell ref="AC4:AC5"/>
  </mergeCells>
  <phoneticPr fontId="4"/>
  <pageMargins left="0.39370078740157483" right="0.39370078740157483" top="0.78740157480314965" bottom="0.55118110236220474" header="0.59055118110236227" footer="0.31496062992125984"/>
  <pageSetup paperSize="9" scale="54" fitToHeight="0" orientation="landscape" horizontalDpi="1200" verticalDpi="1200" r:id="rId1"/>
  <headerFooter scaleWithDoc="0" alignWithMargins="0">
    <oddFooter>&amp;C&amp;"ＭＳ Ｐゴシック,標準"&amp;9( &amp;P / &amp;N )</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AC68"/>
  <sheetViews>
    <sheetView showGridLines="0" zoomScale="80" zoomScaleNormal="80" workbookViewId="0">
      <pane xSplit="4" ySplit="5" topLeftCell="E6" activePane="bottomRight" state="frozenSplit"/>
      <selection pane="topRight" activeCell="P1" sqref="P1"/>
      <selection pane="bottomLeft" activeCell="A17" sqref="A17"/>
      <selection pane="bottomRight"/>
    </sheetView>
  </sheetViews>
  <sheetFormatPr defaultColWidth="9.140625" defaultRowHeight="13.5" customHeight="1"/>
  <cols>
    <col min="1" max="1" width="5.42578125" style="1297" customWidth="1"/>
    <col min="2" max="2" width="7.5703125" style="1297" customWidth="1"/>
    <col min="3" max="3" width="33.7109375" style="1297" customWidth="1"/>
    <col min="4" max="4" width="10.7109375" style="1297" customWidth="1"/>
    <col min="5" max="28" width="7.7109375" style="1297" customWidth="1"/>
    <col min="29" max="29" width="14.7109375" style="1297" customWidth="1"/>
    <col min="30" max="16384" width="9.140625" style="1293"/>
  </cols>
  <sheetData>
    <row r="1" spans="1:29" s="1601" customFormat="1" ht="30" customHeight="1">
      <c r="A1" s="1609" t="s">
        <v>945</v>
      </c>
      <c r="B1" s="1608"/>
      <c r="C1" s="1607"/>
      <c r="D1" s="1606"/>
      <c r="E1" s="1605"/>
      <c r="F1" s="1605"/>
      <c r="G1" s="1605"/>
      <c r="H1" s="1604"/>
      <c r="I1" s="1604"/>
      <c r="J1" s="1605"/>
      <c r="K1" s="1605"/>
      <c r="L1" s="1604"/>
      <c r="M1" s="1604"/>
      <c r="N1" s="1605"/>
      <c r="O1" s="1604"/>
      <c r="P1" s="1605"/>
      <c r="Q1" s="1605"/>
      <c r="R1" s="1604"/>
      <c r="S1" s="1605"/>
      <c r="T1" s="1605"/>
      <c r="U1" s="1604"/>
      <c r="V1" s="1605"/>
      <c r="W1" s="1605"/>
      <c r="X1" s="1604"/>
      <c r="Y1" s="1604"/>
      <c r="Z1" s="1605"/>
      <c r="AA1" s="1604"/>
      <c r="AB1" s="1603"/>
      <c r="AC1" s="1602"/>
    </row>
    <row r="4" spans="1:29" ht="13.5" customHeight="1">
      <c r="A4" s="1401" t="s">
        <v>363</v>
      </c>
      <c r="B4" s="1400" t="s">
        <v>341</v>
      </c>
      <c r="C4" s="1561" t="s">
        <v>729</v>
      </c>
      <c r="D4" s="1600" t="s">
        <v>944</v>
      </c>
      <c r="E4" s="1599" t="s">
        <v>943</v>
      </c>
      <c r="F4" s="1598"/>
      <c r="G4" s="1598"/>
      <c r="H4" s="1598"/>
      <c r="I4" s="1598"/>
      <c r="J4" s="1598"/>
      <c r="K4" s="1598"/>
      <c r="L4" s="1598"/>
      <c r="M4" s="1598"/>
      <c r="N4" s="1598"/>
      <c r="O4" s="1598"/>
      <c r="P4" s="1598"/>
      <c r="Q4" s="1598"/>
      <c r="R4" s="1598"/>
      <c r="S4" s="1598"/>
      <c r="T4" s="1598"/>
      <c r="U4" s="1598"/>
      <c r="V4" s="1598"/>
      <c r="W4" s="1598"/>
      <c r="X4" s="1598"/>
      <c r="Y4" s="1598"/>
      <c r="Z4" s="1598"/>
      <c r="AA4" s="1598"/>
      <c r="AB4" s="1597"/>
      <c r="AC4" s="1596" t="s">
        <v>843</v>
      </c>
    </row>
    <row r="5" spans="1:29" ht="13.5" customHeight="1">
      <c r="A5" s="1369"/>
      <c r="B5" s="1368"/>
      <c r="C5" s="1554"/>
      <c r="D5" s="1610"/>
      <c r="E5" s="1595">
        <v>1</v>
      </c>
      <c r="F5" s="1594">
        <v>2</v>
      </c>
      <c r="G5" s="1594">
        <v>3</v>
      </c>
      <c r="H5" s="1594">
        <v>4</v>
      </c>
      <c r="I5" s="1594">
        <v>5</v>
      </c>
      <c r="J5" s="1594">
        <v>6</v>
      </c>
      <c r="K5" s="1594">
        <v>7</v>
      </c>
      <c r="L5" s="1594">
        <v>8</v>
      </c>
      <c r="M5" s="1594">
        <v>9</v>
      </c>
      <c r="N5" s="1594">
        <v>10</v>
      </c>
      <c r="O5" s="1594">
        <v>11</v>
      </c>
      <c r="P5" s="1594">
        <v>12</v>
      </c>
      <c r="Q5" s="1594">
        <v>13</v>
      </c>
      <c r="R5" s="1594">
        <v>14</v>
      </c>
      <c r="S5" s="1594">
        <v>15</v>
      </c>
      <c r="T5" s="1594">
        <v>16</v>
      </c>
      <c r="U5" s="1594">
        <v>17</v>
      </c>
      <c r="V5" s="1594">
        <v>18</v>
      </c>
      <c r="W5" s="1594">
        <v>19</v>
      </c>
      <c r="X5" s="1594">
        <v>20</v>
      </c>
      <c r="Y5" s="1594">
        <v>21</v>
      </c>
      <c r="Z5" s="1594">
        <v>22</v>
      </c>
      <c r="AA5" s="1594">
        <v>23</v>
      </c>
      <c r="AB5" s="1593">
        <v>24</v>
      </c>
      <c r="AC5" s="1611"/>
    </row>
    <row r="6" spans="1:29" ht="13.5" customHeight="1">
      <c r="A6" s="1617" t="s">
        <v>375</v>
      </c>
      <c r="B6" s="1618"/>
      <c r="C6" s="1618"/>
      <c r="D6" s="1618"/>
      <c r="E6" s="1618"/>
      <c r="F6" s="1618"/>
      <c r="G6" s="1618"/>
      <c r="H6" s="1618"/>
      <c r="I6" s="1618"/>
      <c r="J6" s="1618"/>
      <c r="K6" s="1618"/>
      <c r="L6" s="1618"/>
      <c r="M6" s="1618"/>
      <c r="N6" s="1618"/>
      <c r="O6" s="1618"/>
      <c r="P6" s="1618"/>
      <c r="Q6" s="1618"/>
      <c r="R6" s="1618"/>
      <c r="S6" s="1618"/>
      <c r="T6" s="1618"/>
      <c r="U6" s="1618"/>
      <c r="V6" s="1618"/>
      <c r="W6" s="1618"/>
      <c r="X6" s="1618"/>
      <c r="Y6" s="1618"/>
      <c r="Z6" s="1618"/>
      <c r="AA6" s="1618"/>
      <c r="AB6" s="1618"/>
      <c r="AC6" s="1619"/>
    </row>
    <row r="7" spans="1:29" ht="13.5" customHeight="1">
      <c r="A7" s="1626" t="s">
        <v>946</v>
      </c>
      <c r="B7" s="1627"/>
      <c r="C7" s="1628"/>
      <c r="D7" s="1621"/>
      <c r="E7" s="1622"/>
      <c r="F7" s="1623"/>
      <c r="G7" s="1623"/>
      <c r="H7" s="1623"/>
      <c r="I7" s="1623"/>
      <c r="J7" s="1623"/>
      <c r="K7" s="1623"/>
      <c r="L7" s="1623"/>
      <c r="M7" s="1623"/>
      <c r="N7" s="1623"/>
      <c r="O7" s="1623"/>
      <c r="P7" s="1623"/>
      <c r="Q7" s="1623"/>
      <c r="R7" s="1623"/>
      <c r="S7" s="1623"/>
      <c r="T7" s="1623"/>
      <c r="U7" s="1623"/>
      <c r="V7" s="1623"/>
      <c r="W7" s="1623"/>
      <c r="X7" s="1623"/>
      <c r="Y7" s="1623"/>
      <c r="Z7" s="1623"/>
      <c r="AA7" s="1623"/>
      <c r="AB7" s="1624"/>
      <c r="AC7" s="1625"/>
    </row>
    <row r="8" spans="1:29" ht="13.5" customHeight="1">
      <c r="A8" s="1327">
        <v>2</v>
      </c>
      <c r="B8" s="1326">
        <v>201</v>
      </c>
      <c r="C8" s="1612" t="s">
        <v>332</v>
      </c>
      <c r="D8" s="1324">
        <v>121</v>
      </c>
      <c r="E8" s="1314">
        <v>71783</v>
      </c>
      <c r="F8" s="1313">
        <v>71758</v>
      </c>
      <c r="G8" s="1313">
        <v>71733</v>
      </c>
      <c r="H8" s="1313">
        <v>71714</v>
      </c>
      <c r="I8" s="1313">
        <v>71693</v>
      </c>
      <c r="J8" s="1313">
        <v>71678</v>
      </c>
      <c r="K8" s="1313">
        <v>71769</v>
      </c>
      <c r="L8" s="1313">
        <v>71966</v>
      </c>
      <c r="M8" s="1313">
        <v>73664</v>
      </c>
      <c r="N8" s="1313">
        <v>73474</v>
      </c>
      <c r="O8" s="1313">
        <v>73625</v>
      </c>
      <c r="P8" s="1313">
        <v>73742</v>
      </c>
      <c r="Q8" s="1313">
        <v>73897</v>
      </c>
      <c r="R8" s="1313">
        <v>73933</v>
      </c>
      <c r="S8" s="1313">
        <v>73965</v>
      </c>
      <c r="T8" s="1313">
        <v>73915</v>
      </c>
      <c r="U8" s="1313">
        <v>73771</v>
      </c>
      <c r="V8" s="1313">
        <v>73655</v>
      </c>
      <c r="W8" s="1313">
        <v>72418</v>
      </c>
      <c r="X8" s="1313">
        <v>72304</v>
      </c>
      <c r="Y8" s="1313">
        <v>72179</v>
      </c>
      <c r="Z8" s="1313">
        <v>72058</v>
      </c>
      <c r="AA8" s="1313">
        <v>71932</v>
      </c>
      <c r="AB8" s="1591">
        <v>71858</v>
      </c>
      <c r="AC8" s="1590"/>
    </row>
    <row r="9" spans="1:29" ht="13.5" customHeight="1">
      <c r="A9" s="1430">
        <v>2</v>
      </c>
      <c r="B9" s="1431">
        <v>202</v>
      </c>
      <c r="C9" s="1614" t="s">
        <v>547</v>
      </c>
      <c r="D9" s="1433">
        <v>91</v>
      </c>
      <c r="E9" s="1437">
        <v>63566</v>
      </c>
      <c r="F9" s="1438">
        <v>63547</v>
      </c>
      <c r="G9" s="1438">
        <v>63528</v>
      </c>
      <c r="H9" s="1438">
        <v>63515</v>
      </c>
      <c r="I9" s="1438">
        <v>63498</v>
      </c>
      <c r="J9" s="1438">
        <v>63487</v>
      </c>
      <c r="K9" s="1438">
        <v>63558</v>
      </c>
      <c r="L9" s="1438">
        <v>63709</v>
      </c>
      <c r="M9" s="1438">
        <v>64989</v>
      </c>
      <c r="N9" s="1438">
        <v>64850</v>
      </c>
      <c r="O9" s="1438">
        <v>64966</v>
      </c>
      <c r="P9" s="1438">
        <v>65054</v>
      </c>
      <c r="Q9" s="1438">
        <v>65174</v>
      </c>
      <c r="R9" s="1438">
        <v>65201</v>
      </c>
      <c r="S9" s="1438">
        <v>65225</v>
      </c>
      <c r="T9" s="1438">
        <v>65185</v>
      </c>
      <c r="U9" s="1438">
        <v>65074</v>
      </c>
      <c r="V9" s="1438">
        <v>64986</v>
      </c>
      <c r="W9" s="1438">
        <v>64050</v>
      </c>
      <c r="X9" s="1438">
        <v>63963</v>
      </c>
      <c r="Y9" s="1438">
        <v>63870</v>
      </c>
      <c r="Z9" s="1438">
        <v>63774</v>
      </c>
      <c r="AA9" s="1438">
        <v>63680</v>
      </c>
      <c r="AB9" s="1615">
        <v>63623</v>
      </c>
      <c r="AC9" s="1616"/>
    </row>
    <row r="10" spans="1:29" ht="13.5" customHeight="1" thickBot="1">
      <c r="A10" s="1631"/>
      <c r="B10" s="1632"/>
      <c r="C10" s="1633" t="s">
        <v>947</v>
      </c>
      <c r="D10" s="1634"/>
      <c r="E10" s="1635">
        <v>-19504</v>
      </c>
      <c r="F10" s="1636">
        <v>-19504</v>
      </c>
      <c r="G10" s="1636">
        <v>-19504</v>
      </c>
      <c r="H10" s="1636">
        <v>-19504</v>
      </c>
      <c r="I10" s="1636">
        <v>-19504</v>
      </c>
      <c r="J10" s="1636">
        <v>-19504</v>
      </c>
      <c r="K10" s="1636">
        <v>-19504</v>
      </c>
      <c r="L10" s="1636">
        <v>-19504</v>
      </c>
      <c r="M10" s="1636">
        <v>-19504</v>
      </c>
      <c r="N10" s="1636">
        <v>-19504</v>
      </c>
      <c r="O10" s="1636">
        <v>-19504</v>
      </c>
      <c r="P10" s="1636">
        <v>-19504</v>
      </c>
      <c r="Q10" s="1636">
        <v>-19504</v>
      </c>
      <c r="R10" s="1636">
        <v>-19504</v>
      </c>
      <c r="S10" s="1636">
        <v>-19504</v>
      </c>
      <c r="T10" s="1636">
        <v>-19504</v>
      </c>
      <c r="U10" s="1636">
        <v>-19504</v>
      </c>
      <c r="V10" s="1636">
        <v>-19504</v>
      </c>
      <c r="W10" s="1636">
        <v>-19504</v>
      </c>
      <c r="X10" s="1636">
        <v>-19504</v>
      </c>
      <c r="Y10" s="1636">
        <v>-19504</v>
      </c>
      <c r="Z10" s="1636">
        <v>-19504</v>
      </c>
      <c r="AA10" s="1636">
        <v>-19504</v>
      </c>
      <c r="AB10" s="1636">
        <v>-19504</v>
      </c>
      <c r="AC10" s="1637"/>
    </row>
    <row r="11" spans="1:29" ht="13.5" customHeight="1" thickTop="1">
      <c r="A11" s="1642" t="s">
        <v>936</v>
      </c>
      <c r="B11" s="1585"/>
      <c r="C11" s="1586"/>
      <c r="D11" s="1643">
        <v>212</v>
      </c>
      <c r="E11" s="1639">
        <v>115845</v>
      </c>
      <c r="F11" s="1640">
        <v>115801</v>
      </c>
      <c r="G11" s="1640">
        <v>115757</v>
      </c>
      <c r="H11" s="1640">
        <v>115725</v>
      </c>
      <c r="I11" s="1640">
        <v>115687</v>
      </c>
      <c r="J11" s="1640">
        <v>115661</v>
      </c>
      <c r="K11" s="1640">
        <v>115823</v>
      </c>
      <c r="L11" s="1640">
        <v>116171</v>
      </c>
      <c r="M11" s="1640">
        <v>119149</v>
      </c>
      <c r="N11" s="1640">
        <v>118820</v>
      </c>
      <c r="O11" s="1640">
        <v>119087</v>
      </c>
      <c r="P11" s="1640">
        <v>119292</v>
      </c>
      <c r="Q11" s="1640">
        <v>119567</v>
      </c>
      <c r="R11" s="1640">
        <v>119630</v>
      </c>
      <c r="S11" s="1640">
        <v>119686</v>
      </c>
      <c r="T11" s="1640">
        <v>119596</v>
      </c>
      <c r="U11" s="1640">
        <v>119341</v>
      </c>
      <c r="V11" s="1640">
        <v>119137</v>
      </c>
      <c r="W11" s="1640">
        <v>116964</v>
      </c>
      <c r="X11" s="1640">
        <v>116763</v>
      </c>
      <c r="Y11" s="1640">
        <v>116545</v>
      </c>
      <c r="Z11" s="1640">
        <v>116328</v>
      </c>
      <c r="AA11" s="1640">
        <v>116108</v>
      </c>
      <c r="AB11" s="1640">
        <v>115977</v>
      </c>
      <c r="AC11" s="1641"/>
    </row>
    <row r="12" spans="1:29" ht="13.5" customHeight="1" thickBot="1">
      <c r="A12" s="1430"/>
      <c r="B12" s="1431"/>
      <c r="C12" s="1644"/>
      <c r="D12" s="1433"/>
      <c r="E12" s="1437"/>
      <c r="F12" s="1438"/>
      <c r="G12" s="1438"/>
      <c r="H12" s="1438"/>
      <c r="I12" s="1438"/>
      <c r="J12" s="1438"/>
      <c r="K12" s="1438"/>
      <c r="L12" s="1438"/>
      <c r="M12" s="1438"/>
      <c r="N12" s="1438"/>
      <c r="O12" s="1438"/>
      <c r="P12" s="1438"/>
      <c r="Q12" s="1438"/>
      <c r="R12" s="1438"/>
      <c r="S12" s="1438"/>
      <c r="T12" s="1438"/>
      <c r="U12" s="1438"/>
      <c r="V12" s="1438"/>
      <c r="W12" s="1438"/>
      <c r="X12" s="1438"/>
      <c r="Y12" s="1438"/>
      <c r="Z12" s="1438"/>
      <c r="AA12" s="1438"/>
      <c r="AB12" s="1615"/>
      <c r="AC12" s="1616"/>
    </row>
    <row r="13" spans="1:29" ht="13.5" customHeight="1" thickTop="1">
      <c r="A13" s="1649" t="s">
        <v>937</v>
      </c>
      <c r="B13" s="1650"/>
      <c r="C13" s="1650"/>
      <c r="D13" s="1645">
        <v>212</v>
      </c>
      <c r="E13" s="1646">
        <v>115845</v>
      </c>
      <c r="F13" s="1647">
        <v>115801</v>
      </c>
      <c r="G13" s="1647">
        <v>115757</v>
      </c>
      <c r="H13" s="1647">
        <v>115725</v>
      </c>
      <c r="I13" s="1647">
        <v>115687</v>
      </c>
      <c r="J13" s="1647">
        <v>115661</v>
      </c>
      <c r="K13" s="1647">
        <v>115823</v>
      </c>
      <c r="L13" s="1647">
        <v>116171</v>
      </c>
      <c r="M13" s="1647">
        <v>119149</v>
      </c>
      <c r="N13" s="1647">
        <v>118820</v>
      </c>
      <c r="O13" s="1647">
        <v>119087</v>
      </c>
      <c r="P13" s="1647">
        <v>119292</v>
      </c>
      <c r="Q13" s="1647">
        <v>119567</v>
      </c>
      <c r="R13" s="1647">
        <v>119630</v>
      </c>
      <c r="S13" s="1647">
        <v>119686</v>
      </c>
      <c r="T13" s="1647">
        <v>119596</v>
      </c>
      <c r="U13" s="1647">
        <v>119341</v>
      </c>
      <c r="V13" s="1647">
        <v>119137</v>
      </c>
      <c r="W13" s="1647">
        <v>116964</v>
      </c>
      <c r="X13" s="1647">
        <v>116763</v>
      </c>
      <c r="Y13" s="1647">
        <v>116545</v>
      </c>
      <c r="Z13" s="1647">
        <v>116328</v>
      </c>
      <c r="AA13" s="1647">
        <v>116108</v>
      </c>
      <c r="AB13" s="1647">
        <v>115977</v>
      </c>
      <c r="AC13" s="1648"/>
    </row>
    <row r="14" spans="1:29" ht="13.5" customHeight="1">
      <c r="A14" s="1430"/>
      <c r="B14" s="1431"/>
      <c r="C14" s="1644"/>
      <c r="D14" s="1433"/>
      <c r="E14" s="1437"/>
      <c r="F14" s="1438"/>
      <c r="G14" s="1438"/>
      <c r="H14" s="1438"/>
      <c r="I14" s="1438"/>
      <c r="J14" s="1438"/>
      <c r="K14" s="1438"/>
      <c r="L14" s="1438"/>
      <c r="M14" s="1438"/>
      <c r="N14" s="1438"/>
      <c r="O14" s="1438"/>
      <c r="P14" s="1438"/>
      <c r="Q14" s="1438"/>
      <c r="R14" s="1438"/>
      <c r="S14" s="1438"/>
      <c r="T14" s="1438"/>
      <c r="U14" s="1438"/>
      <c r="V14" s="1438"/>
      <c r="W14" s="1438"/>
      <c r="X14" s="1438"/>
      <c r="Y14" s="1438"/>
      <c r="Z14" s="1438"/>
      <c r="AA14" s="1438"/>
      <c r="AB14" s="1615"/>
      <c r="AC14" s="1616"/>
    </row>
    <row r="15" spans="1:29" ht="13.5" customHeight="1">
      <c r="A15" s="1629" t="s">
        <v>378</v>
      </c>
      <c r="B15" s="1618"/>
      <c r="C15" s="1618"/>
      <c r="D15" s="1618"/>
      <c r="E15" s="1618"/>
      <c r="F15" s="1618"/>
      <c r="G15" s="1618"/>
      <c r="H15" s="1618"/>
      <c r="I15" s="1618"/>
      <c r="J15" s="1618"/>
      <c r="K15" s="1618"/>
      <c r="L15" s="1618"/>
      <c r="M15" s="1618"/>
      <c r="N15" s="1618"/>
      <c r="O15" s="1618"/>
      <c r="P15" s="1618"/>
      <c r="Q15" s="1618"/>
      <c r="R15" s="1618"/>
      <c r="S15" s="1618"/>
      <c r="T15" s="1618"/>
      <c r="U15" s="1618"/>
      <c r="V15" s="1618"/>
      <c r="W15" s="1618"/>
      <c r="X15" s="1618"/>
      <c r="Y15" s="1618"/>
      <c r="Z15" s="1618"/>
      <c r="AA15" s="1618"/>
      <c r="AB15" s="1618"/>
      <c r="AC15" s="1619"/>
    </row>
    <row r="16" spans="1:29" ht="13.5" customHeight="1">
      <c r="A16" s="1626" t="s">
        <v>946</v>
      </c>
      <c r="B16" s="1627"/>
      <c r="C16" s="1628"/>
      <c r="D16" s="1621"/>
      <c r="E16" s="1622"/>
      <c r="F16" s="1623"/>
      <c r="G16" s="1623"/>
      <c r="H16" s="1623"/>
      <c r="I16" s="1623"/>
      <c r="J16" s="1623"/>
      <c r="K16" s="1623"/>
      <c r="L16" s="1623"/>
      <c r="M16" s="1623"/>
      <c r="N16" s="1623"/>
      <c r="O16" s="1623"/>
      <c r="P16" s="1623"/>
      <c r="Q16" s="1623"/>
      <c r="R16" s="1623"/>
      <c r="S16" s="1623"/>
      <c r="T16" s="1623"/>
      <c r="U16" s="1623"/>
      <c r="V16" s="1623"/>
      <c r="W16" s="1623"/>
      <c r="X16" s="1623"/>
      <c r="Y16" s="1623"/>
      <c r="Z16" s="1623"/>
      <c r="AA16" s="1623"/>
      <c r="AB16" s="1624"/>
      <c r="AC16" s="1625"/>
    </row>
    <row r="17" spans="1:29" ht="13.5" customHeight="1">
      <c r="A17" s="1327">
        <v>2</v>
      </c>
      <c r="B17" s="1326">
        <v>201</v>
      </c>
      <c r="C17" s="1612" t="s">
        <v>332</v>
      </c>
      <c r="D17" s="1324">
        <v>121</v>
      </c>
      <c r="E17" s="1314">
        <v>71787</v>
      </c>
      <c r="F17" s="1313">
        <v>71754</v>
      </c>
      <c r="G17" s="1313">
        <v>71729</v>
      </c>
      <c r="H17" s="1313">
        <v>71704</v>
      </c>
      <c r="I17" s="1313">
        <v>71686</v>
      </c>
      <c r="J17" s="1313">
        <v>71667</v>
      </c>
      <c r="K17" s="1313">
        <v>71808</v>
      </c>
      <c r="L17" s="1313">
        <v>72062</v>
      </c>
      <c r="M17" s="1313">
        <v>73801</v>
      </c>
      <c r="N17" s="1313">
        <v>73614</v>
      </c>
      <c r="O17" s="1313">
        <v>73770</v>
      </c>
      <c r="P17" s="1313">
        <v>73886</v>
      </c>
      <c r="Q17" s="1313">
        <v>74001</v>
      </c>
      <c r="R17" s="1313">
        <v>74077</v>
      </c>
      <c r="S17" s="1313">
        <v>74066</v>
      </c>
      <c r="T17" s="1313">
        <v>74053</v>
      </c>
      <c r="U17" s="1313">
        <v>73951</v>
      </c>
      <c r="V17" s="1313">
        <v>73756</v>
      </c>
      <c r="W17" s="1313">
        <v>72488</v>
      </c>
      <c r="X17" s="1313">
        <v>72281</v>
      </c>
      <c r="Y17" s="1313">
        <v>72156</v>
      </c>
      <c r="Z17" s="1313">
        <v>72028</v>
      </c>
      <c r="AA17" s="1313">
        <v>71898</v>
      </c>
      <c r="AB17" s="1591">
        <v>71819</v>
      </c>
      <c r="AC17" s="1590"/>
    </row>
    <row r="18" spans="1:29" ht="13.5" customHeight="1">
      <c r="A18" s="1430">
        <v>2</v>
      </c>
      <c r="B18" s="1431">
        <v>202</v>
      </c>
      <c r="C18" s="1614" t="s">
        <v>547</v>
      </c>
      <c r="D18" s="1433">
        <v>91</v>
      </c>
      <c r="E18" s="1437">
        <v>63569</v>
      </c>
      <c r="F18" s="1438">
        <v>63544</v>
      </c>
      <c r="G18" s="1438">
        <v>63525</v>
      </c>
      <c r="H18" s="1438">
        <v>63506</v>
      </c>
      <c r="I18" s="1438">
        <v>63493</v>
      </c>
      <c r="J18" s="1438">
        <v>63479</v>
      </c>
      <c r="K18" s="1438">
        <v>63587</v>
      </c>
      <c r="L18" s="1438">
        <v>63781</v>
      </c>
      <c r="M18" s="1438">
        <v>65095</v>
      </c>
      <c r="N18" s="1438">
        <v>64957</v>
      </c>
      <c r="O18" s="1438">
        <v>65076</v>
      </c>
      <c r="P18" s="1438">
        <v>65165</v>
      </c>
      <c r="Q18" s="1438">
        <v>65254</v>
      </c>
      <c r="R18" s="1438">
        <v>65311</v>
      </c>
      <c r="S18" s="1438">
        <v>65303</v>
      </c>
      <c r="T18" s="1438">
        <v>65291</v>
      </c>
      <c r="U18" s="1438">
        <v>65213</v>
      </c>
      <c r="V18" s="1438">
        <v>65062</v>
      </c>
      <c r="W18" s="1438">
        <v>64105</v>
      </c>
      <c r="X18" s="1438">
        <v>63945</v>
      </c>
      <c r="Y18" s="1438">
        <v>63851</v>
      </c>
      <c r="Z18" s="1438">
        <v>63753</v>
      </c>
      <c r="AA18" s="1438">
        <v>63652</v>
      </c>
      <c r="AB18" s="1615">
        <v>63593</v>
      </c>
      <c r="AC18" s="1616"/>
    </row>
    <row r="19" spans="1:29" ht="13.5" customHeight="1" thickBot="1">
      <c r="A19" s="1631"/>
      <c r="B19" s="1632"/>
      <c r="C19" s="1633" t="s">
        <v>947</v>
      </c>
      <c r="D19" s="1634"/>
      <c r="E19" s="1635">
        <v>-19504</v>
      </c>
      <c r="F19" s="1636">
        <v>-19504</v>
      </c>
      <c r="G19" s="1636">
        <v>-19504</v>
      </c>
      <c r="H19" s="1636">
        <v>-19504</v>
      </c>
      <c r="I19" s="1636">
        <v>-19504</v>
      </c>
      <c r="J19" s="1636">
        <v>-19504</v>
      </c>
      <c r="K19" s="1636">
        <v>-19504</v>
      </c>
      <c r="L19" s="1636">
        <v>-19504</v>
      </c>
      <c r="M19" s="1636">
        <v>-19504</v>
      </c>
      <c r="N19" s="1636">
        <v>-19504</v>
      </c>
      <c r="O19" s="1636">
        <v>-19504</v>
      </c>
      <c r="P19" s="1636">
        <v>-19504</v>
      </c>
      <c r="Q19" s="1636">
        <v>-19504</v>
      </c>
      <c r="R19" s="1636">
        <v>-19504</v>
      </c>
      <c r="S19" s="1636">
        <v>-19504</v>
      </c>
      <c r="T19" s="1636">
        <v>-19504</v>
      </c>
      <c r="U19" s="1636">
        <v>-19504</v>
      </c>
      <c r="V19" s="1636">
        <v>-19504</v>
      </c>
      <c r="W19" s="1636">
        <v>-19504</v>
      </c>
      <c r="X19" s="1636">
        <v>-19504</v>
      </c>
      <c r="Y19" s="1636">
        <v>-19504</v>
      </c>
      <c r="Z19" s="1636">
        <v>-19504</v>
      </c>
      <c r="AA19" s="1636">
        <v>-19504</v>
      </c>
      <c r="AB19" s="1636">
        <v>-19504</v>
      </c>
      <c r="AC19" s="1637"/>
    </row>
    <row r="20" spans="1:29" ht="13.5" customHeight="1" thickTop="1">
      <c r="A20" s="1642" t="s">
        <v>936</v>
      </c>
      <c r="B20" s="1585"/>
      <c r="C20" s="1586"/>
      <c r="D20" s="1643">
        <v>212</v>
      </c>
      <c r="E20" s="1639">
        <v>115852</v>
      </c>
      <c r="F20" s="1640">
        <v>115794</v>
      </c>
      <c r="G20" s="1640">
        <v>115750</v>
      </c>
      <c r="H20" s="1640">
        <v>115706</v>
      </c>
      <c r="I20" s="1640">
        <v>115675</v>
      </c>
      <c r="J20" s="1640">
        <v>115642</v>
      </c>
      <c r="K20" s="1640">
        <v>115891</v>
      </c>
      <c r="L20" s="1640">
        <v>116339</v>
      </c>
      <c r="M20" s="1640">
        <v>119392</v>
      </c>
      <c r="N20" s="1640">
        <v>119067</v>
      </c>
      <c r="O20" s="1640">
        <v>119342</v>
      </c>
      <c r="P20" s="1640">
        <v>119547</v>
      </c>
      <c r="Q20" s="1640">
        <v>119751</v>
      </c>
      <c r="R20" s="1640">
        <v>119884</v>
      </c>
      <c r="S20" s="1640">
        <v>119865</v>
      </c>
      <c r="T20" s="1640">
        <v>119840</v>
      </c>
      <c r="U20" s="1640">
        <v>119660</v>
      </c>
      <c r="V20" s="1640">
        <v>119314</v>
      </c>
      <c r="W20" s="1640">
        <v>117089</v>
      </c>
      <c r="X20" s="1640">
        <v>116722</v>
      </c>
      <c r="Y20" s="1640">
        <v>116503</v>
      </c>
      <c r="Z20" s="1640">
        <v>116277</v>
      </c>
      <c r="AA20" s="1640">
        <v>116046</v>
      </c>
      <c r="AB20" s="1640">
        <v>115908</v>
      </c>
      <c r="AC20" s="1641"/>
    </row>
    <row r="21" spans="1:29" ht="13.5" customHeight="1" thickBot="1">
      <c r="A21" s="1430"/>
      <c r="B21" s="1431"/>
      <c r="C21" s="1644"/>
      <c r="D21" s="1433"/>
      <c r="E21" s="1437"/>
      <c r="F21" s="1438"/>
      <c r="G21" s="1438"/>
      <c r="H21" s="1438"/>
      <c r="I21" s="1438"/>
      <c r="J21" s="1438"/>
      <c r="K21" s="1438"/>
      <c r="L21" s="1438"/>
      <c r="M21" s="1438"/>
      <c r="N21" s="1438"/>
      <c r="O21" s="1438"/>
      <c r="P21" s="1438"/>
      <c r="Q21" s="1438"/>
      <c r="R21" s="1438"/>
      <c r="S21" s="1438"/>
      <c r="T21" s="1438"/>
      <c r="U21" s="1438"/>
      <c r="V21" s="1438"/>
      <c r="W21" s="1438"/>
      <c r="X21" s="1438"/>
      <c r="Y21" s="1438"/>
      <c r="Z21" s="1438"/>
      <c r="AA21" s="1438"/>
      <c r="AB21" s="1615"/>
      <c r="AC21" s="1616"/>
    </row>
    <row r="22" spans="1:29" ht="13.5" customHeight="1" thickTop="1">
      <c r="A22" s="1655" t="s">
        <v>938</v>
      </c>
      <c r="B22" s="1656"/>
      <c r="C22" s="1656"/>
      <c r="D22" s="1651">
        <v>212</v>
      </c>
      <c r="E22" s="1652">
        <v>115852</v>
      </c>
      <c r="F22" s="1653">
        <v>115794</v>
      </c>
      <c r="G22" s="1653">
        <v>115750</v>
      </c>
      <c r="H22" s="1653">
        <v>115706</v>
      </c>
      <c r="I22" s="1653">
        <v>115675</v>
      </c>
      <c r="J22" s="1653">
        <v>115642</v>
      </c>
      <c r="K22" s="1653">
        <v>115891</v>
      </c>
      <c r="L22" s="1653">
        <v>116339</v>
      </c>
      <c r="M22" s="1653">
        <v>119392</v>
      </c>
      <c r="N22" s="1653">
        <v>119067</v>
      </c>
      <c r="O22" s="1653">
        <v>119342</v>
      </c>
      <c r="P22" s="1653">
        <v>119547</v>
      </c>
      <c r="Q22" s="1653">
        <v>119751</v>
      </c>
      <c r="R22" s="1653">
        <v>119884</v>
      </c>
      <c r="S22" s="1653">
        <v>119865</v>
      </c>
      <c r="T22" s="1653">
        <v>119840</v>
      </c>
      <c r="U22" s="1653">
        <v>119660</v>
      </c>
      <c r="V22" s="1653">
        <v>119314</v>
      </c>
      <c r="W22" s="1653">
        <v>117089</v>
      </c>
      <c r="X22" s="1653">
        <v>116722</v>
      </c>
      <c r="Y22" s="1653">
        <v>116503</v>
      </c>
      <c r="Z22" s="1653">
        <v>116277</v>
      </c>
      <c r="AA22" s="1653">
        <v>116046</v>
      </c>
      <c r="AB22" s="1653">
        <v>115908</v>
      </c>
      <c r="AC22" s="1654"/>
    </row>
    <row r="23" spans="1:29" ht="13.5" customHeight="1">
      <c r="A23" s="1430"/>
      <c r="B23" s="1431"/>
      <c r="C23" s="1644"/>
      <c r="D23" s="1433"/>
      <c r="E23" s="1437"/>
      <c r="F23" s="1438"/>
      <c r="G23" s="1438"/>
      <c r="H23" s="1438"/>
      <c r="I23" s="1438"/>
      <c r="J23" s="1438"/>
      <c r="K23" s="1438"/>
      <c r="L23" s="1438"/>
      <c r="M23" s="1438"/>
      <c r="N23" s="1438"/>
      <c r="O23" s="1438"/>
      <c r="P23" s="1438"/>
      <c r="Q23" s="1438"/>
      <c r="R23" s="1438"/>
      <c r="S23" s="1438"/>
      <c r="T23" s="1438"/>
      <c r="U23" s="1438"/>
      <c r="V23" s="1438"/>
      <c r="W23" s="1438"/>
      <c r="X23" s="1438"/>
      <c r="Y23" s="1438"/>
      <c r="Z23" s="1438"/>
      <c r="AA23" s="1438"/>
      <c r="AB23" s="1615"/>
      <c r="AC23" s="1616"/>
    </row>
    <row r="24" spans="1:29" ht="13.5" customHeight="1">
      <c r="A24" s="1630" t="s">
        <v>379</v>
      </c>
      <c r="B24" s="1618"/>
      <c r="C24" s="1618"/>
      <c r="D24" s="1618"/>
      <c r="E24" s="1618"/>
      <c r="F24" s="1618"/>
      <c r="G24" s="1618"/>
      <c r="H24" s="1618"/>
      <c r="I24" s="1618"/>
      <c r="J24" s="1618"/>
      <c r="K24" s="1618"/>
      <c r="L24" s="1618"/>
      <c r="M24" s="1618"/>
      <c r="N24" s="1618"/>
      <c r="O24" s="1618"/>
      <c r="P24" s="1618"/>
      <c r="Q24" s="1618"/>
      <c r="R24" s="1618"/>
      <c r="S24" s="1618"/>
      <c r="T24" s="1618"/>
      <c r="U24" s="1618"/>
      <c r="V24" s="1618"/>
      <c r="W24" s="1618"/>
      <c r="X24" s="1618"/>
      <c r="Y24" s="1618"/>
      <c r="Z24" s="1618"/>
      <c r="AA24" s="1618"/>
      <c r="AB24" s="1618"/>
      <c r="AC24" s="1619"/>
    </row>
    <row r="25" spans="1:29" ht="13.5" customHeight="1">
      <c r="A25" s="1626" t="s">
        <v>946</v>
      </c>
      <c r="B25" s="1627"/>
      <c r="C25" s="1628"/>
      <c r="D25" s="1621"/>
      <c r="E25" s="1622"/>
      <c r="F25" s="1623"/>
      <c r="G25" s="1623"/>
      <c r="H25" s="1623"/>
      <c r="I25" s="1623"/>
      <c r="J25" s="1623"/>
      <c r="K25" s="1623"/>
      <c r="L25" s="1623"/>
      <c r="M25" s="1623"/>
      <c r="N25" s="1623"/>
      <c r="O25" s="1623"/>
      <c r="P25" s="1623"/>
      <c r="Q25" s="1623"/>
      <c r="R25" s="1623"/>
      <c r="S25" s="1623"/>
      <c r="T25" s="1623"/>
      <c r="U25" s="1623"/>
      <c r="V25" s="1623"/>
      <c r="W25" s="1623"/>
      <c r="X25" s="1623"/>
      <c r="Y25" s="1623"/>
      <c r="Z25" s="1623"/>
      <c r="AA25" s="1623"/>
      <c r="AB25" s="1624"/>
      <c r="AC25" s="1625"/>
    </row>
    <row r="26" spans="1:29" ht="13.5" customHeight="1">
      <c r="A26" s="1327">
        <v>2</v>
      </c>
      <c r="B26" s="1326">
        <v>201</v>
      </c>
      <c r="C26" s="1612" t="s">
        <v>332</v>
      </c>
      <c r="D26" s="1324">
        <v>121</v>
      </c>
      <c r="E26" s="1314">
        <v>71631</v>
      </c>
      <c r="F26" s="1313">
        <v>71631</v>
      </c>
      <c r="G26" s="1313">
        <v>71631</v>
      </c>
      <c r="H26" s="1313">
        <v>71631</v>
      </c>
      <c r="I26" s="1313">
        <v>71631</v>
      </c>
      <c r="J26" s="1313">
        <v>71631</v>
      </c>
      <c r="K26" s="1313">
        <v>71631</v>
      </c>
      <c r="L26" s="1313">
        <v>71631</v>
      </c>
      <c r="M26" s="1313">
        <v>73140</v>
      </c>
      <c r="N26" s="1313">
        <v>72838</v>
      </c>
      <c r="O26" s="1313">
        <v>72957</v>
      </c>
      <c r="P26" s="1313">
        <v>73077</v>
      </c>
      <c r="Q26" s="1313">
        <v>73132</v>
      </c>
      <c r="R26" s="1313">
        <v>73172</v>
      </c>
      <c r="S26" s="1313">
        <v>73164</v>
      </c>
      <c r="T26" s="1313">
        <v>73070</v>
      </c>
      <c r="U26" s="1313">
        <v>72929</v>
      </c>
      <c r="V26" s="1313">
        <v>72889</v>
      </c>
      <c r="W26" s="1313">
        <v>71747</v>
      </c>
      <c r="X26" s="1313">
        <v>71718</v>
      </c>
      <c r="Y26" s="1313">
        <v>71686</v>
      </c>
      <c r="Z26" s="1313">
        <v>71653</v>
      </c>
      <c r="AA26" s="1313">
        <v>71631</v>
      </c>
      <c r="AB26" s="1591">
        <v>71631</v>
      </c>
      <c r="AC26" s="1590"/>
    </row>
    <row r="27" spans="1:29" ht="13.5" customHeight="1">
      <c r="A27" s="1430">
        <v>2</v>
      </c>
      <c r="B27" s="1431">
        <v>202</v>
      </c>
      <c r="C27" s="1614" t="s">
        <v>547</v>
      </c>
      <c r="D27" s="1433">
        <v>91</v>
      </c>
      <c r="E27" s="1437">
        <v>63452</v>
      </c>
      <c r="F27" s="1438">
        <v>63452</v>
      </c>
      <c r="G27" s="1438">
        <v>63452</v>
      </c>
      <c r="H27" s="1438">
        <v>63452</v>
      </c>
      <c r="I27" s="1438">
        <v>63452</v>
      </c>
      <c r="J27" s="1438">
        <v>63452</v>
      </c>
      <c r="K27" s="1438">
        <v>63452</v>
      </c>
      <c r="L27" s="1438">
        <v>63452</v>
      </c>
      <c r="M27" s="1438">
        <v>64587</v>
      </c>
      <c r="N27" s="1438">
        <v>64361</v>
      </c>
      <c r="O27" s="1438">
        <v>64453</v>
      </c>
      <c r="P27" s="1438">
        <v>64545</v>
      </c>
      <c r="Q27" s="1438">
        <v>64586</v>
      </c>
      <c r="R27" s="1438">
        <v>64616</v>
      </c>
      <c r="S27" s="1438">
        <v>64610</v>
      </c>
      <c r="T27" s="1438">
        <v>64537</v>
      </c>
      <c r="U27" s="1438">
        <v>64428</v>
      </c>
      <c r="V27" s="1438">
        <v>64398</v>
      </c>
      <c r="W27" s="1438">
        <v>63539</v>
      </c>
      <c r="X27" s="1438">
        <v>63517</v>
      </c>
      <c r="Y27" s="1438">
        <v>63493</v>
      </c>
      <c r="Z27" s="1438">
        <v>63469</v>
      </c>
      <c r="AA27" s="1438">
        <v>63452</v>
      </c>
      <c r="AB27" s="1615">
        <v>63452</v>
      </c>
      <c r="AC27" s="1616"/>
    </row>
    <row r="28" spans="1:29" ht="13.5" customHeight="1" thickBot="1">
      <c r="A28" s="1631"/>
      <c r="B28" s="1632"/>
      <c r="C28" s="1633" t="s">
        <v>947</v>
      </c>
      <c r="D28" s="1634"/>
      <c r="E28" s="1635">
        <v>-19504</v>
      </c>
      <c r="F28" s="1636">
        <v>-19504</v>
      </c>
      <c r="G28" s="1636">
        <v>-19504</v>
      </c>
      <c r="H28" s="1636">
        <v>-19504</v>
      </c>
      <c r="I28" s="1636">
        <v>-19504</v>
      </c>
      <c r="J28" s="1636">
        <v>-19504</v>
      </c>
      <c r="K28" s="1636">
        <v>-19504</v>
      </c>
      <c r="L28" s="1636">
        <v>-19504</v>
      </c>
      <c r="M28" s="1636">
        <v>-19504</v>
      </c>
      <c r="N28" s="1636">
        <v>-19504</v>
      </c>
      <c r="O28" s="1636">
        <v>-19504</v>
      </c>
      <c r="P28" s="1636">
        <v>-19504</v>
      </c>
      <c r="Q28" s="1636">
        <v>-19504</v>
      </c>
      <c r="R28" s="1636">
        <v>-19504</v>
      </c>
      <c r="S28" s="1636">
        <v>-19504</v>
      </c>
      <c r="T28" s="1636">
        <v>-19504</v>
      </c>
      <c r="U28" s="1636">
        <v>-19504</v>
      </c>
      <c r="V28" s="1636">
        <v>-19504</v>
      </c>
      <c r="W28" s="1636">
        <v>-19504</v>
      </c>
      <c r="X28" s="1636">
        <v>-19504</v>
      </c>
      <c r="Y28" s="1636">
        <v>-19504</v>
      </c>
      <c r="Z28" s="1636">
        <v>-19504</v>
      </c>
      <c r="AA28" s="1636">
        <v>-19504</v>
      </c>
      <c r="AB28" s="1636">
        <v>-19504</v>
      </c>
      <c r="AC28" s="1637"/>
    </row>
    <row r="29" spans="1:29" ht="13.5" customHeight="1" thickTop="1">
      <c r="A29" s="1642" t="s">
        <v>936</v>
      </c>
      <c r="B29" s="1585"/>
      <c r="C29" s="1586"/>
      <c r="D29" s="1643">
        <v>212</v>
      </c>
      <c r="E29" s="1639">
        <v>115579</v>
      </c>
      <c r="F29" s="1640">
        <v>115579</v>
      </c>
      <c r="G29" s="1640">
        <v>115579</v>
      </c>
      <c r="H29" s="1640">
        <v>115579</v>
      </c>
      <c r="I29" s="1640">
        <v>115579</v>
      </c>
      <c r="J29" s="1640">
        <v>115579</v>
      </c>
      <c r="K29" s="1640">
        <v>115579</v>
      </c>
      <c r="L29" s="1640">
        <v>115579</v>
      </c>
      <c r="M29" s="1640">
        <v>118223</v>
      </c>
      <c r="N29" s="1640">
        <v>117695</v>
      </c>
      <c r="O29" s="1640">
        <v>117906</v>
      </c>
      <c r="P29" s="1640">
        <v>118118</v>
      </c>
      <c r="Q29" s="1640">
        <v>118214</v>
      </c>
      <c r="R29" s="1640">
        <v>118284</v>
      </c>
      <c r="S29" s="1640">
        <v>118270</v>
      </c>
      <c r="T29" s="1640">
        <v>118103</v>
      </c>
      <c r="U29" s="1640">
        <v>117853</v>
      </c>
      <c r="V29" s="1640">
        <v>117783</v>
      </c>
      <c r="W29" s="1640">
        <v>115782</v>
      </c>
      <c r="X29" s="1640">
        <v>115731</v>
      </c>
      <c r="Y29" s="1640">
        <v>115675</v>
      </c>
      <c r="Z29" s="1640">
        <v>115618</v>
      </c>
      <c r="AA29" s="1640">
        <v>115579</v>
      </c>
      <c r="AB29" s="1640">
        <v>115579</v>
      </c>
      <c r="AC29" s="1641"/>
    </row>
    <row r="30" spans="1:29" ht="13.5" customHeight="1" thickBot="1">
      <c r="A30" s="1430"/>
      <c r="B30" s="1431"/>
      <c r="C30" s="1644"/>
      <c r="D30" s="1433"/>
      <c r="E30" s="1437"/>
      <c r="F30" s="1438"/>
      <c r="G30" s="1438"/>
      <c r="H30" s="1438"/>
      <c r="I30" s="1438"/>
      <c r="J30" s="1438"/>
      <c r="K30" s="1438"/>
      <c r="L30" s="1438"/>
      <c r="M30" s="1438"/>
      <c r="N30" s="1438"/>
      <c r="O30" s="1438"/>
      <c r="P30" s="1438"/>
      <c r="Q30" s="1438"/>
      <c r="R30" s="1438"/>
      <c r="S30" s="1438"/>
      <c r="T30" s="1438"/>
      <c r="U30" s="1438"/>
      <c r="V30" s="1438"/>
      <c r="W30" s="1438"/>
      <c r="X30" s="1438"/>
      <c r="Y30" s="1438"/>
      <c r="Z30" s="1438"/>
      <c r="AA30" s="1438"/>
      <c r="AB30" s="1615"/>
      <c r="AC30" s="1616"/>
    </row>
    <row r="31" spans="1:29" ht="13.5" customHeight="1" thickTop="1">
      <c r="A31" s="1661" t="s">
        <v>939</v>
      </c>
      <c r="B31" s="1662"/>
      <c r="C31" s="1662"/>
      <c r="D31" s="1657">
        <v>212</v>
      </c>
      <c r="E31" s="1658">
        <v>115579</v>
      </c>
      <c r="F31" s="1659">
        <v>115579</v>
      </c>
      <c r="G31" s="1659">
        <v>115579</v>
      </c>
      <c r="H31" s="1659">
        <v>115579</v>
      </c>
      <c r="I31" s="1659">
        <v>115579</v>
      </c>
      <c r="J31" s="1659">
        <v>115579</v>
      </c>
      <c r="K31" s="1659">
        <v>115579</v>
      </c>
      <c r="L31" s="1659">
        <v>115579</v>
      </c>
      <c r="M31" s="1659">
        <v>118223</v>
      </c>
      <c r="N31" s="1659">
        <v>117695</v>
      </c>
      <c r="O31" s="1659">
        <v>117906</v>
      </c>
      <c r="P31" s="1659">
        <v>118118</v>
      </c>
      <c r="Q31" s="1659">
        <v>118214</v>
      </c>
      <c r="R31" s="1659">
        <v>118284</v>
      </c>
      <c r="S31" s="1659">
        <v>118270</v>
      </c>
      <c r="T31" s="1659">
        <v>118103</v>
      </c>
      <c r="U31" s="1659">
        <v>117853</v>
      </c>
      <c r="V31" s="1659">
        <v>117783</v>
      </c>
      <c r="W31" s="1659">
        <v>115782</v>
      </c>
      <c r="X31" s="1659">
        <v>115731</v>
      </c>
      <c r="Y31" s="1659">
        <v>115675</v>
      </c>
      <c r="Z31" s="1659">
        <v>115618</v>
      </c>
      <c r="AA31" s="1659">
        <v>115579</v>
      </c>
      <c r="AB31" s="1659">
        <v>115579</v>
      </c>
      <c r="AC31" s="1660"/>
    </row>
    <row r="32" spans="1:29" ht="13.5" customHeight="1">
      <c r="A32" s="1327"/>
      <c r="B32" s="1326"/>
      <c r="C32" s="1612"/>
      <c r="D32" s="1324"/>
      <c r="E32" s="1314"/>
      <c r="F32" s="1313"/>
      <c r="G32" s="1313"/>
      <c r="H32" s="1313"/>
      <c r="I32" s="1313"/>
      <c r="J32" s="1313"/>
      <c r="K32" s="1313"/>
      <c r="L32" s="1313"/>
      <c r="M32" s="1313"/>
      <c r="N32" s="1313"/>
      <c r="O32" s="1313"/>
      <c r="P32" s="1313"/>
      <c r="Q32" s="1313"/>
      <c r="R32" s="1313"/>
      <c r="S32" s="1313"/>
      <c r="T32" s="1313"/>
      <c r="U32" s="1313"/>
      <c r="V32" s="1313"/>
      <c r="W32" s="1313"/>
      <c r="X32" s="1313"/>
      <c r="Y32" s="1313"/>
      <c r="Z32" s="1313"/>
      <c r="AA32" s="1313"/>
      <c r="AB32" s="1591"/>
      <c r="AC32" s="1590"/>
    </row>
    <row r="33" spans="1:29" ht="13.5" customHeight="1">
      <c r="A33" s="1327"/>
      <c r="B33" s="1326"/>
      <c r="C33" s="1592"/>
      <c r="D33" s="1324"/>
      <c r="E33" s="1314"/>
      <c r="F33" s="1313"/>
      <c r="G33" s="1313"/>
      <c r="H33" s="1313"/>
      <c r="I33" s="1313"/>
      <c r="J33" s="1313"/>
      <c r="K33" s="1313"/>
      <c r="L33" s="1313"/>
      <c r="M33" s="1313"/>
      <c r="N33" s="1313"/>
      <c r="O33" s="1313"/>
      <c r="P33" s="1313"/>
      <c r="Q33" s="1313"/>
      <c r="R33" s="1313"/>
      <c r="S33" s="1313"/>
      <c r="T33" s="1313"/>
      <c r="U33" s="1313"/>
      <c r="V33" s="1313"/>
      <c r="W33" s="1313"/>
      <c r="X33" s="1313"/>
      <c r="Y33" s="1313"/>
      <c r="Z33" s="1313"/>
      <c r="AA33" s="1313"/>
      <c r="AB33" s="1591"/>
      <c r="AC33" s="1590"/>
    </row>
    <row r="34" spans="1:29" ht="13.5" customHeight="1">
      <c r="A34" s="1327"/>
      <c r="B34" s="1326"/>
      <c r="C34" s="1592"/>
      <c r="D34" s="1324"/>
      <c r="E34" s="1314"/>
      <c r="F34" s="1313"/>
      <c r="G34" s="1313"/>
      <c r="H34" s="1313"/>
      <c r="I34" s="1313"/>
      <c r="J34" s="1313"/>
      <c r="K34" s="1313"/>
      <c r="L34" s="1313"/>
      <c r="M34" s="1313"/>
      <c r="N34" s="1313"/>
      <c r="O34" s="1313"/>
      <c r="P34" s="1313"/>
      <c r="Q34" s="1313"/>
      <c r="R34" s="1313"/>
      <c r="S34" s="1313"/>
      <c r="T34" s="1313"/>
      <c r="U34" s="1313"/>
      <c r="V34" s="1313"/>
      <c r="W34" s="1313"/>
      <c r="X34" s="1313"/>
      <c r="Y34" s="1313"/>
      <c r="Z34" s="1313"/>
      <c r="AA34" s="1313"/>
      <c r="AB34" s="1591"/>
      <c r="AC34" s="1590"/>
    </row>
    <row r="35" spans="1:29" ht="13.5" customHeight="1">
      <c r="A35" s="1327"/>
      <c r="B35" s="1326"/>
      <c r="C35" s="1592"/>
      <c r="D35" s="1324"/>
      <c r="E35" s="1314"/>
      <c r="F35" s="1313"/>
      <c r="G35" s="1313"/>
      <c r="H35" s="1313"/>
      <c r="I35" s="1313"/>
      <c r="J35" s="1313"/>
      <c r="K35" s="1313"/>
      <c r="L35" s="1313"/>
      <c r="M35" s="1313"/>
      <c r="N35" s="1313"/>
      <c r="O35" s="1313"/>
      <c r="P35" s="1313"/>
      <c r="Q35" s="1313"/>
      <c r="R35" s="1313"/>
      <c r="S35" s="1313"/>
      <c r="T35" s="1313"/>
      <c r="U35" s="1313"/>
      <c r="V35" s="1313"/>
      <c r="W35" s="1313"/>
      <c r="X35" s="1313"/>
      <c r="Y35" s="1313"/>
      <c r="Z35" s="1313"/>
      <c r="AA35" s="1313"/>
      <c r="AB35" s="1591"/>
      <c r="AC35" s="1590"/>
    </row>
    <row r="36" spans="1:29" ht="13.5" customHeight="1">
      <c r="A36" s="1327"/>
      <c r="B36" s="1326"/>
      <c r="C36" s="1592"/>
      <c r="D36" s="1324"/>
      <c r="E36" s="1314"/>
      <c r="F36" s="1313"/>
      <c r="G36" s="1313"/>
      <c r="H36" s="1313"/>
      <c r="I36" s="1313"/>
      <c r="J36" s="1313"/>
      <c r="K36" s="1313"/>
      <c r="L36" s="1313"/>
      <c r="M36" s="1313"/>
      <c r="N36" s="1313"/>
      <c r="O36" s="1313"/>
      <c r="P36" s="1313"/>
      <c r="Q36" s="1313"/>
      <c r="R36" s="1313"/>
      <c r="S36" s="1313"/>
      <c r="T36" s="1313"/>
      <c r="U36" s="1313"/>
      <c r="V36" s="1313"/>
      <c r="W36" s="1313"/>
      <c r="X36" s="1313"/>
      <c r="Y36" s="1313"/>
      <c r="Z36" s="1313"/>
      <c r="AA36" s="1313"/>
      <c r="AB36" s="1591"/>
      <c r="AC36" s="1590"/>
    </row>
    <row r="37" spans="1:29" ht="13.5" customHeight="1">
      <c r="A37" s="1327"/>
      <c r="B37" s="1326"/>
      <c r="C37" s="1592"/>
      <c r="D37" s="1324"/>
      <c r="E37" s="1314"/>
      <c r="F37" s="1313"/>
      <c r="G37" s="1313"/>
      <c r="H37" s="1313"/>
      <c r="I37" s="1313"/>
      <c r="J37" s="1313"/>
      <c r="K37" s="1313"/>
      <c r="L37" s="1313"/>
      <c r="M37" s="1313"/>
      <c r="N37" s="1313"/>
      <c r="O37" s="1313"/>
      <c r="P37" s="1313"/>
      <c r="Q37" s="1313"/>
      <c r="R37" s="1313"/>
      <c r="S37" s="1313"/>
      <c r="T37" s="1313"/>
      <c r="U37" s="1313"/>
      <c r="V37" s="1313"/>
      <c r="W37" s="1313"/>
      <c r="X37" s="1313"/>
      <c r="Y37" s="1313"/>
      <c r="Z37" s="1313"/>
      <c r="AA37" s="1313"/>
      <c r="AB37" s="1591"/>
      <c r="AC37" s="1590"/>
    </row>
    <row r="38" spans="1:29" ht="13.5" customHeight="1">
      <c r="A38" s="1327"/>
      <c r="B38" s="1326"/>
      <c r="C38" s="1592"/>
      <c r="D38" s="1324"/>
      <c r="E38" s="1314"/>
      <c r="F38" s="1313"/>
      <c r="G38" s="1313"/>
      <c r="H38" s="1313"/>
      <c r="I38" s="1313"/>
      <c r="J38" s="1313"/>
      <c r="K38" s="1313"/>
      <c r="L38" s="1313"/>
      <c r="M38" s="1313"/>
      <c r="N38" s="1313"/>
      <c r="O38" s="1313"/>
      <c r="P38" s="1313"/>
      <c r="Q38" s="1313"/>
      <c r="R38" s="1313"/>
      <c r="S38" s="1313"/>
      <c r="T38" s="1313"/>
      <c r="U38" s="1313"/>
      <c r="V38" s="1313"/>
      <c r="W38" s="1313"/>
      <c r="X38" s="1313"/>
      <c r="Y38" s="1313"/>
      <c r="Z38" s="1313"/>
      <c r="AA38" s="1313"/>
      <c r="AB38" s="1591"/>
      <c r="AC38" s="1590"/>
    </row>
    <row r="39" spans="1:29" ht="13.5" customHeight="1">
      <c r="A39" s="1327"/>
      <c r="B39" s="1326"/>
      <c r="C39" s="1592"/>
      <c r="D39" s="1324"/>
      <c r="E39" s="1314"/>
      <c r="F39" s="1313"/>
      <c r="G39" s="1313"/>
      <c r="H39" s="1313"/>
      <c r="I39" s="1313"/>
      <c r="J39" s="1313"/>
      <c r="K39" s="1313"/>
      <c r="L39" s="1313"/>
      <c r="M39" s="1313"/>
      <c r="N39" s="1313"/>
      <c r="O39" s="1313"/>
      <c r="P39" s="1313"/>
      <c r="Q39" s="1313"/>
      <c r="R39" s="1313"/>
      <c r="S39" s="1313"/>
      <c r="T39" s="1313"/>
      <c r="U39" s="1313"/>
      <c r="V39" s="1313"/>
      <c r="W39" s="1313"/>
      <c r="X39" s="1313"/>
      <c r="Y39" s="1313"/>
      <c r="Z39" s="1313"/>
      <c r="AA39" s="1313"/>
      <c r="AB39" s="1591"/>
      <c r="AC39" s="1590"/>
    </row>
    <row r="40" spans="1:29" ht="13.5" customHeight="1">
      <c r="A40" s="1327"/>
      <c r="B40" s="1326"/>
      <c r="C40" s="1592"/>
      <c r="D40" s="1324"/>
      <c r="E40" s="1314"/>
      <c r="F40" s="1313"/>
      <c r="G40" s="1313"/>
      <c r="H40" s="1313"/>
      <c r="I40" s="1313"/>
      <c r="J40" s="1313"/>
      <c r="K40" s="1313"/>
      <c r="L40" s="1313"/>
      <c r="M40" s="1313"/>
      <c r="N40" s="1313"/>
      <c r="O40" s="1313"/>
      <c r="P40" s="1313"/>
      <c r="Q40" s="1313"/>
      <c r="R40" s="1313"/>
      <c r="S40" s="1313"/>
      <c r="T40" s="1313"/>
      <c r="U40" s="1313"/>
      <c r="V40" s="1313"/>
      <c r="W40" s="1313"/>
      <c r="X40" s="1313"/>
      <c r="Y40" s="1313"/>
      <c r="Z40" s="1313"/>
      <c r="AA40" s="1313"/>
      <c r="AB40" s="1591"/>
      <c r="AC40" s="1590"/>
    </row>
    <row r="41" spans="1:29" ht="13.5" customHeight="1">
      <c r="A41" s="1327"/>
      <c r="B41" s="1326"/>
      <c r="C41" s="1592"/>
      <c r="D41" s="1324"/>
      <c r="E41" s="1314"/>
      <c r="F41" s="1313"/>
      <c r="G41" s="1313"/>
      <c r="H41" s="1313"/>
      <c r="I41" s="1313"/>
      <c r="J41" s="1313"/>
      <c r="K41" s="1313"/>
      <c r="L41" s="1313"/>
      <c r="M41" s="1313"/>
      <c r="N41" s="1313"/>
      <c r="O41" s="1313"/>
      <c r="P41" s="1313"/>
      <c r="Q41" s="1313"/>
      <c r="R41" s="1313"/>
      <c r="S41" s="1313"/>
      <c r="T41" s="1313"/>
      <c r="U41" s="1313"/>
      <c r="V41" s="1313"/>
      <c r="W41" s="1313"/>
      <c r="X41" s="1313"/>
      <c r="Y41" s="1313"/>
      <c r="Z41" s="1313"/>
      <c r="AA41" s="1313"/>
      <c r="AB41" s="1591"/>
      <c r="AC41" s="1590"/>
    </row>
    <row r="42" spans="1:29" ht="13.5" customHeight="1">
      <c r="A42" s="1327"/>
      <c r="B42" s="1326"/>
      <c r="C42" s="1592"/>
      <c r="D42" s="1324"/>
      <c r="E42" s="1314"/>
      <c r="F42" s="1313"/>
      <c r="G42" s="1313"/>
      <c r="H42" s="1313"/>
      <c r="I42" s="1313"/>
      <c r="J42" s="1313"/>
      <c r="K42" s="1313"/>
      <c r="L42" s="1313"/>
      <c r="M42" s="1313"/>
      <c r="N42" s="1313"/>
      <c r="O42" s="1313"/>
      <c r="P42" s="1313"/>
      <c r="Q42" s="1313"/>
      <c r="R42" s="1313"/>
      <c r="S42" s="1313"/>
      <c r="T42" s="1313"/>
      <c r="U42" s="1313"/>
      <c r="V42" s="1313"/>
      <c r="W42" s="1313"/>
      <c r="X42" s="1313"/>
      <c r="Y42" s="1313"/>
      <c r="Z42" s="1313"/>
      <c r="AA42" s="1313"/>
      <c r="AB42" s="1591"/>
      <c r="AC42" s="1590"/>
    </row>
    <row r="43" spans="1:29" ht="13.5" customHeight="1">
      <c r="A43" s="1327"/>
      <c r="B43" s="1326"/>
      <c r="C43" s="1592"/>
      <c r="D43" s="1324"/>
      <c r="E43" s="1314"/>
      <c r="F43" s="1313"/>
      <c r="G43" s="1313"/>
      <c r="H43" s="1313"/>
      <c r="I43" s="1313"/>
      <c r="J43" s="1313"/>
      <c r="K43" s="1313"/>
      <c r="L43" s="1313"/>
      <c r="M43" s="1313"/>
      <c r="N43" s="1313"/>
      <c r="O43" s="1313"/>
      <c r="P43" s="1313"/>
      <c r="Q43" s="1313"/>
      <c r="R43" s="1313"/>
      <c r="S43" s="1313"/>
      <c r="T43" s="1313"/>
      <c r="U43" s="1313"/>
      <c r="V43" s="1313"/>
      <c r="W43" s="1313"/>
      <c r="X43" s="1313"/>
      <c r="Y43" s="1313"/>
      <c r="Z43" s="1313"/>
      <c r="AA43" s="1313"/>
      <c r="AB43" s="1591"/>
      <c r="AC43" s="1590"/>
    </row>
    <row r="44" spans="1:29" ht="13.5" customHeight="1">
      <c r="A44" s="1327"/>
      <c r="B44" s="1326"/>
      <c r="C44" s="1592"/>
      <c r="D44" s="1324"/>
      <c r="E44" s="1314"/>
      <c r="F44" s="1313"/>
      <c r="G44" s="1313"/>
      <c r="H44" s="1313"/>
      <c r="I44" s="1313"/>
      <c r="J44" s="1313"/>
      <c r="K44" s="1313"/>
      <c r="L44" s="1313"/>
      <c r="M44" s="1313"/>
      <c r="N44" s="1313"/>
      <c r="O44" s="1313"/>
      <c r="P44" s="1313"/>
      <c r="Q44" s="1313"/>
      <c r="R44" s="1313"/>
      <c r="S44" s="1313"/>
      <c r="T44" s="1313"/>
      <c r="U44" s="1313"/>
      <c r="V44" s="1313"/>
      <c r="W44" s="1313"/>
      <c r="X44" s="1313"/>
      <c r="Y44" s="1313"/>
      <c r="Z44" s="1313"/>
      <c r="AA44" s="1313"/>
      <c r="AB44" s="1591"/>
      <c r="AC44" s="1590"/>
    </row>
    <row r="45" spans="1:29" ht="13.5" customHeight="1">
      <c r="A45" s="1327"/>
      <c r="B45" s="1326"/>
      <c r="C45" s="1592"/>
      <c r="D45" s="1324"/>
      <c r="E45" s="1314"/>
      <c r="F45" s="1313"/>
      <c r="G45" s="1313"/>
      <c r="H45" s="1313"/>
      <c r="I45" s="1313"/>
      <c r="J45" s="1313"/>
      <c r="K45" s="1313"/>
      <c r="L45" s="1313"/>
      <c r="M45" s="1313"/>
      <c r="N45" s="1313"/>
      <c r="O45" s="1313"/>
      <c r="P45" s="1313"/>
      <c r="Q45" s="1313"/>
      <c r="R45" s="1313"/>
      <c r="S45" s="1313"/>
      <c r="T45" s="1313"/>
      <c r="U45" s="1313"/>
      <c r="V45" s="1313"/>
      <c r="W45" s="1313"/>
      <c r="X45" s="1313"/>
      <c r="Y45" s="1313"/>
      <c r="Z45" s="1313"/>
      <c r="AA45" s="1313"/>
      <c r="AB45" s="1591"/>
      <c r="AC45" s="1590"/>
    </row>
    <row r="46" spans="1:29" ht="13.5" customHeight="1">
      <c r="A46" s="1327"/>
      <c r="B46" s="1326"/>
      <c r="C46" s="1592"/>
      <c r="D46" s="1324"/>
      <c r="E46" s="1314"/>
      <c r="F46" s="1313"/>
      <c r="G46" s="1313"/>
      <c r="H46" s="1313"/>
      <c r="I46" s="1313"/>
      <c r="J46" s="1313"/>
      <c r="K46" s="1313"/>
      <c r="L46" s="1313"/>
      <c r="M46" s="1313"/>
      <c r="N46" s="1313"/>
      <c r="O46" s="1313"/>
      <c r="P46" s="1313"/>
      <c r="Q46" s="1313"/>
      <c r="R46" s="1313"/>
      <c r="S46" s="1313"/>
      <c r="T46" s="1313"/>
      <c r="U46" s="1313"/>
      <c r="V46" s="1313"/>
      <c r="W46" s="1313"/>
      <c r="X46" s="1313"/>
      <c r="Y46" s="1313"/>
      <c r="Z46" s="1313"/>
      <c r="AA46" s="1313"/>
      <c r="AB46" s="1591"/>
      <c r="AC46" s="1590"/>
    </row>
    <row r="47" spans="1:29" ht="13.5" customHeight="1">
      <c r="A47" s="1327"/>
      <c r="B47" s="1326"/>
      <c r="C47" s="1592"/>
      <c r="D47" s="1324"/>
      <c r="E47" s="1314"/>
      <c r="F47" s="1313"/>
      <c r="G47" s="1313"/>
      <c r="H47" s="1313"/>
      <c r="I47" s="1313"/>
      <c r="J47" s="1313"/>
      <c r="K47" s="1313"/>
      <c r="L47" s="1313"/>
      <c r="M47" s="1313"/>
      <c r="N47" s="1313"/>
      <c r="O47" s="1313"/>
      <c r="P47" s="1313"/>
      <c r="Q47" s="1313"/>
      <c r="R47" s="1313"/>
      <c r="S47" s="1313"/>
      <c r="T47" s="1313"/>
      <c r="U47" s="1313"/>
      <c r="V47" s="1313"/>
      <c r="W47" s="1313"/>
      <c r="X47" s="1313"/>
      <c r="Y47" s="1313"/>
      <c r="Z47" s="1313"/>
      <c r="AA47" s="1313"/>
      <c r="AB47" s="1591"/>
      <c r="AC47" s="1590"/>
    </row>
    <row r="48" spans="1:29" ht="13.5" customHeight="1">
      <c r="A48" s="1327"/>
      <c r="B48" s="1326"/>
      <c r="C48" s="1592"/>
      <c r="D48" s="1324"/>
      <c r="E48" s="1314"/>
      <c r="F48" s="1313"/>
      <c r="G48" s="1313"/>
      <c r="H48" s="1313"/>
      <c r="I48" s="1313"/>
      <c r="J48" s="1313"/>
      <c r="K48" s="1313"/>
      <c r="L48" s="1313"/>
      <c r="M48" s="1313"/>
      <c r="N48" s="1313"/>
      <c r="O48" s="1313"/>
      <c r="P48" s="1313"/>
      <c r="Q48" s="1313"/>
      <c r="R48" s="1313"/>
      <c r="S48" s="1313"/>
      <c r="T48" s="1313"/>
      <c r="U48" s="1313"/>
      <c r="V48" s="1313"/>
      <c r="W48" s="1313"/>
      <c r="X48" s="1313"/>
      <c r="Y48" s="1313"/>
      <c r="Z48" s="1313"/>
      <c r="AA48" s="1313"/>
      <c r="AB48" s="1591"/>
      <c r="AC48" s="1590"/>
    </row>
    <row r="49" spans="1:29" ht="13.5" customHeight="1">
      <c r="A49" s="1327"/>
      <c r="B49" s="1326"/>
      <c r="C49" s="1592"/>
      <c r="D49" s="1324"/>
      <c r="E49" s="1314"/>
      <c r="F49" s="1313"/>
      <c r="G49" s="1313"/>
      <c r="H49" s="1313"/>
      <c r="I49" s="1313"/>
      <c r="J49" s="1313"/>
      <c r="K49" s="1313"/>
      <c r="L49" s="1313"/>
      <c r="M49" s="1313"/>
      <c r="N49" s="1313"/>
      <c r="O49" s="1313"/>
      <c r="P49" s="1313"/>
      <c r="Q49" s="1313"/>
      <c r="R49" s="1313"/>
      <c r="S49" s="1313"/>
      <c r="T49" s="1313"/>
      <c r="U49" s="1313"/>
      <c r="V49" s="1313"/>
      <c r="W49" s="1313"/>
      <c r="X49" s="1313"/>
      <c r="Y49" s="1313"/>
      <c r="Z49" s="1313"/>
      <c r="AA49" s="1313"/>
      <c r="AB49" s="1591"/>
      <c r="AC49" s="1590"/>
    </row>
    <row r="50" spans="1:29" ht="13.5" customHeight="1">
      <c r="A50" s="1327"/>
      <c r="B50" s="1326"/>
      <c r="C50" s="1592"/>
      <c r="D50" s="1324"/>
      <c r="E50" s="1314"/>
      <c r="F50" s="1313"/>
      <c r="G50" s="1313"/>
      <c r="H50" s="1313"/>
      <c r="I50" s="1313"/>
      <c r="J50" s="1313"/>
      <c r="K50" s="1313"/>
      <c r="L50" s="1313"/>
      <c r="M50" s="1313"/>
      <c r="N50" s="1313"/>
      <c r="O50" s="1313"/>
      <c r="P50" s="1313"/>
      <c r="Q50" s="1313"/>
      <c r="R50" s="1313"/>
      <c r="S50" s="1313"/>
      <c r="T50" s="1313"/>
      <c r="U50" s="1313"/>
      <c r="V50" s="1313"/>
      <c r="W50" s="1313"/>
      <c r="X50" s="1313"/>
      <c r="Y50" s="1313"/>
      <c r="Z50" s="1313"/>
      <c r="AA50" s="1313"/>
      <c r="AB50" s="1591"/>
      <c r="AC50" s="1590"/>
    </row>
    <row r="51" spans="1:29" ht="13.5" customHeight="1">
      <c r="A51" s="1327"/>
      <c r="B51" s="1326"/>
      <c r="C51" s="1592"/>
      <c r="D51" s="1324"/>
      <c r="E51" s="1314"/>
      <c r="F51" s="1313"/>
      <c r="G51" s="1313"/>
      <c r="H51" s="1313"/>
      <c r="I51" s="1313"/>
      <c r="J51" s="1313"/>
      <c r="K51" s="1313"/>
      <c r="L51" s="1313"/>
      <c r="M51" s="1313"/>
      <c r="N51" s="1313"/>
      <c r="O51" s="1313"/>
      <c r="P51" s="1313"/>
      <c r="Q51" s="1313"/>
      <c r="R51" s="1313"/>
      <c r="S51" s="1313"/>
      <c r="T51" s="1313"/>
      <c r="U51" s="1313"/>
      <c r="V51" s="1313"/>
      <c r="W51" s="1313"/>
      <c r="X51" s="1313"/>
      <c r="Y51" s="1313"/>
      <c r="Z51" s="1313"/>
      <c r="AA51" s="1313"/>
      <c r="AB51" s="1591"/>
      <c r="AC51" s="1590"/>
    </row>
    <row r="52" spans="1:29" ht="13.5" customHeight="1">
      <c r="A52" s="1327"/>
      <c r="B52" s="1326"/>
      <c r="C52" s="1592"/>
      <c r="D52" s="1324"/>
      <c r="E52" s="1314"/>
      <c r="F52" s="1313"/>
      <c r="G52" s="1313"/>
      <c r="H52" s="1313"/>
      <c r="I52" s="1313"/>
      <c r="J52" s="1313"/>
      <c r="K52" s="1313"/>
      <c r="L52" s="1313"/>
      <c r="M52" s="1313"/>
      <c r="N52" s="1313"/>
      <c r="O52" s="1313"/>
      <c r="P52" s="1313"/>
      <c r="Q52" s="1313"/>
      <c r="R52" s="1313"/>
      <c r="S52" s="1313"/>
      <c r="T52" s="1313"/>
      <c r="U52" s="1313"/>
      <c r="V52" s="1313"/>
      <c r="W52" s="1313"/>
      <c r="X52" s="1313"/>
      <c r="Y52" s="1313"/>
      <c r="Z52" s="1313"/>
      <c r="AA52" s="1313"/>
      <c r="AB52" s="1591"/>
      <c r="AC52" s="1590"/>
    </row>
    <row r="53" spans="1:29" ht="13.5" customHeight="1">
      <c r="A53" s="1327"/>
      <c r="B53" s="1326"/>
      <c r="C53" s="1592"/>
      <c r="D53" s="1324"/>
      <c r="E53" s="1314"/>
      <c r="F53" s="1313"/>
      <c r="G53" s="1313"/>
      <c r="H53" s="1313"/>
      <c r="I53" s="1313"/>
      <c r="J53" s="1313"/>
      <c r="K53" s="1313"/>
      <c r="L53" s="1313"/>
      <c r="M53" s="1313"/>
      <c r="N53" s="1313"/>
      <c r="O53" s="1313"/>
      <c r="P53" s="1313"/>
      <c r="Q53" s="1313"/>
      <c r="R53" s="1313"/>
      <c r="S53" s="1313"/>
      <c r="T53" s="1313"/>
      <c r="U53" s="1313"/>
      <c r="V53" s="1313"/>
      <c r="W53" s="1313"/>
      <c r="X53" s="1313"/>
      <c r="Y53" s="1313"/>
      <c r="Z53" s="1313"/>
      <c r="AA53" s="1313"/>
      <c r="AB53" s="1591"/>
      <c r="AC53" s="1590"/>
    </row>
    <row r="54" spans="1:29" ht="13.5" customHeight="1">
      <c r="A54" s="1327"/>
      <c r="B54" s="1326"/>
      <c r="C54" s="1592"/>
      <c r="D54" s="1324"/>
      <c r="E54" s="1314"/>
      <c r="F54" s="1313"/>
      <c r="G54" s="1313"/>
      <c r="H54" s="1313"/>
      <c r="I54" s="1313"/>
      <c r="J54" s="1313"/>
      <c r="K54" s="1313"/>
      <c r="L54" s="1313"/>
      <c r="M54" s="1313"/>
      <c r="N54" s="1313"/>
      <c r="O54" s="1313"/>
      <c r="P54" s="1313"/>
      <c r="Q54" s="1313"/>
      <c r="R54" s="1313"/>
      <c r="S54" s="1313"/>
      <c r="T54" s="1313"/>
      <c r="U54" s="1313"/>
      <c r="V54" s="1313"/>
      <c r="W54" s="1313"/>
      <c r="X54" s="1313"/>
      <c r="Y54" s="1313"/>
      <c r="Z54" s="1313"/>
      <c r="AA54" s="1313"/>
      <c r="AB54" s="1591"/>
      <c r="AC54" s="1590"/>
    </row>
    <row r="55" spans="1:29" ht="13.5" customHeight="1" thickBot="1">
      <c r="A55" s="1430"/>
      <c r="B55" s="1431"/>
      <c r="C55" s="1614"/>
      <c r="D55" s="1433"/>
      <c r="E55" s="1437"/>
      <c r="F55" s="1438"/>
      <c r="G55" s="1438"/>
      <c r="H55" s="1438"/>
      <c r="I55" s="1438"/>
      <c r="J55" s="1438"/>
      <c r="K55" s="1438"/>
      <c r="L55" s="1438"/>
      <c r="M55" s="1438"/>
      <c r="N55" s="1438"/>
      <c r="O55" s="1438"/>
      <c r="P55" s="1438"/>
      <c r="Q55" s="1438"/>
      <c r="R55" s="1438"/>
      <c r="S55" s="1438"/>
      <c r="T55" s="1438"/>
      <c r="U55" s="1438"/>
      <c r="V55" s="1438"/>
      <c r="W55" s="1438"/>
      <c r="X55" s="1438"/>
      <c r="Y55" s="1438"/>
      <c r="Z55" s="1438"/>
      <c r="AA55" s="1438"/>
      <c r="AB55" s="1615"/>
      <c r="AC55" s="1616"/>
    </row>
    <row r="56" spans="1:29" ht="18.95" customHeight="1" thickTop="1" thickBot="1">
      <c r="A56" s="1684" t="s">
        <v>948</v>
      </c>
      <c r="B56" s="1664"/>
      <c r="C56" s="1665"/>
      <c r="D56" s="1685">
        <v>212</v>
      </c>
      <c r="E56" s="1686">
        <v>115852</v>
      </c>
      <c r="F56" s="1687">
        <v>115794</v>
      </c>
      <c r="G56" s="1687">
        <v>115750</v>
      </c>
      <c r="H56" s="1687">
        <v>115706</v>
      </c>
      <c r="I56" s="1687">
        <v>115675</v>
      </c>
      <c r="J56" s="1687">
        <v>115642</v>
      </c>
      <c r="K56" s="1687">
        <v>115891</v>
      </c>
      <c r="L56" s="1687">
        <v>116339</v>
      </c>
      <c r="M56" s="1687">
        <v>119392</v>
      </c>
      <c r="N56" s="1687">
        <v>119067</v>
      </c>
      <c r="O56" s="1687">
        <v>119342</v>
      </c>
      <c r="P56" s="1687">
        <v>119547</v>
      </c>
      <c r="Q56" s="1687">
        <v>119751</v>
      </c>
      <c r="R56" s="1688">
        <v>119884</v>
      </c>
      <c r="S56" s="1687">
        <v>119865</v>
      </c>
      <c r="T56" s="1687">
        <v>119840</v>
      </c>
      <c r="U56" s="1687">
        <v>119660</v>
      </c>
      <c r="V56" s="1687">
        <v>119314</v>
      </c>
      <c r="W56" s="1687">
        <v>117089</v>
      </c>
      <c r="X56" s="1687">
        <v>116722</v>
      </c>
      <c r="Y56" s="1687">
        <v>116503</v>
      </c>
      <c r="Z56" s="1687">
        <v>116277</v>
      </c>
      <c r="AA56" s="1687">
        <v>116046</v>
      </c>
      <c r="AB56" s="1687">
        <v>115908</v>
      </c>
      <c r="AC56" s="1689"/>
    </row>
    <row r="57" spans="1:29" ht="13.5" customHeight="1" thickTop="1">
      <c r="A57" s="1671" t="s">
        <v>941</v>
      </c>
      <c r="B57" s="1664"/>
      <c r="C57" s="1665"/>
      <c r="D57" s="1672">
        <v>212</v>
      </c>
      <c r="E57" s="1673">
        <v>116</v>
      </c>
      <c r="F57" s="1674">
        <v>116</v>
      </c>
      <c r="G57" s="1674">
        <v>116</v>
      </c>
      <c r="H57" s="1674">
        <v>116</v>
      </c>
      <c r="I57" s="1674">
        <v>116</v>
      </c>
      <c r="J57" s="1674">
        <v>116</v>
      </c>
      <c r="K57" s="1674">
        <v>116</v>
      </c>
      <c r="L57" s="1674">
        <v>117</v>
      </c>
      <c r="M57" s="1674">
        <v>120</v>
      </c>
      <c r="N57" s="1674">
        <v>119</v>
      </c>
      <c r="O57" s="1674">
        <v>120</v>
      </c>
      <c r="P57" s="1674">
        <v>120</v>
      </c>
      <c r="Q57" s="1674">
        <v>120</v>
      </c>
      <c r="R57" s="1675">
        <v>120</v>
      </c>
      <c r="S57" s="1674">
        <v>120</v>
      </c>
      <c r="T57" s="1674">
        <v>120</v>
      </c>
      <c r="U57" s="1674">
        <v>120</v>
      </c>
      <c r="V57" s="1674">
        <v>120</v>
      </c>
      <c r="W57" s="1674">
        <v>117</v>
      </c>
      <c r="X57" s="1674">
        <v>117</v>
      </c>
      <c r="Y57" s="1674">
        <v>117</v>
      </c>
      <c r="Z57" s="1674">
        <v>117</v>
      </c>
      <c r="AA57" s="1674">
        <v>116</v>
      </c>
      <c r="AB57" s="1674">
        <v>116</v>
      </c>
      <c r="AC57" s="1676"/>
    </row>
    <row r="58" spans="1:29" ht="13.5" customHeight="1">
      <c r="A58" s="1677" t="s">
        <v>942</v>
      </c>
      <c r="B58" s="1613"/>
      <c r="C58" s="1678"/>
      <c r="D58" s="1679">
        <v>212</v>
      </c>
      <c r="E58" s="1680">
        <v>546</v>
      </c>
      <c r="F58" s="1681">
        <v>546</v>
      </c>
      <c r="G58" s="1681">
        <v>546</v>
      </c>
      <c r="H58" s="1681">
        <v>546</v>
      </c>
      <c r="I58" s="1681">
        <v>546</v>
      </c>
      <c r="J58" s="1681">
        <v>545</v>
      </c>
      <c r="K58" s="1681">
        <v>547</v>
      </c>
      <c r="L58" s="1681">
        <v>549</v>
      </c>
      <c r="M58" s="1681">
        <v>563</v>
      </c>
      <c r="N58" s="1681">
        <v>562</v>
      </c>
      <c r="O58" s="1681">
        <v>563</v>
      </c>
      <c r="P58" s="1681">
        <v>564</v>
      </c>
      <c r="Q58" s="1681">
        <v>565</v>
      </c>
      <c r="R58" s="1683">
        <v>565</v>
      </c>
      <c r="S58" s="1681">
        <v>565</v>
      </c>
      <c r="T58" s="1681">
        <v>565</v>
      </c>
      <c r="U58" s="1681">
        <v>564</v>
      </c>
      <c r="V58" s="1681">
        <v>563</v>
      </c>
      <c r="W58" s="1681">
        <v>552</v>
      </c>
      <c r="X58" s="1681">
        <v>551</v>
      </c>
      <c r="Y58" s="1681">
        <v>550</v>
      </c>
      <c r="Z58" s="1681">
        <v>548</v>
      </c>
      <c r="AA58" s="1681">
        <v>547</v>
      </c>
      <c r="AB58" s="1681">
        <v>547</v>
      </c>
      <c r="AC58" s="1682"/>
    </row>
    <row r="65" spans="3:26" s="1297" customFormat="1" ht="13.5" customHeight="1">
      <c r="C65" s="1304"/>
      <c r="D65" s="1304"/>
      <c r="E65" s="1304"/>
      <c r="G65" s="1301"/>
      <c r="K65" s="1301"/>
      <c r="N65" s="1301"/>
      <c r="Q65" s="1301"/>
      <c r="S65" s="1301"/>
      <c r="T65" s="1301"/>
      <c r="W65" s="1301"/>
      <c r="Z65" s="1301"/>
    </row>
    <row r="66" spans="3:26" s="1297" customFormat="1" ht="13.5" customHeight="1">
      <c r="C66" s="1304"/>
      <c r="D66" s="1304"/>
      <c r="E66" s="1304"/>
      <c r="F66" s="1305"/>
      <c r="G66" s="1301"/>
      <c r="J66" s="1305"/>
      <c r="K66" s="1301"/>
      <c r="N66" s="1301"/>
      <c r="P66" s="1305"/>
      <c r="Q66" s="1301"/>
      <c r="S66" s="1301"/>
      <c r="T66" s="1301"/>
      <c r="V66" s="1305"/>
      <c r="W66" s="1301"/>
      <c r="Z66" s="1301"/>
    </row>
    <row r="67" spans="3:26" s="1297" customFormat="1" ht="13.5" customHeight="1">
      <c r="C67" s="1304"/>
      <c r="D67" s="1304"/>
      <c r="E67" s="1304"/>
      <c r="F67" s="1303"/>
      <c r="G67" s="1301"/>
      <c r="J67" s="1303"/>
      <c r="K67" s="1301"/>
      <c r="N67" s="1301"/>
      <c r="P67" s="1303"/>
      <c r="Q67" s="1301"/>
      <c r="S67" s="1301"/>
      <c r="T67" s="1301"/>
      <c r="V67" s="1303"/>
      <c r="W67" s="1301"/>
      <c r="Z67" s="1301"/>
    </row>
    <row r="68" spans="3:26" s="1297" customFormat="1" ht="13.5" customHeight="1">
      <c r="C68" s="1302"/>
      <c r="D68" s="1302"/>
      <c r="E68" s="1302"/>
      <c r="F68" s="1301"/>
      <c r="J68" s="1301"/>
      <c r="P68" s="1301"/>
      <c r="V68" s="1301"/>
    </row>
  </sheetData>
  <mergeCells count="24">
    <mergeCell ref="A31:C31"/>
    <mergeCell ref="A56:C56"/>
    <mergeCell ref="A57:C57"/>
    <mergeCell ref="A58:C58"/>
    <mergeCell ref="C28:D28"/>
    <mergeCell ref="A11:C11"/>
    <mergeCell ref="A20:C20"/>
    <mergeCell ref="A29:C29"/>
    <mergeCell ref="A13:C13"/>
    <mergeCell ref="A22:C22"/>
    <mergeCell ref="A6:AC6"/>
    <mergeCell ref="A15:AC15"/>
    <mergeCell ref="A24:AC24"/>
    <mergeCell ref="A7:C7"/>
    <mergeCell ref="A16:C16"/>
    <mergeCell ref="A25:C25"/>
    <mergeCell ref="C10:D10"/>
    <mergeCell ref="C19:D19"/>
    <mergeCell ref="A4:A5"/>
    <mergeCell ref="B4:B5"/>
    <mergeCell ref="C4:C5"/>
    <mergeCell ref="D4:D5"/>
    <mergeCell ref="E4:AB4"/>
    <mergeCell ref="AC4:AC5"/>
  </mergeCells>
  <phoneticPr fontId="4"/>
  <pageMargins left="0.39370078740157483" right="0.39370078740157483" top="0.78740157480314965" bottom="0.55118110236220474" header="0.59055118110236227" footer="0.31496062992125984"/>
  <pageSetup paperSize="9" scale="54" fitToHeight="0" orientation="landscape" horizontalDpi="1200" verticalDpi="1200" r:id="rId1"/>
  <headerFooter scaleWithDoc="0" alignWithMargins="0">
    <oddFooter>&amp;C&amp;"ＭＳ Ｐゴシック,標準"&amp;9( &amp;P / &amp;N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AC68"/>
  <sheetViews>
    <sheetView showGridLines="0" zoomScale="80" zoomScaleNormal="80" workbookViewId="0">
      <pane xSplit="4" ySplit="5" topLeftCell="E6" activePane="bottomRight" state="frozenSplit"/>
      <selection pane="topRight" activeCell="P1" sqref="P1"/>
      <selection pane="bottomLeft" activeCell="A17" sqref="A17"/>
      <selection pane="bottomRight"/>
    </sheetView>
  </sheetViews>
  <sheetFormatPr defaultColWidth="9.140625" defaultRowHeight="13.5" customHeight="1"/>
  <cols>
    <col min="1" max="1" width="5.42578125" style="1297" customWidth="1"/>
    <col min="2" max="2" width="7.5703125" style="1297" customWidth="1"/>
    <col min="3" max="3" width="33.7109375" style="1297" customWidth="1"/>
    <col min="4" max="4" width="10.7109375" style="1297" customWidth="1"/>
    <col min="5" max="28" width="7.7109375" style="1297" customWidth="1"/>
    <col min="29" max="29" width="14.7109375" style="1297" customWidth="1"/>
    <col min="30" max="16384" width="9.140625" style="1293"/>
  </cols>
  <sheetData>
    <row r="1" spans="1:29" s="1601" customFormat="1" ht="30" customHeight="1">
      <c r="A1" s="1609" t="s">
        <v>949</v>
      </c>
      <c r="B1" s="1608"/>
      <c r="C1" s="1607"/>
      <c r="D1" s="1606"/>
      <c r="E1" s="1605"/>
      <c r="F1" s="1605"/>
      <c r="G1" s="1605"/>
      <c r="H1" s="1604"/>
      <c r="I1" s="1604"/>
      <c r="J1" s="1605"/>
      <c r="K1" s="1605"/>
      <c r="L1" s="1604"/>
      <c r="M1" s="1604"/>
      <c r="N1" s="1605"/>
      <c r="O1" s="1604"/>
      <c r="P1" s="1605"/>
      <c r="Q1" s="1605"/>
      <c r="R1" s="1604"/>
      <c r="S1" s="1605"/>
      <c r="T1" s="1605"/>
      <c r="U1" s="1604"/>
      <c r="V1" s="1605"/>
      <c r="W1" s="1605"/>
      <c r="X1" s="1604"/>
      <c r="Y1" s="1604"/>
      <c r="Z1" s="1605"/>
      <c r="AA1" s="1604"/>
      <c r="AB1" s="1603"/>
      <c r="AC1" s="1602"/>
    </row>
    <row r="4" spans="1:29" ht="13.5" customHeight="1">
      <c r="A4" s="1401" t="s">
        <v>363</v>
      </c>
      <c r="B4" s="1400" t="s">
        <v>341</v>
      </c>
      <c r="C4" s="1561" t="s">
        <v>729</v>
      </c>
      <c r="D4" s="1600" t="s">
        <v>728</v>
      </c>
      <c r="E4" s="1599" t="s">
        <v>943</v>
      </c>
      <c r="F4" s="1598"/>
      <c r="G4" s="1598"/>
      <c r="H4" s="1598"/>
      <c r="I4" s="1598"/>
      <c r="J4" s="1598"/>
      <c r="K4" s="1598"/>
      <c r="L4" s="1598"/>
      <c r="M4" s="1598"/>
      <c r="N4" s="1598"/>
      <c r="O4" s="1598"/>
      <c r="P4" s="1598"/>
      <c r="Q4" s="1598"/>
      <c r="R4" s="1598"/>
      <c r="S4" s="1598"/>
      <c r="T4" s="1598"/>
      <c r="U4" s="1598"/>
      <c r="V4" s="1598"/>
      <c r="W4" s="1598"/>
      <c r="X4" s="1598"/>
      <c r="Y4" s="1598"/>
      <c r="Z4" s="1598"/>
      <c r="AA4" s="1598"/>
      <c r="AB4" s="1597"/>
      <c r="AC4" s="1596" t="s">
        <v>843</v>
      </c>
    </row>
    <row r="5" spans="1:29" ht="13.5" customHeight="1">
      <c r="A5" s="1369"/>
      <c r="B5" s="1368"/>
      <c r="C5" s="1554"/>
      <c r="D5" s="1610"/>
      <c r="E5" s="1595">
        <v>1</v>
      </c>
      <c r="F5" s="1594">
        <v>2</v>
      </c>
      <c r="G5" s="1594">
        <v>3</v>
      </c>
      <c r="H5" s="1594">
        <v>4</v>
      </c>
      <c r="I5" s="1594">
        <v>5</v>
      </c>
      <c r="J5" s="1594">
        <v>6</v>
      </c>
      <c r="K5" s="1594">
        <v>7</v>
      </c>
      <c r="L5" s="1594">
        <v>8</v>
      </c>
      <c r="M5" s="1594">
        <v>9</v>
      </c>
      <c r="N5" s="1594">
        <v>10</v>
      </c>
      <c r="O5" s="1594">
        <v>11</v>
      </c>
      <c r="P5" s="1594">
        <v>12</v>
      </c>
      <c r="Q5" s="1594">
        <v>13</v>
      </c>
      <c r="R5" s="1594">
        <v>14</v>
      </c>
      <c r="S5" s="1594">
        <v>15</v>
      </c>
      <c r="T5" s="1594">
        <v>16</v>
      </c>
      <c r="U5" s="1594">
        <v>17</v>
      </c>
      <c r="V5" s="1594">
        <v>18</v>
      </c>
      <c r="W5" s="1594">
        <v>19</v>
      </c>
      <c r="X5" s="1594">
        <v>20</v>
      </c>
      <c r="Y5" s="1594">
        <v>21</v>
      </c>
      <c r="Z5" s="1594">
        <v>22</v>
      </c>
      <c r="AA5" s="1594">
        <v>23</v>
      </c>
      <c r="AB5" s="1593">
        <v>24</v>
      </c>
      <c r="AC5" s="1611"/>
    </row>
    <row r="6" spans="1:29" ht="13.5" customHeight="1">
      <c r="A6" s="1617" t="s">
        <v>375</v>
      </c>
      <c r="B6" s="1618"/>
      <c r="C6" s="1618"/>
      <c r="D6" s="1618"/>
      <c r="E6" s="1618"/>
      <c r="F6" s="1618"/>
      <c r="G6" s="1618"/>
      <c r="H6" s="1618"/>
      <c r="I6" s="1618"/>
      <c r="J6" s="1618"/>
      <c r="K6" s="1618"/>
      <c r="L6" s="1618"/>
      <c r="M6" s="1618"/>
      <c r="N6" s="1618"/>
      <c r="O6" s="1618"/>
      <c r="P6" s="1618"/>
      <c r="Q6" s="1618"/>
      <c r="R6" s="1618"/>
      <c r="S6" s="1618"/>
      <c r="T6" s="1618"/>
      <c r="U6" s="1618"/>
      <c r="V6" s="1618"/>
      <c r="W6" s="1618"/>
      <c r="X6" s="1618"/>
      <c r="Y6" s="1618"/>
      <c r="Z6" s="1618"/>
      <c r="AA6" s="1618"/>
      <c r="AB6" s="1618"/>
      <c r="AC6" s="1619"/>
    </row>
    <row r="7" spans="1:29" ht="13.5" customHeight="1">
      <c r="A7" s="1626" t="s">
        <v>950</v>
      </c>
      <c r="B7" s="1627"/>
      <c r="C7" s="1628"/>
      <c r="D7" s="1621"/>
      <c r="E7" s="1622"/>
      <c r="F7" s="1623"/>
      <c r="G7" s="1623"/>
      <c r="H7" s="1623"/>
      <c r="I7" s="1623"/>
      <c r="J7" s="1623"/>
      <c r="K7" s="1623"/>
      <c r="L7" s="1623"/>
      <c r="M7" s="1623"/>
      <c r="N7" s="1623"/>
      <c r="O7" s="1623"/>
      <c r="P7" s="1623"/>
      <c r="Q7" s="1623"/>
      <c r="R7" s="1623"/>
      <c r="S7" s="1623"/>
      <c r="T7" s="1623"/>
      <c r="U7" s="1623"/>
      <c r="V7" s="1623"/>
      <c r="W7" s="1623"/>
      <c r="X7" s="1623"/>
      <c r="Y7" s="1623"/>
      <c r="Z7" s="1623"/>
      <c r="AA7" s="1623"/>
      <c r="AB7" s="1624"/>
      <c r="AC7" s="1625"/>
    </row>
    <row r="8" spans="1:29" ht="13.5" customHeight="1">
      <c r="A8" s="1327">
        <v>3</v>
      </c>
      <c r="B8" s="1326">
        <v>301</v>
      </c>
      <c r="C8" s="1612" t="s">
        <v>613</v>
      </c>
      <c r="D8" s="1324">
        <v>153.66999999999999</v>
      </c>
      <c r="E8" s="1314">
        <v>0</v>
      </c>
      <c r="F8" s="1313">
        <v>0</v>
      </c>
      <c r="G8" s="1313">
        <v>0</v>
      </c>
      <c r="H8" s="1313">
        <v>0</v>
      </c>
      <c r="I8" s="1313">
        <v>0</v>
      </c>
      <c r="J8" s="1313">
        <v>0</v>
      </c>
      <c r="K8" s="1313">
        <v>0</v>
      </c>
      <c r="L8" s="1313">
        <v>0</v>
      </c>
      <c r="M8" s="1313">
        <v>2736</v>
      </c>
      <c r="N8" s="1313">
        <v>2976</v>
      </c>
      <c r="O8" s="1313">
        <v>3200</v>
      </c>
      <c r="P8" s="1313">
        <v>3232</v>
      </c>
      <c r="Q8" s="1313">
        <v>3360</v>
      </c>
      <c r="R8" s="1313">
        <v>3328</v>
      </c>
      <c r="S8" s="1313">
        <v>3440</v>
      </c>
      <c r="T8" s="1313">
        <v>3344</v>
      </c>
      <c r="U8" s="1313">
        <v>3136</v>
      </c>
      <c r="V8" s="1313">
        <v>3024</v>
      </c>
      <c r="W8" s="1313">
        <v>0</v>
      </c>
      <c r="X8" s="1313">
        <v>0</v>
      </c>
      <c r="Y8" s="1313">
        <v>0</v>
      </c>
      <c r="Z8" s="1313">
        <v>0</v>
      </c>
      <c r="AA8" s="1313">
        <v>0</v>
      </c>
      <c r="AB8" s="1591">
        <v>0</v>
      </c>
      <c r="AC8" s="1590"/>
    </row>
    <row r="9" spans="1:29" ht="13.5" customHeight="1">
      <c r="A9" s="1430">
        <v>3</v>
      </c>
      <c r="B9" s="1431">
        <v>302</v>
      </c>
      <c r="C9" s="1614" t="s">
        <v>678</v>
      </c>
      <c r="D9" s="1433">
        <v>115.57</v>
      </c>
      <c r="E9" s="1437">
        <v>0</v>
      </c>
      <c r="F9" s="1438">
        <v>0</v>
      </c>
      <c r="G9" s="1438">
        <v>0</v>
      </c>
      <c r="H9" s="1438">
        <v>0</v>
      </c>
      <c r="I9" s="1438">
        <v>0</v>
      </c>
      <c r="J9" s="1438">
        <v>0</v>
      </c>
      <c r="K9" s="1438">
        <v>0</v>
      </c>
      <c r="L9" s="1438">
        <v>0</v>
      </c>
      <c r="M9" s="1438">
        <v>2052</v>
      </c>
      <c r="N9" s="1438">
        <v>2232</v>
      </c>
      <c r="O9" s="1438">
        <v>2400</v>
      </c>
      <c r="P9" s="1438">
        <v>2424</v>
      </c>
      <c r="Q9" s="1438">
        <v>2520</v>
      </c>
      <c r="R9" s="1438">
        <v>2496</v>
      </c>
      <c r="S9" s="1438">
        <v>2580</v>
      </c>
      <c r="T9" s="1438">
        <v>2508</v>
      </c>
      <c r="U9" s="1438">
        <v>2352</v>
      </c>
      <c r="V9" s="1438">
        <v>2268</v>
      </c>
      <c r="W9" s="1438">
        <v>0</v>
      </c>
      <c r="X9" s="1438">
        <v>0</v>
      </c>
      <c r="Y9" s="1438">
        <v>0</v>
      </c>
      <c r="Z9" s="1438">
        <v>0</v>
      </c>
      <c r="AA9" s="1438">
        <v>0</v>
      </c>
      <c r="AB9" s="1615">
        <v>0</v>
      </c>
      <c r="AC9" s="1616"/>
    </row>
    <row r="10" spans="1:29" ht="13.5" customHeight="1">
      <c r="A10" s="1631"/>
      <c r="B10" s="1632"/>
      <c r="C10" s="1633" t="s">
        <v>934</v>
      </c>
      <c r="D10" s="1634"/>
      <c r="E10" s="1635">
        <v>0</v>
      </c>
      <c r="F10" s="1636">
        <v>0</v>
      </c>
      <c r="G10" s="1636">
        <v>0</v>
      </c>
      <c r="H10" s="1636">
        <v>0</v>
      </c>
      <c r="I10" s="1636">
        <v>0</v>
      </c>
      <c r="J10" s="1636">
        <v>0</v>
      </c>
      <c r="K10" s="1636">
        <v>0</v>
      </c>
      <c r="L10" s="1636">
        <v>0</v>
      </c>
      <c r="M10" s="1636">
        <v>194</v>
      </c>
      <c r="N10" s="1636">
        <v>194</v>
      </c>
      <c r="O10" s="1636">
        <v>194</v>
      </c>
      <c r="P10" s="1636">
        <v>194</v>
      </c>
      <c r="Q10" s="1636">
        <v>194</v>
      </c>
      <c r="R10" s="1636">
        <v>194</v>
      </c>
      <c r="S10" s="1636">
        <v>194</v>
      </c>
      <c r="T10" s="1636">
        <v>194</v>
      </c>
      <c r="U10" s="1636">
        <v>194</v>
      </c>
      <c r="V10" s="1636">
        <v>194</v>
      </c>
      <c r="W10" s="1636">
        <v>0</v>
      </c>
      <c r="X10" s="1636">
        <v>0</v>
      </c>
      <c r="Y10" s="1636">
        <v>0</v>
      </c>
      <c r="Z10" s="1636">
        <v>0</v>
      </c>
      <c r="AA10" s="1636">
        <v>0</v>
      </c>
      <c r="AB10" s="1636">
        <v>0</v>
      </c>
      <c r="AC10" s="1637"/>
    </row>
    <row r="11" spans="1:29" ht="13.5" customHeight="1" thickBot="1">
      <c r="A11" s="1631"/>
      <c r="B11" s="1632"/>
      <c r="C11" s="1633" t="s">
        <v>935</v>
      </c>
      <c r="D11" s="1634"/>
      <c r="E11" s="1635">
        <v>0</v>
      </c>
      <c r="F11" s="1636">
        <v>0</v>
      </c>
      <c r="G11" s="1636">
        <v>0</v>
      </c>
      <c r="H11" s="1636">
        <v>0</v>
      </c>
      <c r="I11" s="1636">
        <v>0</v>
      </c>
      <c r="J11" s="1636">
        <v>0</v>
      </c>
      <c r="K11" s="1636">
        <v>0</v>
      </c>
      <c r="L11" s="1636">
        <v>0</v>
      </c>
      <c r="M11" s="1636">
        <v>6412</v>
      </c>
      <c r="N11" s="1636">
        <v>6412</v>
      </c>
      <c r="O11" s="1636">
        <v>6412</v>
      </c>
      <c r="P11" s="1636">
        <v>6412</v>
      </c>
      <c r="Q11" s="1636">
        <v>6412</v>
      </c>
      <c r="R11" s="1636">
        <v>6412</v>
      </c>
      <c r="S11" s="1636">
        <v>6412</v>
      </c>
      <c r="T11" s="1636">
        <v>6412</v>
      </c>
      <c r="U11" s="1636">
        <v>6412</v>
      </c>
      <c r="V11" s="1636">
        <v>6412</v>
      </c>
      <c r="W11" s="1636">
        <v>0</v>
      </c>
      <c r="X11" s="1636">
        <v>0</v>
      </c>
      <c r="Y11" s="1636">
        <v>0</v>
      </c>
      <c r="Z11" s="1636">
        <v>0</v>
      </c>
      <c r="AA11" s="1636">
        <v>0</v>
      </c>
      <c r="AB11" s="1636">
        <v>0</v>
      </c>
      <c r="AC11" s="1637"/>
    </row>
    <row r="12" spans="1:29" ht="13.5" customHeight="1" thickTop="1">
      <c r="A12" s="1642" t="s">
        <v>951</v>
      </c>
      <c r="B12" s="1585"/>
      <c r="C12" s="1586"/>
      <c r="D12" s="1643">
        <v>269.24</v>
      </c>
      <c r="E12" s="1639">
        <v>0</v>
      </c>
      <c r="F12" s="1640">
        <v>0</v>
      </c>
      <c r="G12" s="1640">
        <v>0</v>
      </c>
      <c r="H12" s="1640">
        <v>0</v>
      </c>
      <c r="I12" s="1640">
        <v>0</v>
      </c>
      <c r="J12" s="1640">
        <v>0</v>
      </c>
      <c r="K12" s="1640">
        <v>0</v>
      </c>
      <c r="L12" s="1640">
        <v>0</v>
      </c>
      <c r="M12" s="1640">
        <v>11394</v>
      </c>
      <c r="N12" s="1640">
        <v>11814</v>
      </c>
      <c r="O12" s="1640">
        <v>12206</v>
      </c>
      <c r="P12" s="1640">
        <v>12262</v>
      </c>
      <c r="Q12" s="1640">
        <v>12486</v>
      </c>
      <c r="R12" s="1640">
        <v>12430</v>
      </c>
      <c r="S12" s="1640">
        <v>12626</v>
      </c>
      <c r="T12" s="1640">
        <v>12458</v>
      </c>
      <c r="U12" s="1640">
        <v>12094</v>
      </c>
      <c r="V12" s="1640">
        <v>11898</v>
      </c>
      <c r="W12" s="1640">
        <v>0</v>
      </c>
      <c r="X12" s="1640">
        <v>0</v>
      </c>
      <c r="Y12" s="1640">
        <v>0</v>
      </c>
      <c r="Z12" s="1640">
        <v>0</v>
      </c>
      <c r="AA12" s="1640">
        <v>0</v>
      </c>
      <c r="AB12" s="1640">
        <v>0</v>
      </c>
      <c r="AC12" s="1641"/>
    </row>
    <row r="13" spans="1:29" ht="13.5" customHeight="1">
      <c r="A13" s="1430"/>
      <c r="B13" s="1431"/>
      <c r="C13" s="1644"/>
      <c r="D13" s="1433"/>
      <c r="E13" s="1437"/>
      <c r="F13" s="1438"/>
      <c r="G13" s="1438"/>
      <c r="H13" s="1438"/>
      <c r="I13" s="1438"/>
      <c r="J13" s="1438"/>
      <c r="K13" s="1438"/>
      <c r="L13" s="1438"/>
      <c r="M13" s="1438"/>
      <c r="N13" s="1438"/>
      <c r="O13" s="1438"/>
      <c r="P13" s="1438"/>
      <c r="Q13" s="1438"/>
      <c r="R13" s="1438"/>
      <c r="S13" s="1438"/>
      <c r="T13" s="1438"/>
      <c r="U13" s="1438"/>
      <c r="V13" s="1438"/>
      <c r="W13" s="1438"/>
      <c r="X13" s="1438"/>
      <c r="Y13" s="1438"/>
      <c r="Z13" s="1438"/>
      <c r="AA13" s="1438"/>
      <c r="AB13" s="1615"/>
      <c r="AC13" s="1616"/>
    </row>
    <row r="14" spans="1:29" ht="13.5" customHeight="1">
      <c r="A14" s="1626" t="s">
        <v>952</v>
      </c>
      <c r="B14" s="1627"/>
      <c r="C14" s="1628"/>
      <c r="D14" s="1621"/>
      <c r="E14" s="1622"/>
      <c r="F14" s="1623"/>
      <c r="G14" s="1623"/>
      <c r="H14" s="1623"/>
      <c r="I14" s="1623"/>
      <c r="J14" s="1623"/>
      <c r="K14" s="1623"/>
      <c r="L14" s="1623"/>
      <c r="M14" s="1623"/>
      <c r="N14" s="1623"/>
      <c r="O14" s="1623"/>
      <c r="P14" s="1623"/>
      <c r="Q14" s="1623"/>
      <c r="R14" s="1623"/>
      <c r="S14" s="1623"/>
      <c r="T14" s="1623"/>
      <c r="U14" s="1623"/>
      <c r="V14" s="1623"/>
      <c r="W14" s="1623"/>
      <c r="X14" s="1623"/>
      <c r="Y14" s="1623"/>
      <c r="Z14" s="1623"/>
      <c r="AA14" s="1623"/>
      <c r="AB14" s="1624"/>
      <c r="AC14" s="1625"/>
    </row>
    <row r="15" spans="1:29" ht="13.5" customHeight="1">
      <c r="A15" s="1327">
        <v>3</v>
      </c>
      <c r="B15" s="1326">
        <v>301</v>
      </c>
      <c r="C15" s="1612" t="s">
        <v>613</v>
      </c>
      <c r="D15" s="1324">
        <v>153.66999999999999</v>
      </c>
      <c r="E15" s="1314">
        <v>0</v>
      </c>
      <c r="F15" s="1313">
        <v>0</v>
      </c>
      <c r="G15" s="1313">
        <v>0</v>
      </c>
      <c r="H15" s="1313">
        <v>0</v>
      </c>
      <c r="I15" s="1313">
        <v>0</v>
      </c>
      <c r="J15" s="1313">
        <v>0</v>
      </c>
      <c r="K15" s="1313">
        <v>0</v>
      </c>
      <c r="L15" s="1313">
        <v>0</v>
      </c>
      <c r="M15" s="1313">
        <v>9294</v>
      </c>
      <c r="N15" s="1313">
        <v>8415</v>
      </c>
      <c r="O15" s="1313">
        <v>8972</v>
      </c>
      <c r="P15" s="1313">
        <v>7417</v>
      </c>
      <c r="Q15" s="1313">
        <v>9795</v>
      </c>
      <c r="R15" s="1313">
        <v>9783</v>
      </c>
      <c r="S15" s="1313">
        <v>9502</v>
      </c>
      <c r="T15" s="1313">
        <v>8997</v>
      </c>
      <c r="U15" s="1313">
        <v>8412</v>
      </c>
      <c r="V15" s="1313">
        <v>6967</v>
      </c>
      <c r="W15" s="1313">
        <v>0</v>
      </c>
      <c r="X15" s="1313">
        <v>0</v>
      </c>
      <c r="Y15" s="1313">
        <v>0</v>
      </c>
      <c r="Z15" s="1313">
        <v>0</v>
      </c>
      <c r="AA15" s="1313">
        <v>0</v>
      </c>
      <c r="AB15" s="1591">
        <v>0</v>
      </c>
      <c r="AC15" s="1590"/>
    </row>
    <row r="16" spans="1:29" ht="13.5" customHeight="1">
      <c r="A16" s="1430">
        <v>3</v>
      </c>
      <c r="B16" s="1431">
        <v>302</v>
      </c>
      <c r="C16" s="1614" t="s">
        <v>678</v>
      </c>
      <c r="D16" s="1433">
        <v>115.57</v>
      </c>
      <c r="E16" s="1437">
        <v>0</v>
      </c>
      <c r="F16" s="1438">
        <v>0</v>
      </c>
      <c r="G16" s="1438">
        <v>0</v>
      </c>
      <c r="H16" s="1438">
        <v>0</v>
      </c>
      <c r="I16" s="1438">
        <v>0</v>
      </c>
      <c r="J16" s="1438">
        <v>0</v>
      </c>
      <c r="K16" s="1438">
        <v>0</v>
      </c>
      <c r="L16" s="1438">
        <v>0</v>
      </c>
      <c r="M16" s="1438">
        <v>6877</v>
      </c>
      <c r="N16" s="1438">
        <v>6254</v>
      </c>
      <c r="O16" s="1438">
        <v>6633</v>
      </c>
      <c r="P16" s="1438">
        <v>5432</v>
      </c>
      <c r="Q16" s="1438">
        <v>7202</v>
      </c>
      <c r="R16" s="1438">
        <v>7203</v>
      </c>
      <c r="S16" s="1438">
        <v>7023</v>
      </c>
      <c r="T16" s="1438">
        <v>6687</v>
      </c>
      <c r="U16" s="1438">
        <v>6291</v>
      </c>
      <c r="V16" s="1438">
        <v>5241</v>
      </c>
      <c r="W16" s="1438">
        <v>0</v>
      </c>
      <c r="X16" s="1438">
        <v>0</v>
      </c>
      <c r="Y16" s="1438">
        <v>0</v>
      </c>
      <c r="Z16" s="1438">
        <v>0</v>
      </c>
      <c r="AA16" s="1438">
        <v>0</v>
      </c>
      <c r="AB16" s="1615">
        <v>0</v>
      </c>
      <c r="AC16" s="1616"/>
    </row>
    <row r="17" spans="1:29" ht="13.5" customHeight="1">
      <c r="A17" s="1631"/>
      <c r="B17" s="1632"/>
      <c r="C17" s="1633" t="s">
        <v>934</v>
      </c>
      <c r="D17" s="1634"/>
      <c r="E17" s="1635">
        <v>0</v>
      </c>
      <c r="F17" s="1636">
        <v>0</v>
      </c>
      <c r="G17" s="1636">
        <v>0</v>
      </c>
      <c r="H17" s="1636">
        <v>0</v>
      </c>
      <c r="I17" s="1636">
        <v>0</v>
      </c>
      <c r="J17" s="1636">
        <v>0</v>
      </c>
      <c r="K17" s="1636">
        <v>0</v>
      </c>
      <c r="L17" s="1636">
        <v>0</v>
      </c>
      <c r="M17" s="1636">
        <v>448</v>
      </c>
      <c r="N17" s="1636">
        <v>448</v>
      </c>
      <c r="O17" s="1636">
        <v>448</v>
      </c>
      <c r="P17" s="1636">
        <v>448</v>
      </c>
      <c r="Q17" s="1636">
        <v>448</v>
      </c>
      <c r="R17" s="1636">
        <v>448</v>
      </c>
      <c r="S17" s="1636">
        <v>448</v>
      </c>
      <c r="T17" s="1636">
        <v>448</v>
      </c>
      <c r="U17" s="1636">
        <v>448</v>
      </c>
      <c r="V17" s="1636">
        <v>448</v>
      </c>
      <c r="W17" s="1636">
        <v>0</v>
      </c>
      <c r="X17" s="1636">
        <v>0</v>
      </c>
      <c r="Y17" s="1636">
        <v>0</v>
      </c>
      <c r="Z17" s="1636">
        <v>0</v>
      </c>
      <c r="AA17" s="1636">
        <v>0</v>
      </c>
      <c r="AB17" s="1636">
        <v>0</v>
      </c>
      <c r="AC17" s="1637"/>
    </row>
    <row r="18" spans="1:29" ht="13.5" customHeight="1" thickBot="1">
      <c r="A18" s="1631"/>
      <c r="B18" s="1632"/>
      <c r="C18" s="1633" t="s">
        <v>947</v>
      </c>
      <c r="D18" s="1634"/>
      <c r="E18" s="1635">
        <v>0</v>
      </c>
      <c r="F18" s="1636">
        <v>0</v>
      </c>
      <c r="G18" s="1636">
        <v>0</v>
      </c>
      <c r="H18" s="1636">
        <v>0</v>
      </c>
      <c r="I18" s="1636">
        <v>0</v>
      </c>
      <c r="J18" s="1636">
        <v>0</v>
      </c>
      <c r="K18" s="1636">
        <v>0</v>
      </c>
      <c r="L18" s="1636">
        <v>0</v>
      </c>
      <c r="M18" s="1636">
        <v>-6412</v>
      </c>
      <c r="N18" s="1636">
        <v>-6412</v>
      </c>
      <c r="O18" s="1636">
        <v>-6412</v>
      </c>
      <c r="P18" s="1636">
        <v>-6412</v>
      </c>
      <c r="Q18" s="1636">
        <v>-6412</v>
      </c>
      <c r="R18" s="1636">
        <v>-6412</v>
      </c>
      <c r="S18" s="1636">
        <v>-6412</v>
      </c>
      <c r="T18" s="1636">
        <v>-6412</v>
      </c>
      <c r="U18" s="1636">
        <v>-6412</v>
      </c>
      <c r="V18" s="1636">
        <v>-6412</v>
      </c>
      <c r="W18" s="1636">
        <v>0</v>
      </c>
      <c r="X18" s="1636">
        <v>0</v>
      </c>
      <c r="Y18" s="1636">
        <v>0</v>
      </c>
      <c r="Z18" s="1636">
        <v>0</v>
      </c>
      <c r="AA18" s="1636">
        <v>0</v>
      </c>
      <c r="AB18" s="1636">
        <v>0</v>
      </c>
      <c r="AC18" s="1637"/>
    </row>
    <row r="19" spans="1:29" ht="13.5" customHeight="1" thickTop="1">
      <c r="A19" s="1642" t="s">
        <v>951</v>
      </c>
      <c r="B19" s="1585"/>
      <c r="C19" s="1586"/>
      <c r="D19" s="1643">
        <v>269.24</v>
      </c>
      <c r="E19" s="1639">
        <v>0</v>
      </c>
      <c r="F19" s="1640">
        <v>0</v>
      </c>
      <c r="G19" s="1640">
        <v>0</v>
      </c>
      <c r="H19" s="1640">
        <v>0</v>
      </c>
      <c r="I19" s="1640">
        <v>0</v>
      </c>
      <c r="J19" s="1640">
        <v>0</v>
      </c>
      <c r="K19" s="1640">
        <v>0</v>
      </c>
      <c r="L19" s="1640">
        <v>0</v>
      </c>
      <c r="M19" s="1640">
        <v>10207</v>
      </c>
      <c r="N19" s="1640">
        <v>8705</v>
      </c>
      <c r="O19" s="1640">
        <v>9641</v>
      </c>
      <c r="P19" s="1640">
        <v>6885</v>
      </c>
      <c r="Q19" s="1640">
        <v>11033</v>
      </c>
      <c r="R19" s="1640">
        <v>11022</v>
      </c>
      <c r="S19" s="1640">
        <v>10561</v>
      </c>
      <c r="T19" s="1640">
        <v>9720</v>
      </c>
      <c r="U19" s="1640">
        <v>8739</v>
      </c>
      <c r="V19" s="1640">
        <v>6244</v>
      </c>
      <c r="W19" s="1640">
        <v>0</v>
      </c>
      <c r="X19" s="1640">
        <v>0</v>
      </c>
      <c r="Y19" s="1640">
        <v>0</v>
      </c>
      <c r="Z19" s="1640">
        <v>0</v>
      </c>
      <c r="AA19" s="1640">
        <v>0</v>
      </c>
      <c r="AB19" s="1640">
        <v>0</v>
      </c>
      <c r="AC19" s="1641"/>
    </row>
    <row r="20" spans="1:29" ht="13.5" customHeight="1" thickBot="1">
      <c r="A20" s="1430"/>
      <c r="B20" s="1431"/>
      <c r="C20" s="1644"/>
      <c r="D20" s="1433"/>
      <c r="E20" s="1437"/>
      <c r="F20" s="1438"/>
      <c r="G20" s="1438"/>
      <c r="H20" s="1438"/>
      <c r="I20" s="1438"/>
      <c r="J20" s="1438"/>
      <c r="K20" s="1438"/>
      <c r="L20" s="1438"/>
      <c r="M20" s="1438"/>
      <c r="N20" s="1438"/>
      <c r="O20" s="1438"/>
      <c r="P20" s="1438"/>
      <c r="Q20" s="1438"/>
      <c r="R20" s="1438"/>
      <c r="S20" s="1438"/>
      <c r="T20" s="1438"/>
      <c r="U20" s="1438"/>
      <c r="V20" s="1438"/>
      <c r="W20" s="1438"/>
      <c r="X20" s="1438"/>
      <c r="Y20" s="1438"/>
      <c r="Z20" s="1438"/>
      <c r="AA20" s="1438"/>
      <c r="AB20" s="1615"/>
      <c r="AC20" s="1616"/>
    </row>
    <row r="21" spans="1:29" ht="13.5" customHeight="1" thickTop="1">
      <c r="A21" s="1649" t="s">
        <v>937</v>
      </c>
      <c r="B21" s="1650"/>
      <c r="C21" s="1650"/>
      <c r="D21" s="1645">
        <v>269.24</v>
      </c>
      <c r="E21" s="1646">
        <v>0</v>
      </c>
      <c r="F21" s="1647">
        <v>0</v>
      </c>
      <c r="G21" s="1647">
        <v>0</v>
      </c>
      <c r="H21" s="1647">
        <v>0</v>
      </c>
      <c r="I21" s="1647">
        <v>0</v>
      </c>
      <c r="J21" s="1647">
        <v>0</v>
      </c>
      <c r="K21" s="1647">
        <v>0</v>
      </c>
      <c r="L21" s="1647">
        <v>0</v>
      </c>
      <c r="M21" s="1647">
        <v>21601</v>
      </c>
      <c r="N21" s="1647">
        <v>20519</v>
      </c>
      <c r="O21" s="1647">
        <v>21847</v>
      </c>
      <c r="P21" s="1647">
        <v>19147</v>
      </c>
      <c r="Q21" s="1647">
        <v>23519</v>
      </c>
      <c r="R21" s="1647">
        <v>23452</v>
      </c>
      <c r="S21" s="1647">
        <v>23187</v>
      </c>
      <c r="T21" s="1647">
        <v>22178</v>
      </c>
      <c r="U21" s="1647">
        <v>20833</v>
      </c>
      <c r="V21" s="1647">
        <v>18142</v>
      </c>
      <c r="W21" s="1647">
        <v>0</v>
      </c>
      <c r="X21" s="1647">
        <v>0</v>
      </c>
      <c r="Y21" s="1647">
        <v>0</v>
      </c>
      <c r="Z21" s="1647">
        <v>0</v>
      </c>
      <c r="AA21" s="1647">
        <v>0</v>
      </c>
      <c r="AB21" s="1647">
        <v>0</v>
      </c>
      <c r="AC21" s="1648"/>
    </row>
    <row r="22" spans="1:29" ht="13.5" customHeight="1">
      <c r="A22" s="1430"/>
      <c r="B22" s="1431"/>
      <c r="C22" s="1644"/>
      <c r="D22" s="1433"/>
      <c r="E22" s="1437"/>
      <c r="F22" s="1438"/>
      <c r="G22" s="1438"/>
      <c r="H22" s="1438"/>
      <c r="I22" s="1438"/>
      <c r="J22" s="1438"/>
      <c r="K22" s="1438"/>
      <c r="L22" s="1438"/>
      <c r="M22" s="1438"/>
      <c r="N22" s="1438"/>
      <c r="O22" s="1438"/>
      <c r="P22" s="1438"/>
      <c r="Q22" s="1438"/>
      <c r="R22" s="1438"/>
      <c r="S22" s="1438"/>
      <c r="T22" s="1438"/>
      <c r="U22" s="1438"/>
      <c r="V22" s="1438"/>
      <c r="W22" s="1438"/>
      <c r="X22" s="1438"/>
      <c r="Y22" s="1438"/>
      <c r="Z22" s="1438"/>
      <c r="AA22" s="1438"/>
      <c r="AB22" s="1615"/>
      <c r="AC22" s="1616"/>
    </row>
    <row r="23" spans="1:29" ht="13.5" customHeight="1">
      <c r="A23" s="1629" t="s">
        <v>378</v>
      </c>
      <c r="B23" s="1618"/>
      <c r="C23" s="1618"/>
      <c r="D23" s="1618"/>
      <c r="E23" s="1618"/>
      <c r="F23" s="1618"/>
      <c r="G23" s="1618"/>
      <c r="H23" s="1618"/>
      <c r="I23" s="1618"/>
      <c r="J23" s="1618"/>
      <c r="K23" s="1618"/>
      <c r="L23" s="1618"/>
      <c r="M23" s="1618"/>
      <c r="N23" s="1618"/>
      <c r="O23" s="1618"/>
      <c r="P23" s="1618"/>
      <c r="Q23" s="1618"/>
      <c r="R23" s="1618"/>
      <c r="S23" s="1618"/>
      <c r="T23" s="1618"/>
      <c r="U23" s="1618"/>
      <c r="V23" s="1618"/>
      <c r="W23" s="1618"/>
      <c r="X23" s="1618"/>
      <c r="Y23" s="1618"/>
      <c r="Z23" s="1618"/>
      <c r="AA23" s="1618"/>
      <c r="AB23" s="1618"/>
      <c r="AC23" s="1619"/>
    </row>
    <row r="24" spans="1:29" ht="13.5" customHeight="1">
      <c r="A24" s="1626" t="s">
        <v>950</v>
      </c>
      <c r="B24" s="1627"/>
      <c r="C24" s="1628"/>
      <c r="D24" s="1621"/>
      <c r="E24" s="1622"/>
      <c r="F24" s="1623"/>
      <c r="G24" s="1623"/>
      <c r="H24" s="1623"/>
      <c r="I24" s="1623"/>
      <c r="J24" s="1623"/>
      <c r="K24" s="1623"/>
      <c r="L24" s="1623"/>
      <c r="M24" s="1623"/>
      <c r="N24" s="1623"/>
      <c r="O24" s="1623"/>
      <c r="P24" s="1623"/>
      <c r="Q24" s="1623"/>
      <c r="R24" s="1623"/>
      <c r="S24" s="1623"/>
      <c r="T24" s="1623"/>
      <c r="U24" s="1623"/>
      <c r="V24" s="1623"/>
      <c r="W24" s="1623"/>
      <c r="X24" s="1623"/>
      <c r="Y24" s="1623"/>
      <c r="Z24" s="1623"/>
      <c r="AA24" s="1623"/>
      <c r="AB24" s="1624"/>
      <c r="AC24" s="1625"/>
    </row>
    <row r="25" spans="1:29" ht="13.5" customHeight="1">
      <c r="A25" s="1327">
        <v>3</v>
      </c>
      <c r="B25" s="1326">
        <v>301</v>
      </c>
      <c r="C25" s="1612" t="s">
        <v>613</v>
      </c>
      <c r="D25" s="1324">
        <v>153.66999999999999</v>
      </c>
      <c r="E25" s="1314">
        <v>0</v>
      </c>
      <c r="F25" s="1313">
        <v>0</v>
      </c>
      <c r="G25" s="1313">
        <v>0</v>
      </c>
      <c r="H25" s="1313">
        <v>0</v>
      </c>
      <c r="I25" s="1313">
        <v>0</v>
      </c>
      <c r="J25" s="1313">
        <v>0</v>
      </c>
      <c r="K25" s="1313">
        <v>0</v>
      </c>
      <c r="L25" s="1313">
        <v>0</v>
      </c>
      <c r="M25" s="1313">
        <v>2288</v>
      </c>
      <c r="N25" s="1313">
        <v>2544</v>
      </c>
      <c r="O25" s="1313">
        <v>2592</v>
      </c>
      <c r="P25" s="1313">
        <v>2544</v>
      </c>
      <c r="Q25" s="1313">
        <v>2560</v>
      </c>
      <c r="R25" s="1313">
        <v>2528</v>
      </c>
      <c r="S25" s="1313">
        <v>2560</v>
      </c>
      <c r="T25" s="1313">
        <v>2432</v>
      </c>
      <c r="U25" s="1313">
        <v>2432</v>
      </c>
      <c r="V25" s="1313">
        <v>2384</v>
      </c>
      <c r="W25" s="1313">
        <v>0</v>
      </c>
      <c r="X25" s="1313">
        <v>0</v>
      </c>
      <c r="Y25" s="1313">
        <v>0</v>
      </c>
      <c r="Z25" s="1313">
        <v>0</v>
      </c>
      <c r="AA25" s="1313">
        <v>0</v>
      </c>
      <c r="AB25" s="1591">
        <v>0</v>
      </c>
      <c r="AC25" s="1590"/>
    </row>
    <row r="26" spans="1:29" ht="13.5" customHeight="1">
      <c r="A26" s="1430">
        <v>3</v>
      </c>
      <c r="B26" s="1431">
        <v>302</v>
      </c>
      <c r="C26" s="1614" t="s">
        <v>678</v>
      </c>
      <c r="D26" s="1433">
        <v>115.57</v>
      </c>
      <c r="E26" s="1437">
        <v>0</v>
      </c>
      <c r="F26" s="1438">
        <v>0</v>
      </c>
      <c r="G26" s="1438">
        <v>0</v>
      </c>
      <c r="H26" s="1438">
        <v>0</v>
      </c>
      <c r="I26" s="1438">
        <v>0</v>
      </c>
      <c r="J26" s="1438">
        <v>0</v>
      </c>
      <c r="K26" s="1438">
        <v>0</v>
      </c>
      <c r="L26" s="1438">
        <v>0</v>
      </c>
      <c r="M26" s="1438">
        <v>1716</v>
      </c>
      <c r="N26" s="1438">
        <v>1908</v>
      </c>
      <c r="O26" s="1438">
        <v>1944</v>
      </c>
      <c r="P26" s="1438">
        <v>1908</v>
      </c>
      <c r="Q26" s="1438">
        <v>1920</v>
      </c>
      <c r="R26" s="1438">
        <v>1896</v>
      </c>
      <c r="S26" s="1438">
        <v>1920</v>
      </c>
      <c r="T26" s="1438">
        <v>1824</v>
      </c>
      <c r="U26" s="1438">
        <v>1824</v>
      </c>
      <c r="V26" s="1438">
        <v>1788</v>
      </c>
      <c r="W26" s="1438">
        <v>0</v>
      </c>
      <c r="X26" s="1438">
        <v>0</v>
      </c>
      <c r="Y26" s="1438">
        <v>0</v>
      </c>
      <c r="Z26" s="1438">
        <v>0</v>
      </c>
      <c r="AA26" s="1438">
        <v>0</v>
      </c>
      <c r="AB26" s="1615">
        <v>0</v>
      </c>
      <c r="AC26" s="1616"/>
    </row>
    <row r="27" spans="1:29" ht="13.5" customHeight="1">
      <c r="A27" s="1631"/>
      <c r="B27" s="1632"/>
      <c r="C27" s="1633" t="s">
        <v>934</v>
      </c>
      <c r="D27" s="1634"/>
      <c r="E27" s="1635">
        <v>0</v>
      </c>
      <c r="F27" s="1636">
        <v>0</v>
      </c>
      <c r="G27" s="1636">
        <v>0</v>
      </c>
      <c r="H27" s="1636">
        <v>0</v>
      </c>
      <c r="I27" s="1636">
        <v>0</v>
      </c>
      <c r="J27" s="1636">
        <v>0</v>
      </c>
      <c r="K27" s="1636">
        <v>0</v>
      </c>
      <c r="L27" s="1636">
        <v>0</v>
      </c>
      <c r="M27" s="1636">
        <v>194</v>
      </c>
      <c r="N27" s="1636">
        <v>194</v>
      </c>
      <c r="O27" s="1636">
        <v>194</v>
      </c>
      <c r="P27" s="1636">
        <v>194</v>
      </c>
      <c r="Q27" s="1636">
        <v>194</v>
      </c>
      <c r="R27" s="1636">
        <v>194</v>
      </c>
      <c r="S27" s="1636">
        <v>194</v>
      </c>
      <c r="T27" s="1636">
        <v>194</v>
      </c>
      <c r="U27" s="1636">
        <v>194</v>
      </c>
      <c r="V27" s="1636">
        <v>194</v>
      </c>
      <c r="W27" s="1636">
        <v>0</v>
      </c>
      <c r="X27" s="1636">
        <v>0</v>
      </c>
      <c r="Y27" s="1636">
        <v>0</v>
      </c>
      <c r="Z27" s="1636">
        <v>0</v>
      </c>
      <c r="AA27" s="1636">
        <v>0</v>
      </c>
      <c r="AB27" s="1636">
        <v>0</v>
      </c>
      <c r="AC27" s="1637"/>
    </row>
    <row r="28" spans="1:29" ht="13.5" customHeight="1" thickBot="1">
      <c r="A28" s="1631"/>
      <c r="B28" s="1632"/>
      <c r="C28" s="1633" t="s">
        <v>935</v>
      </c>
      <c r="D28" s="1634"/>
      <c r="E28" s="1635">
        <v>0</v>
      </c>
      <c r="F28" s="1636">
        <v>0</v>
      </c>
      <c r="G28" s="1636">
        <v>0</v>
      </c>
      <c r="H28" s="1636">
        <v>0</v>
      </c>
      <c r="I28" s="1636">
        <v>0</v>
      </c>
      <c r="J28" s="1636">
        <v>0</v>
      </c>
      <c r="K28" s="1636">
        <v>0</v>
      </c>
      <c r="L28" s="1636">
        <v>0</v>
      </c>
      <c r="M28" s="1636">
        <v>6412</v>
      </c>
      <c r="N28" s="1636">
        <v>6412</v>
      </c>
      <c r="O28" s="1636">
        <v>6412</v>
      </c>
      <c r="P28" s="1636">
        <v>6412</v>
      </c>
      <c r="Q28" s="1636">
        <v>6412</v>
      </c>
      <c r="R28" s="1636">
        <v>6412</v>
      </c>
      <c r="S28" s="1636">
        <v>6412</v>
      </c>
      <c r="T28" s="1636">
        <v>6412</v>
      </c>
      <c r="U28" s="1636">
        <v>6412</v>
      </c>
      <c r="V28" s="1636">
        <v>6412</v>
      </c>
      <c r="W28" s="1636">
        <v>0</v>
      </c>
      <c r="X28" s="1636">
        <v>0</v>
      </c>
      <c r="Y28" s="1636">
        <v>0</v>
      </c>
      <c r="Z28" s="1636">
        <v>0</v>
      </c>
      <c r="AA28" s="1636">
        <v>0</v>
      </c>
      <c r="AB28" s="1636">
        <v>0</v>
      </c>
      <c r="AC28" s="1637"/>
    </row>
    <row r="29" spans="1:29" ht="13.5" customHeight="1" thickTop="1">
      <c r="A29" s="1642" t="s">
        <v>951</v>
      </c>
      <c r="B29" s="1585"/>
      <c r="C29" s="1586"/>
      <c r="D29" s="1643">
        <v>269.24</v>
      </c>
      <c r="E29" s="1639">
        <v>0</v>
      </c>
      <c r="F29" s="1640">
        <v>0</v>
      </c>
      <c r="G29" s="1640">
        <v>0</v>
      </c>
      <c r="H29" s="1640">
        <v>0</v>
      </c>
      <c r="I29" s="1640">
        <v>0</v>
      </c>
      <c r="J29" s="1640">
        <v>0</v>
      </c>
      <c r="K29" s="1640">
        <v>0</v>
      </c>
      <c r="L29" s="1640">
        <v>0</v>
      </c>
      <c r="M29" s="1640">
        <v>10610</v>
      </c>
      <c r="N29" s="1640">
        <v>11058</v>
      </c>
      <c r="O29" s="1640">
        <v>11142</v>
      </c>
      <c r="P29" s="1640">
        <v>11058</v>
      </c>
      <c r="Q29" s="1640">
        <v>11086</v>
      </c>
      <c r="R29" s="1640">
        <v>11030</v>
      </c>
      <c r="S29" s="1640">
        <v>11086</v>
      </c>
      <c r="T29" s="1640">
        <v>10862</v>
      </c>
      <c r="U29" s="1640">
        <v>10862</v>
      </c>
      <c r="V29" s="1640">
        <v>10778</v>
      </c>
      <c r="W29" s="1640">
        <v>0</v>
      </c>
      <c r="X29" s="1640">
        <v>0</v>
      </c>
      <c r="Y29" s="1640">
        <v>0</v>
      </c>
      <c r="Z29" s="1640">
        <v>0</v>
      </c>
      <c r="AA29" s="1640">
        <v>0</v>
      </c>
      <c r="AB29" s="1640">
        <v>0</v>
      </c>
      <c r="AC29" s="1641"/>
    </row>
    <row r="30" spans="1:29" ht="13.5" customHeight="1">
      <c r="A30" s="1430"/>
      <c r="B30" s="1431"/>
      <c r="C30" s="1644"/>
      <c r="D30" s="1433"/>
      <c r="E30" s="1437"/>
      <c r="F30" s="1438"/>
      <c r="G30" s="1438"/>
      <c r="H30" s="1438"/>
      <c r="I30" s="1438"/>
      <c r="J30" s="1438"/>
      <c r="K30" s="1438"/>
      <c r="L30" s="1438"/>
      <c r="M30" s="1438"/>
      <c r="N30" s="1438"/>
      <c r="O30" s="1438"/>
      <c r="P30" s="1438"/>
      <c r="Q30" s="1438"/>
      <c r="R30" s="1438"/>
      <c r="S30" s="1438"/>
      <c r="T30" s="1438"/>
      <c r="U30" s="1438"/>
      <c r="V30" s="1438"/>
      <c r="W30" s="1438"/>
      <c r="X30" s="1438"/>
      <c r="Y30" s="1438"/>
      <c r="Z30" s="1438"/>
      <c r="AA30" s="1438"/>
      <c r="AB30" s="1615"/>
      <c r="AC30" s="1616"/>
    </row>
    <row r="31" spans="1:29" ht="13.5" customHeight="1">
      <c r="A31" s="1626" t="s">
        <v>952</v>
      </c>
      <c r="B31" s="1627"/>
      <c r="C31" s="1628"/>
      <c r="D31" s="1621"/>
      <c r="E31" s="1622"/>
      <c r="F31" s="1623"/>
      <c r="G31" s="1623"/>
      <c r="H31" s="1623"/>
      <c r="I31" s="1623"/>
      <c r="J31" s="1623"/>
      <c r="K31" s="1623"/>
      <c r="L31" s="1623"/>
      <c r="M31" s="1623"/>
      <c r="N31" s="1623"/>
      <c r="O31" s="1623"/>
      <c r="P31" s="1623"/>
      <c r="Q31" s="1623"/>
      <c r="R31" s="1623"/>
      <c r="S31" s="1623"/>
      <c r="T31" s="1623"/>
      <c r="U31" s="1623"/>
      <c r="V31" s="1623"/>
      <c r="W31" s="1623"/>
      <c r="X31" s="1623"/>
      <c r="Y31" s="1623"/>
      <c r="Z31" s="1623"/>
      <c r="AA31" s="1623"/>
      <c r="AB31" s="1624"/>
      <c r="AC31" s="1625"/>
    </row>
    <row r="32" spans="1:29" ht="13.5" customHeight="1">
      <c r="A32" s="1327">
        <v>3</v>
      </c>
      <c r="B32" s="1326">
        <v>301</v>
      </c>
      <c r="C32" s="1612" t="s">
        <v>613</v>
      </c>
      <c r="D32" s="1324">
        <v>153.66999999999999</v>
      </c>
      <c r="E32" s="1314">
        <v>0</v>
      </c>
      <c r="F32" s="1313">
        <v>0</v>
      </c>
      <c r="G32" s="1313">
        <v>0</v>
      </c>
      <c r="H32" s="1313">
        <v>0</v>
      </c>
      <c r="I32" s="1313">
        <v>0</v>
      </c>
      <c r="J32" s="1313">
        <v>0</v>
      </c>
      <c r="K32" s="1313">
        <v>0</v>
      </c>
      <c r="L32" s="1313">
        <v>0</v>
      </c>
      <c r="M32" s="1313">
        <v>9250</v>
      </c>
      <c r="N32" s="1313">
        <v>8441</v>
      </c>
      <c r="O32" s="1313">
        <v>9072</v>
      </c>
      <c r="P32" s="1313">
        <v>7590</v>
      </c>
      <c r="Q32" s="1313">
        <v>9971</v>
      </c>
      <c r="R32" s="1313">
        <v>10016</v>
      </c>
      <c r="S32" s="1313">
        <v>9782</v>
      </c>
      <c r="T32" s="1313">
        <v>9310</v>
      </c>
      <c r="U32" s="1313">
        <v>8662</v>
      </c>
      <c r="V32" s="1313">
        <v>7121</v>
      </c>
      <c r="W32" s="1313">
        <v>0</v>
      </c>
      <c r="X32" s="1313">
        <v>0</v>
      </c>
      <c r="Y32" s="1313">
        <v>0</v>
      </c>
      <c r="Z32" s="1313">
        <v>0</v>
      </c>
      <c r="AA32" s="1313">
        <v>0</v>
      </c>
      <c r="AB32" s="1591">
        <v>0</v>
      </c>
      <c r="AC32" s="1590"/>
    </row>
    <row r="33" spans="1:29" ht="13.5" customHeight="1">
      <c r="A33" s="1430">
        <v>3</v>
      </c>
      <c r="B33" s="1431">
        <v>302</v>
      </c>
      <c r="C33" s="1614" t="s">
        <v>678</v>
      </c>
      <c r="D33" s="1433">
        <v>115.57</v>
      </c>
      <c r="E33" s="1437">
        <v>0</v>
      </c>
      <c r="F33" s="1438">
        <v>0</v>
      </c>
      <c r="G33" s="1438">
        <v>0</v>
      </c>
      <c r="H33" s="1438">
        <v>0</v>
      </c>
      <c r="I33" s="1438">
        <v>0</v>
      </c>
      <c r="J33" s="1438">
        <v>0</v>
      </c>
      <c r="K33" s="1438">
        <v>0</v>
      </c>
      <c r="L33" s="1438">
        <v>0</v>
      </c>
      <c r="M33" s="1438">
        <v>6850</v>
      </c>
      <c r="N33" s="1438">
        <v>6274</v>
      </c>
      <c r="O33" s="1438">
        <v>6705</v>
      </c>
      <c r="P33" s="1438">
        <v>5552</v>
      </c>
      <c r="Q33" s="1438">
        <v>7327</v>
      </c>
      <c r="R33" s="1438">
        <v>7367</v>
      </c>
      <c r="S33" s="1438">
        <v>7219</v>
      </c>
      <c r="T33" s="1438">
        <v>6908</v>
      </c>
      <c r="U33" s="1438">
        <v>6470</v>
      </c>
      <c r="V33" s="1438">
        <v>5354</v>
      </c>
      <c r="W33" s="1438">
        <v>0</v>
      </c>
      <c r="X33" s="1438">
        <v>0</v>
      </c>
      <c r="Y33" s="1438">
        <v>0</v>
      </c>
      <c r="Z33" s="1438">
        <v>0</v>
      </c>
      <c r="AA33" s="1438">
        <v>0</v>
      </c>
      <c r="AB33" s="1615">
        <v>0</v>
      </c>
      <c r="AC33" s="1616"/>
    </row>
    <row r="34" spans="1:29" ht="13.5" customHeight="1">
      <c r="A34" s="1631"/>
      <c r="B34" s="1632"/>
      <c r="C34" s="1633" t="s">
        <v>934</v>
      </c>
      <c r="D34" s="1634"/>
      <c r="E34" s="1635">
        <v>0</v>
      </c>
      <c r="F34" s="1636">
        <v>0</v>
      </c>
      <c r="G34" s="1636">
        <v>0</v>
      </c>
      <c r="H34" s="1636">
        <v>0</v>
      </c>
      <c r="I34" s="1636">
        <v>0</v>
      </c>
      <c r="J34" s="1636">
        <v>0</v>
      </c>
      <c r="K34" s="1636">
        <v>0</v>
      </c>
      <c r="L34" s="1636">
        <v>0</v>
      </c>
      <c r="M34" s="1636">
        <v>448</v>
      </c>
      <c r="N34" s="1636">
        <v>448</v>
      </c>
      <c r="O34" s="1636">
        <v>448</v>
      </c>
      <c r="P34" s="1636">
        <v>448</v>
      </c>
      <c r="Q34" s="1636">
        <v>448</v>
      </c>
      <c r="R34" s="1636">
        <v>448</v>
      </c>
      <c r="S34" s="1636">
        <v>448</v>
      </c>
      <c r="T34" s="1636">
        <v>448</v>
      </c>
      <c r="U34" s="1636">
        <v>448</v>
      </c>
      <c r="V34" s="1636">
        <v>448</v>
      </c>
      <c r="W34" s="1636">
        <v>0</v>
      </c>
      <c r="X34" s="1636">
        <v>0</v>
      </c>
      <c r="Y34" s="1636">
        <v>0</v>
      </c>
      <c r="Z34" s="1636">
        <v>0</v>
      </c>
      <c r="AA34" s="1636">
        <v>0</v>
      </c>
      <c r="AB34" s="1636">
        <v>0</v>
      </c>
      <c r="AC34" s="1637"/>
    </row>
    <row r="35" spans="1:29" ht="13.5" customHeight="1" thickBot="1">
      <c r="A35" s="1631"/>
      <c r="B35" s="1632"/>
      <c r="C35" s="1633" t="s">
        <v>947</v>
      </c>
      <c r="D35" s="1634"/>
      <c r="E35" s="1635">
        <v>0</v>
      </c>
      <c r="F35" s="1636">
        <v>0</v>
      </c>
      <c r="G35" s="1636">
        <v>0</v>
      </c>
      <c r="H35" s="1636">
        <v>0</v>
      </c>
      <c r="I35" s="1636">
        <v>0</v>
      </c>
      <c r="J35" s="1636">
        <v>0</v>
      </c>
      <c r="K35" s="1636">
        <v>0</v>
      </c>
      <c r="L35" s="1636">
        <v>0</v>
      </c>
      <c r="M35" s="1636">
        <v>-6412</v>
      </c>
      <c r="N35" s="1636">
        <v>-6412</v>
      </c>
      <c r="O35" s="1636">
        <v>-6412</v>
      </c>
      <c r="P35" s="1636">
        <v>-6412</v>
      </c>
      <c r="Q35" s="1636">
        <v>-6412</v>
      </c>
      <c r="R35" s="1636">
        <v>-6412</v>
      </c>
      <c r="S35" s="1636">
        <v>-6412</v>
      </c>
      <c r="T35" s="1636">
        <v>-6412</v>
      </c>
      <c r="U35" s="1636">
        <v>-6412</v>
      </c>
      <c r="V35" s="1636">
        <v>-6412</v>
      </c>
      <c r="W35" s="1636">
        <v>0</v>
      </c>
      <c r="X35" s="1636">
        <v>0</v>
      </c>
      <c r="Y35" s="1636">
        <v>0</v>
      </c>
      <c r="Z35" s="1636">
        <v>0</v>
      </c>
      <c r="AA35" s="1636">
        <v>0</v>
      </c>
      <c r="AB35" s="1636">
        <v>0</v>
      </c>
      <c r="AC35" s="1637"/>
    </row>
    <row r="36" spans="1:29" ht="13.5" customHeight="1" thickTop="1">
      <c r="A36" s="1642" t="s">
        <v>951</v>
      </c>
      <c r="B36" s="1585"/>
      <c r="C36" s="1586"/>
      <c r="D36" s="1643">
        <v>269.24</v>
      </c>
      <c r="E36" s="1639">
        <v>0</v>
      </c>
      <c r="F36" s="1640">
        <v>0</v>
      </c>
      <c r="G36" s="1640">
        <v>0</v>
      </c>
      <c r="H36" s="1640">
        <v>0</v>
      </c>
      <c r="I36" s="1640">
        <v>0</v>
      </c>
      <c r="J36" s="1640">
        <v>0</v>
      </c>
      <c r="K36" s="1640">
        <v>0</v>
      </c>
      <c r="L36" s="1640">
        <v>0</v>
      </c>
      <c r="M36" s="1640">
        <v>10136</v>
      </c>
      <c r="N36" s="1640">
        <v>8751</v>
      </c>
      <c r="O36" s="1640">
        <v>9813</v>
      </c>
      <c r="P36" s="1640">
        <v>7178</v>
      </c>
      <c r="Q36" s="1640">
        <v>11334</v>
      </c>
      <c r="R36" s="1640">
        <v>11419</v>
      </c>
      <c r="S36" s="1640">
        <v>11037</v>
      </c>
      <c r="T36" s="1640">
        <v>10254</v>
      </c>
      <c r="U36" s="1640">
        <v>9168</v>
      </c>
      <c r="V36" s="1640">
        <v>6511</v>
      </c>
      <c r="W36" s="1640">
        <v>0</v>
      </c>
      <c r="X36" s="1640">
        <v>0</v>
      </c>
      <c r="Y36" s="1640">
        <v>0</v>
      </c>
      <c r="Z36" s="1640">
        <v>0</v>
      </c>
      <c r="AA36" s="1640">
        <v>0</v>
      </c>
      <c r="AB36" s="1640">
        <v>0</v>
      </c>
      <c r="AC36" s="1641"/>
    </row>
    <row r="37" spans="1:29" ht="13.5" customHeight="1" thickBot="1">
      <c r="A37" s="1430"/>
      <c r="B37" s="1431"/>
      <c r="C37" s="1644"/>
      <c r="D37" s="1433"/>
      <c r="E37" s="1437"/>
      <c r="F37" s="1438"/>
      <c r="G37" s="1438"/>
      <c r="H37" s="1438"/>
      <c r="I37" s="1438"/>
      <c r="J37" s="1438"/>
      <c r="K37" s="1438"/>
      <c r="L37" s="1438"/>
      <c r="M37" s="1438"/>
      <c r="N37" s="1438"/>
      <c r="O37" s="1438"/>
      <c r="P37" s="1438"/>
      <c r="Q37" s="1438"/>
      <c r="R37" s="1438"/>
      <c r="S37" s="1438"/>
      <c r="T37" s="1438"/>
      <c r="U37" s="1438"/>
      <c r="V37" s="1438"/>
      <c r="W37" s="1438"/>
      <c r="X37" s="1438"/>
      <c r="Y37" s="1438"/>
      <c r="Z37" s="1438"/>
      <c r="AA37" s="1438"/>
      <c r="AB37" s="1615"/>
      <c r="AC37" s="1616"/>
    </row>
    <row r="38" spans="1:29" ht="13.5" customHeight="1" thickTop="1">
      <c r="A38" s="1655" t="s">
        <v>938</v>
      </c>
      <c r="B38" s="1656"/>
      <c r="C38" s="1656"/>
      <c r="D38" s="1651">
        <v>269.24</v>
      </c>
      <c r="E38" s="1652">
        <v>0</v>
      </c>
      <c r="F38" s="1653">
        <v>0</v>
      </c>
      <c r="G38" s="1653">
        <v>0</v>
      </c>
      <c r="H38" s="1653">
        <v>0</v>
      </c>
      <c r="I38" s="1653">
        <v>0</v>
      </c>
      <c r="J38" s="1653">
        <v>0</v>
      </c>
      <c r="K38" s="1653">
        <v>0</v>
      </c>
      <c r="L38" s="1653">
        <v>0</v>
      </c>
      <c r="M38" s="1653">
        <v>20746</v>
      </c>
      <c r="N38" s="1653">
        <v>19809</v>
      </c>
      <c r="O38" s="1653">
        <v>20955</v>
      </c>
      <c r="P38" s="1653">
        <v>18236</v>
      </c>
      <c r="Q38" s="1653">
        <v>22420</v>
      </c>
      <c r="R38" s="1653">
        <v>22449</v>
      </c>
      <c r="S38" s="1653">
        <v>22123</v>
      </c>
      <c r="T38" s="1653">
        <v>21116</v>
      </c>
      <c r="U38" s="1653">
        <v>20030</v>
      </c>
      <c r="V38" s="1653">
        <v>17289</v>
      </c>
      <c r="W38" s="1653">
        <v>0</v>
      </c>
      <c r="X38" s="1653">
        <v>0</v>
      </c>
      <c r="Y38" s="1653">
        <v>0</v>
      </c>
      <c r="Z38" s="1653">
        <v>0</v>
      </c>
      <c r="AA38" s="1653">
        <v>0</v>
      </c>
      <c r="AB38" s="1653">
        <v>0</v>
      </c>
      <c r="AC38" s="1654"/>
    </row>
    <row r="39" spans="1:29" ht="13.5" customHeight="1">
      <c r="A39" s="1430"/>
      <c r="B39" s="1431"/>
      <c r="C39" s="1644"/>
      <c r="D39" s="1433"/>
      <c r="E39" s="1437"/>
      <c r="F39" s="1438"/>
      <c r="G39" s="1438"/>
      <c r="H39" s="1438"/>
      <c r="I39" s="1438"/>
      <c r="J39" s="1438"/>
      <c r="K39" s="1438"/>
      <c r="L39" s="1438"/>
      <c r="M39" s="1438"/>
      <c r="N39" s="1438"/>
      <c r="O39" s="1438"/>
      <c r="P39" s="1438"/>
      <c r="Q39" s="1438"/>
      <c r="R39" s="1438"/>
      <c r="S39" s="1438"/>
      <c r="T39" s="1438"/>
      <c r="U39" s="1438"/>
      <c r="V39" s="1438"/>
      <c r="W39" s="1438"/>
      <c r="X39" s="1438"/>
      <c r="Y39" s="1438"/>
      <c r="Z39" s="1438"/>
      <c r="AA39" s="1438"/>
      <c r="AB39" s="1615"/>
      <c r="AC39" s="1616"/>
    </row>
    <row r="40" spans="1:29" ht="13.5" customHeight="1">
      <c r="A40" s="1630" t="s">
        <v>379</v>
      </c>
      <c r="B40" s="1618"/>
      <c r="C40" s="1618"/>
      <c r="D40" s="1618"/>
      <c r="E40" s="1618"/>
      <c r="F40" s="1618"/>
      <c r="G40" s="1618"/>
      <c r="H40" s="1618"/>
      <c r="I40" s="1618"/>
      <c r="J40" s="1618"/>
      <c r="K40" s="1618"/>
      <c r="L40" s="1618"/>
      <c r="M40" s="1618"/>
      <c r="N40" s="1618"/>
      <c r="O40" s="1618"/>
      <c r="P40" s="1618"/>
      <c r="Q40" s="1618"/>
      <c r="R40" s="1618"/>
      <c r="S40" s="1618"/>
      <c r="T40" s="1618"/>
      <c r="U40" s="1618"/>
      <c r="V40" s="1618"/>
      <c r="W40" s="1618"/>
      <c r="X40" s="1618"/>
      <c r="Y40" s="1618"/>
      <c r="Z40" s="1618"/>
      <c r="AA40" s="1618"/>
      <c r="AB40" s="1618"/>
      <c r="AC40" s="1619"/>
    </row>
    <row r="41" spans="1:29" ht="13.5" customHeight="1">
      <c r="A41" s="1626" t="s">
        <v>950</v>
      </c>
      <c r="B41" s="1627"/>
      <c r="C41" s="1628"/>
      <c r="D41" s="1621"/>
      <c r="E41" s="1622"/>
      <c r="F41" s="1623"/>
      <c r="G41" s="1623"/>
      <c r="H41" s="1623"/>
      <c r="I41" s="1623"/>
      <c r="J41" s="1623"/>
      <c r="K41" s="1623"/>
      <c r="L41" s="1623"/>
      <c r="M41" s="1623"/>
      <c r="N41" s="1623"/>
      <c r="O41" s="1623"/>
      <c r="P41" s="1623"/>
      <c r="Q41" s="1623"/>
      <c r="R41" s="1623"/>
      <c r="S41" s="1623"/>
      <c r="T41" s="1623"/>
      <c r="U41" s="1623"/>
      <c r="V41" s="1623"/>
      <c r="W41" s="1623"/>
      <c r="X41" s="1623"/>
      <c r="Y41" s="1623"/>
      <c r="Z41" s="1623"/>
      <c r="AA41" s="1623"/>
      <c r="AB41" s="1624"/>
      <c r="AC41" s="1625"/>
    </row>
    <row r="42" spans="1:29" ht="13.5" customHeight="1">
      <c r="A42" s="1327">
        <v>3</v>
      </c>
      <c r="B42" s="1326">
        <v>301</v>
      </c>
      <c r="C42" s="1612" t="s">
        <v>613</v>
      </c>
      <c r="D42" s="1324">
        <v>153.66999999999999</v>
      </c>
      <c r="E42" s="1314">
        <v>0</v>
      </c>
      <c r="F42" s="1313">
        <v>0</v>
      </c>
      <c r="G42" s="1313">
        <v>0</v>
      </c>
      <c r="H42" s="1313">
        <v>0</v>
      </c>
      <c r="I42" s="1313">
        <v>0</v>
      </c>
      <c r="J42" s="1313">
        <v>0</v>
      </c>
      <c r="K42" s="1313">
        <v>0</v>
      </c>
      <c r="L42" s="1313">
        <v>0</v>
      </c>
      <c r="M42" s="1313">
        <v>0</v>
      </c>
      <c r="N42" s="1313">
        <v>0</v>
      </c>
      <c r="O42" s="1313">
        <v>0</v>
      </c>
      <c r="P42" s="1313">
        <v>0</v>
      </c>
      <c r="Q42" s="1313">
        <v>0</v>
      </c>
      <c r="R42" s="1313">
        <v>48</v>
      </c>
      <c r="S42" s="1313">
        <v>96</v>
      </c>
      <c r="T42" s="1313">
        <v>0</v>
      </c>
      <c r="U42" s="1313">
        <v>0</v>
      </c>
      <c r="V42" s="1313">
        <v>0</v>
      </c>
      <c r="W42" s="1313">
        <v>0</v>
      </c>
      <c r="X42" s="1313">
        <v>0</v>
      </c>
      <c r="Y42" s="1313">
        <v>0</v>
      </c>
      <c r="Z42" s="1313">
        <v>0</v>
      </c>
      <c r="AA42" s="1313">
        <v>0</v>
      </c>
      <c r="AB42" s="1591">
        <v>0</v>
      </c>
      <c r="AC42" s="1590"/>
    </row>
    <row r="43" spans="1:29" ht="13.5" customHeight="1">
      <c r="A43" s="1430">
        <v>3</v>
      </c>
      <c r="B43" s="1431">
        <v>302</v>
      </c>
      <c r="C43" s="1614" t="s">
        <v>678</v>
      </c>
      <c r="D43" s="1433">
        <v>115.57</v>
      </c>
      <c r="E43" s="1437">
        <v>0</v>
      </c>
      <c r="F43" s="1438">
        <v>0</v>
      </c>
      <c r="G43" s="1438">
        <v>0</v>
      </c>
      <c r="H43" s="1438">
        <v>0</v>
      </c>
      <c r="I43" s="1438">
        <v>0</v>
      </c>
      <c r="J43" s="1438">
        <v>0</v>
      </c>
      <c r="K43" s="1438">
        <v>0</v>
      </c>
      <c r="L43" s="1438">
        <v>0</v>
      </c>
      <c r="M43" s="1438">
        <v>0</v>
      </c>
      <c r="N43" s="1438">
        <v>0</v>
      </c>
      <c r="O43" s="1438">
        <v>0</v>
      </c>
      <c r="P43" s="1438">
        <v>0</v>
      </c>
      <c r="Q43" s="1438">
        <v>0</v>
      </c>
      <c r="R43" s="1438">
        <v>36</v>
      </c>
      <c r="S43" s="1438">
        <v>72</v>
      </c>
      <c r="T43" s="1438">
        <v>0</v>
      </c>
      <c r="U43" s="1438">
        <v>0</v>
      </c>
      <c r="V43" s="1438">
        <v>0</v>
      </c>
      <c r="W43" s="1438">
        <v>0</v>
      </c>
      <c r="X43" s="1438">
        <v>0</v>
      </c>
      <c r="Y43" s="1438">
        <v>0</v>
      </c>
      <c r="Z43" s="1438">
        <v>0</v>
      </c>
      <c r="AA43" s="1438">
        <v>0</v>
      </c>
      <c r="AB43" s="1615">
        <v>0</v>
      </c>
      <c r="AC43" s="1616"/>
    </row>
    <row r="44" spans="1:29" ht="13.5" customHeight="1">
      <c r="A44" s="1631"/>
      <c r="B44" s="1632"/>
      <c r="C44" s="1633" t="s">
        <v>934</v>
      </c>
      <c r="D44" s="1634"/>
      <c r="E44" s="1635">
        <v>0</v>
      </c>
      <c r="F44" s="1636">
        <v>0</v>
      </c>
      <c r="G44" s="1636">
        <v>0</v>
      </c>
      <c r="H44" s="1636">
        <v>0</v>
      </c>
      <c r="I44" s="1636">
        <v>0</v>
      </c>
      <c r="J44" s="1636">
        <v>0</v>
      </c>
      <c r="K44" s="1636">
        <v>0</v>
      </c>
      <c r="L44" s="1636">
        <v>0</v>
      </c>
      <c r="M44" s="1636">
        <v>194</v>
      </c>
      <c r="N44" s="1636">
        <v>194</v>
      </c>
      <c r="O44" s="1636">
        <v>194</v>
      </c>
      <c r="P44" s="1636">
        <v>194</v>
      </c>
      <c r="Q44" s="1636">
        <v>194</v>
      </c>
      <c r="R44" s="1636">
        <v>194</v>
      </c>
      <c r="S44" s="1636">
        <v>194</v>
      </c>
      <c r="T44" s="1636">
        <v>194</v>
      </c>
      <c r="U44" s="1636">
        <v>194</v>
      </c>
      <c r="V44" s="1636">
        <v>194</v>
      </c>
      <c r="W44" s="1636">
        <v>0</v>
      </c>
      <c r="X44" s="1636">
        <v>0</v>
      </c>
      <c r="Y44" s="1636">
        <v>0</v>
      </c>
      <c r="Z44" s="1636">
        <v>0</v>
      </c>
      <c r="AA44" s="1636">
        <v>0</v>
      </c>
      <c r="AB44" s="1636">
        <v>0</v>
      </c>
      <c r="AC44" s="1637"/>
    </row>
    <row r="45" spans="1:29" ht="13.5" customHeight="1" thickBot="1">
      <c r="A45" s="1631"/>
      <c r="B45" s="1632"/>
      <c r="C45" s="1633" t="s">
        <v>935</v>
      </c>
      <c r="D45" s="1634"/>
      <c r="E45" s="1635">
        <v>0</v>
      </c>
      <c r="F45" s="1636">
        <v>0</v>
      </c>
      <c r="G45" s="1636">
        <v>0</v>
      </c>
      <c r="H45" s="1636">
        <v>0</v>
      </c>
      <c r="I45" s="1636">
        <v>0</v>
      </c>
      <c r="J45" s="1636">
        <v>0</v>
      </c>
      <c r="K45" s="1636">
        <v>0</v>
      </c>
      <c r="L45" s="1636">
        <v>0</v>
      </c>
      <c r="M45" s="1636">
        <v>6412</v>
      </c>
      <c r="N45" s="1636">
        <v>6412</v>
      </c>
      <c r="O45" s="1636">
        <v>6412</v>
      </c>
      <c r="P45" s="1636">
        <v>6412</v>
      </c>
      <c r="Q45" s="1636">
        <v>6412</v>
      </c>
      <c r="R45" s="1636">
        <v>6412</v>
      </c>
      <c r="S45" s="1636">
        <v>6412</v>
      </c>
      <c r="T45" s="1636">
        <v>6412</v>
      </c>
      <c r="U45" s="1636">
        <v>6412</v>
      </c>
      <c r="V45" s="1636">
        <v>6412</v>
      </c>
      <c r="W45" s="1636">
        <v>0</v>
      </c>
      <c r="X45" s="1636">
        <v>0</v>
      </c>
      <c r="Y45" s="1636">
        <v>0</v>
      </c>
      <c r="Z45" s="1636">
        <v>0</v>
      </c>
      <c r="AA45" s="1636">
        <v>0</v>
      </c>
      <c r="AB45" s="1636">
        <v>0</v>
      </c>
      <c r="AC45" s="1637"/>
    </row>
    <row r="46" spans="1:29" ht="13.5" customHeight="1" thickTop="1">
      <c r="A46" s="1642" t="s">
        <v>951</v>
      </c>
      <c r="B46" s="1585"/>
      <c r="C46" s="1586"/>
      <c r="D46" s="1643">
        <v>269.24</v>
      </c>
      <c r="E46" s="1639">
        <v>0</v>
      </c>
      <c r="F46" s="1640">
        <v>0</v>
      </c>
      <c r="G46" s="1640">
        <v>0</v>
      </c>
      <c r="H46" s="1640">
        <v>0</v>
      </c>
      <c r="I46" s="1640">
        <v>0</v>
      </c>
      <c r="J46" s="1640">
        <v>0</v>
      </c>
      <c r="K46" s="1640">
        <v>0</v>
      </c>
      <c r="L46" s="1640">
        <v>0</v>
      </c>
      <c r="M46" s="1640">
        <v>6606</v>
      </c>
      <c r="N46" s="1640">
        <v>6606</v>
      </c>
      <c r="O46" s="1640">
        <v>6606</v>
      </c>
      <c r="P46" s="1640">
        <v>6606</v>
      </c>
      <c r="Q46" s="1640">
        <v>6606</v>
      </c>
      <c r="R46" s="1640">
        <v>6690</v>
      </c>
      <c r="S46" s="1640">
        <v>6774</v>
      </c>
      <c r="T46" s="1640">
        <v>6606</v>
      </c>
      <c r="U46" s="1640">
        <v>6606</v>
      </c>
      <c r="V46" s="1640">
        <v>6606</v>
      </c>
      <c r="W46" s="1640">
        <v>0</v>
      </c>
      <c r="X46" s="1640">
        <v>0</v>
      </c>
      <c r="Y46" s="1640">
        <v>0</v>
      </c>
      <c r="Z46" s="1640">
        <v>0</v>
      </c>
      <c r="AA46" s="1640">
        <v>0</v>
      </c>
      <c r="AB46" s="1640">
        <v>0</v>
      </c>
      <c r="AC46" s="1641"/>
    </row>
    <row r="47" spans="1:29" ht="13.5" customHeight="1">
      <c r="A47" s="1430"/>
      <c r="B47" s="1431"/>
      <c r="C47" s="1644"/>
      <c r="D47" s="1433"/>
      <c r="E47" s="1437"/>
      <c r="F47" s="1438"/>
      <c r="G47" s="1438"/>
      <c r="H47" s="1438"/>
      <c r="I47" s="1438"/>
      <c r="J47" s="1438"/>
      <c r="K47" s="1438"/>
      <c r="L47" s="1438"/>
      <c r="M47" s="1438"/>
      <c r="N47" s="1438"/>
      <c r="O47" s="1438"/>
      <c r="P47" s="1438"/>
      <c r="Q47" s="1438"/>
      <c r="R47" s="1438"/>
      <c r="S47" s="1438"/>
      <c r="T47" s="1438"/>
      <c r="U47" s="1438"/>
      <c r="V47" s="1438"/>
      <c r="W47" s="1438"/>
      <c r="X47" s="1438"/>
      <c r="Y47" s="1438"/>
      <c r="Z47" s="1438"/>
      <c r="AA47" s="1438"/>
      <c r="AB47" s="1615"/>
      <c r="AC47" s="1616"/>
    </row>
    <row r="48" spans="1:29" ht="13.5" customHeight="1">
      <c r="A48" s="1626" t="s">
        <v>952</v>
      </c>
      <c r="B48" s="1627"/>
      <c r="C48" s="1628"/>
      <c r="D48" s="1621"/>
      <c r="E48" s="1622"/>
      <c r="F48" s="1623"/>
      <c r="G48" s="1623"/>
      <c r="H48" s="1623"/>
      <c r="I48" s="1623"/>
      <c r="J48" s="1623"/>
      <c r="K48" s="1623"/>
      <c r="L48" s="1623"/>
      <c r="M48" s="1623"/>
      <c r="N48" s="1623"/>
      <c r="O48" s="1623"/>
      <c r="P48" s="1623"/>
      <c r="Q48" s="1623"/>
      <c r="R48" s="1623"/>
      <c r="S48" s="1623"/>
      <c r="T48" s="1623"/>
      <c r="U48" s="1623"/>
      <c r="V48" s="1623"/>
      <c r="W48" s="1623"/>
      <c r="X48" s="1623"/>
      <c r="Y48" s="1623"/>
      <c r="Z48" s="1623"/>
      <c r="AA48" s="1623"/>
      <c r="AB48" s="1624"/>
      <c r="AC48" s="1625"/>
    </row>
    <row r="49" spans="1:29" ht="13.5" customHeight="1">
      <c r="A49" s="1327">
        <v>3</v>
      </c>
      <c r="B49" s="1326">
        <v>301</v>
      </c>
      <c r="C49" s="1612" t="s">
        <v>613</v>
      </c>
      <c r="D49" s="1324">
        <v>153.66999999999999</v>
      </c>
      <c r="E49" s="1314">
        <v>0</v>
      </c>
      <c r="F49" s="1313">
        <v>0</v>
      </c>
      <c r="G49" s="1313">
        <v>0</v>
      </c>
      <c r="H49" s="1313">
        <v>0</v>
      </c>
      <c r="I49" s="1313">
        <v>0</v>
      </c>
      <c r="J49" s="1313">
        <v>0</v>
      </c>
      <c r="K49" s="1313">
        <v>0</v>
      </c>
      <c r="L49" s="1313">
        <v>0</v>
      </c>
      <c r="M49" s="1313">
        <v>9325</v>
      </c>
      <c r="N49" s="1313">
        <v>9222</v>
      </c>
      <c r="O49" s="1313">
        <v>10142</v>
      </c>
      <c r="P49" s="1313">
        <v>8691</v>
      </c>
      <c r="Q49" s="1313">
        <v>10945</v>
      </c>
      <c r="R49" s="1313">
        <v>10763</v>
      </c>
      <c r="S49" s="1313">
        <v>10195</v>
      </c>
      <c r="T49" s="1313">
        <v>9321</v>
      </c>
      <c r="U49" s="1313">
        <v>8318</v>
      </c>
      <c r="V49" s="1313">
        <v>6625</v>
      </c>
      <c r="W49" s="1313">
        <v>0</v>
      </c>
      <c r="X49" s="1313">
        <v>0</v>
      </c>
      <c r="Y49" s="1313">
        <v>0</v>
      </c>
      <c r="Z49" s="1313">
        <v>0</v>
      </c>
      <c r="AA49" s="1313">
        <v>0</v>
      </c>
      <c r="AB49" s="1591">
        <v>0</v>
      </c>
      <c r="AC49" s="1590"/>
    </row>
    <row r="50" spans="1:29" ht="13.5" customHeight="1">
      <c r="A50" s="1430">
        <v>3</v>
      </c>
      <c r="B50" s="1431">
        <v>302</v>
      </c>
      <c r="C50" s="1614" t="s">
        <v>678</v>
      </c>
      <c r="D50" s="1433">
        <v>115.57</v>
      </c>
      <c r="E50" s="1437">
        <v>0</v>
      </c>
      <c r="F50" s="1438">
        <v>0</v>
      </c>
      <c r="G50" s="1438">
        <v>0</v>
      </c>
      <c r="H50" s="1438">
        <v>0</v>
      </c>
      <c r="I50" s="1438">
        <v>0</v>
      </c>
      <c r="J50" s="1438">
        <v>0</v>
      </c>
      <c r="K50" s="1438">
        <v>0</v>
      </c>
      <c r="L50" s="1438">
        <v>0</v>
      </c>
      <c r="M50" s="1438">
        <v>6898</v>
      </c>
      <c r="N50" s="1438">
        <v>6785</v>
      </c>
      <c r="O50" s="1438">
        <v>7405</v>
      </c>
      <c r="P50" s="1438">
        <v>6277</v>
      </c>
      <c r="Q50" s="1438">
        <v>7968</v>
      </c>
      <c r="R50" s="1438">
        <v>7852</v>
      </c>
      <c r="S50" s="1438">
        <v>7475</v>
      </c>
      <c r="T50" s="1438">
        <v>6886</v>
      </c>
      <c r="U50" s="1438">
        <v>6211</v>
      </c>
      <c r="V50" s="1438">
        <v>4991</v>
      </c>
      <c r="W50" s="1438">
        <v>0</v>
      </c>
      <c r="X50" s="1438">
        <v>0</v>
      </c>
      <c r="Y50" s="1438">
        <v>0</v>
      </c>
      <c r="Z50" s="1438">
        <v>0</v>
      </c>
      <c r="AA50" s="1438">
        <v>0</v>
      </c>
      <c r="AB50" s="1615">
        <v>0</v>
      </c>
      <c r="AC50" s="1616"/>
    </row>
    <row r="51" spans="1:29" ht="13.5" customHeight="1">
      <c r="A51" s="1631"/>
      <c r="B51" s="1632"/>
      <c r="C51" s="1633" t="s">
        <v>934</v>
      </c>
      <c r="D51" s="1634"/>
      <c r="E51" s="1635">
        <v>0</v>
      </c>
      <c r="F51" s="1636">
        <v>0</v>
      </c>
      <c r="G51" s="1636">
        <v>0</v>
      </c>
      <c r="H51" s="1636">
        <v>0</v>
      </c>
      <c r="I51" s="1636">
        <v>0</v>
      </c>
      <c r="J51" s="1636">
        <v>0</v>
      </c>
      <c r="K51" s="1636">
        <v>0</v>
      </c>
      <c r="L51" s="1636">
        <v>0</v>
      </c>
      <c r="M51" s="1636">
        <v>448</v>
      </c>
      <c r="N51" s="1636">
        <v>448</v>
      </c>
      <c r="O51" s="1636">
        <v>448</v>
      </c>
      <c r="P51" s="1636">
        <v>448</v>
      </c>
      <c r="Q51" s="1636">
        <v>448</v>
      </c>
      <c r="R51" s="1636">
        <v>448</v>
      </c>
      <c r="S51" s="1636">
        <v>448</v>
      </c>
      <c r="T51" s="1636">
        <v>448</v>
      </c>
      <c r="U51" s="1636">
        <v>448</v>
      </c>
      <c r="V51" s="1636">
        <v>448</v>
      </c>
      <c r="W51" s="1636">
        <v>0</v>
      </c>
      <c r="X51" s="1636">
        <v>0</v>
      </c>
      <c r="Y51" s="1636">
        <v>0</v>
      </c>
      <c r="Z51" s="1636">
        <v>0</v>
      </c>
      <c r="AA51" s="1636">
        <v>0</v>
      </c>
      <c r="AB51" s="1636">
        <v>0</v>
      </c>
      <c r="AC51" s="1637"/>
    </row>
    <row r="52" spans="1:29" ht="13.5" customHeight="1" thickBot="1">
      <c r="A52" s="1631"/>
      <c r="B52" s="1632"/>
      <c r="C52" s="1633" t="s">
        <v>947</v>
      </c>
      <c r="D52" s="1634"/>
      <c r="E52" s="1635">
        <v>0</v>
      </c>
      <c r="F52" s="1636">
        <v>0</v>
      </c>
      <c r="G52" s="1636">
        <v>0</v>
      </c>
      <c r="H52" s="1636">
        <v>0</v>
      </c>
      <c r="I52" s="1636">
        <v>0</v>
      </c>
      <c r="J52" s="1636">
        <v>0</v>
      </c>
      <c r="K52" s="1636">
        <v>0</v>
      </c>
      <c r="L52" s="1636">
        <v>0</v>
      </c>
      <c r="M52" s="1636">
        <v>-6412</v>
      </c>
      <c r="N52" s="1636">
        <v>-6412</v>
      </c>
      <c r="O52" s="1636">
        <v>-6412</v>
      </c>
      <c r="P52" s="1636">
        <v>-6412</v>
      </c>
      <c r="Q52" s="1636">
        <v>-6412</v>
      </c>
      <c r="R52" s="1636">
        <v>-6412</v>
      </c>
      <c r="S52" s="1636">
        <v>-6412</v>
      </c>
      <c r="T52" s="1636">
        <v>-6412</v>
      </c>
      <c r="U52" s="1636">
        <v>-6412</v>
      </c>
      <c r="V52" s="1636">
        <v>-6412</v>
      </c>
      <c r="W52" s="1636">
        <v>0</v>
      </c>
      <c r="X52" s="1636">
        <v>0</v>
      </c>
      <c r="Y52" s="1636">
        <v>0</v>
      </c>
      <c r="Z52" s="1636">
        <v>0</v>
      </c>
      <c r="AA52" s="1636">
        <v>0</v>
      </c>
      <c r="AB52" s="1636">
        <v>0</v>
      </c>
      <c r="AC52" s="1637"/>
    </row>
    <row r="53" spans="1:29" ht="13.5" customHeight="1" thickTop="1">
      <c r="A53" s="1642" t="s">
        <v>951</v>
      </c>
      <c r="B53" s="1585"/>
      <c r="C53" s="1586"/>
      <c r="D53" s="1643">
        <v>269.24</v>
      </c>
      <c r="E53" s="1639">
        <v>0</v>
      </c>
      <c r="F53" s="1640">
        <v>0</v>
      </c>
      <c r="G53" s="1640">
        <v>0</v>
      </c>
      <c r="H53" s="1640">
        <v>0</v>
      </c>
      <c r="I53" s="1640">
        <v>0</v>
      </c>
      <c r="J53" s="1640">
        <v>0</v>
      </c>
      <c r="K53" s="1640">
        <v>0</v>
      </c>
      <c r="L53" s="1640">
        <v>0</v>
      </c>
      <c r="M53" s="1640">
        <v>10259</v>
      </c>
      <c r="N53" s="1640">
        <v>10043</v>
      </c>
      <c r="O53" s="1640">
        <v>11583</v>
      </c>
      <c r="P53" s="1640">
        <v>9004</v>
      </c>
      <c r="Q53" s="1640">
        <v>12949</v>
      </c>
      <c r="R53" s="1640">
        <v>12651</v>
      </c>
      <c r="S53" s="1640">
        <v>11706</v>
      </c>
      <c r="T53" s="1640">
        <v>10243</v>
      </c>
      <c r="U53" s="1640">
        <v>8565</v>
      </c>
      <c r="V53" s="1640">
        <v>5652</v>
      </c>
      <c r="W53" s="1640">
        <v>0</v>
      </c>
      <c r="X53" s="1640">
        <v>0</v>
      </c>
      <c r="Y53" s="1640">
        <v>0</v>
      </c>
      <c r="Z53" s="1640">
        <v>0</v>
      </c>
      <c r="AA53" s="1640">
        <v>0</v>
      </c>
      <c r="AB53" s="1640">
        <v>0</v>
      </c>
      <c r="AC53" s="1641"/>
    </row>
    <row r="54" spans="1:29" ht="13.5" customHeight="1" thickBot="1">
      <c r="A54" s="1430"/>
      <c r="B54" s="1431"/>
      <c r="C54" s="1644"/>
      <c r="D54" s="1433"/>
      <c r="E54" s="1437"/>
      <c r="F54" s="1438"/>
      <c r="G54" s="1438"/>
      <c r="H54" s="1438"/>
      <c r="I54" s="1438"/>
      <c r="J54" s="1438"/>
      <c r="K54" s="1438"/>
      <c r="L54" s="1438"/>
      <c r="M54" s="1438"/>
      <c r="N54" s="1438"/>
      <c r="O54" s="1438"/>
      <c r="P54" s="1438"/>
      <c r="Q54" s="1438"/>
      <c r="R54" s="1438"/>
      <c r="S54" s="1438"/>
      <c r="T54" s="1438"/>
      <c r="U54" s="1438"/>
      <c r="V54" s="1438"/>
      <c r="W54" s="1438"/>
      <c r="X54" s="1438"/>
      <c r="Y54" s="1438"/>
      <c r="Z54" s="1438"/>
      <c r="AA54" s="1438"/>
      <c r="AB54" s="1615"/>
      <c r="AC54" s="1616"/>
    </row>
    <row r="55" spans="1:29" ht="13.5" customHeight="1" thickTop="1" thickBot="1">
      <c r="A55" s="1690" t="s">
        <v>939</v>
      </c>
      <c r="B55" s="1691"/>
      <c r="C55" s="1691"/>
      <c r="D55" s="1692">
        <v>269.24</v>
      </c>
      <c r="E55" s="1693">
        <v>0</v>
      </c>
      <c r="F55" s="1694">
        <v>0</v>
      </c>
      <c r="G55" s="1694">
        <v>0</v>
      </c>
      <c r="H55" s="1694">
        <v>0</v>
      </c>
      <c r="I55" s="1694">
        <v>0</v>
      </c>
      <c r="J55" s="1694">
        <v>0</v>
      </c>
      <c r="K55" s="1694">
        <v>0</v>
      </c>
      <c r="L55" s="1694">
        <v>0</v>
      </c>
      <c r="M55" s="1694">
        <v>16865</v>
      </c>
      <c r="N55" s="1694">
        <v>16649</v>
      </c>
      <c r="O55" s="1694">
        <v>18189</v>
      </c>
      <c r="P55" s="1694">
        <v>15610</v>
      </c>
      <c r="Q55" s="1694">
        <v>19555</v>
      </c>
      <c r="R55" s="1694">
        <v>19341</v>
      </c>
      <c r="S55" s="1694">
        <v>18480</v>
      </c>
      <c r="T55" s="1694">
        <v>16849</v>
      </c>
      <c r="U55" s="1694">
        <v>15171</v>
      </c>
      <c r="V55" s="1694">
        <v>12258</v>
      </c>
      <c r="W55" s="1694">
        <v>0</v>
      </c>
      <c r="X55" s="1694">
        <v>0</v>
      </c>
      <c r="Y55" s="1694">
        <v>0</v>
      </c>
      <c r="Z55" s="1694">
        <v>0</v>
      </c>
      <c r="AA55" s="1694">
        <v>0</v>
      </c>
      <c r="AB55" s="1694">
        <v>0</v>
      </c>
      <c r="AC55" s="1695"/>
    </row>
    <row r="56" spans="1:29" ht="18.95" customHeight="1" thickTop="1" thickBot="1">
      <c r="A56" s="1663" t="s">
        <v>953</v>
      </c>
      <c r="B56" s="1664"/>
      <c r="C56" s="1665"/>
      <c r="D56" s="1666">
        <v>269.24</v>
      </c>
      <c r="E56" s="1667">
        <v>0</v>
      </c>
      <c r="F56" s="1668">
        <v>0</v>
      </c>
      <c r="G56" s="1668">
        <v>0</v>
      </c>
      <c r="H56" s="1668">
        <v>0</v>
      </c>
      <c r="I56" s="1668">
        <v>0</v>
      </c>
      <c r="J56" s="1668">
        <v>0</v>
      </c>
      <c r="K56" s="1668">
        <v>0</v>
      </c>
      <c r="L56" s="1668">
        <v>0</v>
      </c>
      <c r="M56" s="1668">
        <v>21601</v>
      </c>
      <c r="N56" s="1668">
        <v>20519</v>
      </c>
      <c r="O56" s="1668">
        <v>21847</v>
      </c>
      <c r="P56" s="1668">
        <v>19147</v>
      </c>
      <c r="Q56" s="1669">
        <v>23519</v>
      </c>
      <c r="R56" s="1668">
        <v>23452</v>
      </c>
      <c r="S56" s="1668">
        <v>23187</v>
      </c>
      <c r="T56" s="1668">
        <v>22178</v>
      </c>
      <c r="U56" s="1668">
        <v>20833</v>
      </c>
      <c r="V56" s="1668">
        <v>18142</v>
      </c>
      <c r="W56" s="1668">
        <v>0</v>
      </c>
      <c r="X56" s="1668">
        <v>0</v>
      </c>
      <c r="Y56" s="1668">
        <v>0</v>
      </c>
      <c r="Z56" s="1668">
        <v>0</v>
      </c>
      <c r="AA56" s="1668">
        <v>0</v>
      </c>
      <c r="AB56" s="1668">
        <v>0</v>
      </c>
      <c r="AC56" s="1670"/>
    </row>
    <row r="57" spans="1:29" ht="13.5" customHeight="1" thickTop="1">
      <c r="A57" s="1671" t="s">
        <v>941</v>
      </c>
      <c r="B57" s="1664"/>
      <c r="C57" s="1665"/>
      <c r="D57" s="1672">
        <v>269.24</v>
      </c>
      <c r="E57" s="1673">
        <v>0</v>
      </c>
      <c r="F57" s="1674">
        <v>0</v>
      </c>
      <c r="G57" s="1674">
        <v>0</v>
      </c>
      <c r="H57" s="1674">
        <v>0</v>
      </c>
      <c r="I57" s="1674">
        <v>0</v>
      </c>
      <c r="J57" s="1674">
        <v>0</v>
      </c>
      <c r="K57" s="1674">
        <v>0</v>
      </c>
      <c r="L57" s="1674">
        <v>0</v>
      </c>
      <c r="M57" s="1674">
        <v>22</v>
      </c>
      <c r="N57" s="1674">
        <v>21</v>
      </c>
      <c r="O57" s="1674">
        <v>22</v>
      </c>
      <c r="P57" s="1674">
        <v>20</v>
      </c>
      <c r="Q57" s="1675">
        <v>24</v>
      </c>
      <c r="R57" s="1674">
        <v>24</v>
      </c>
      <c r="S57" s="1674">
        <v>24</v>
      </c>
      <c r="T57" s="1674">
        <v>23</v>
      </c>
      <c r="U57" s="1674">
        <v>21</v>
      </c>
      <c r="V57" s="1674">
        <v>19</v>
      </c>
      <c r="W57" s="1674">
        <v>0</v>
      </c>
      <c r="X57" s="1674">
        <v>0</v>
      </c>
      <c r="Y57" s="1674">
        <v>0</v>
      </c>
      <c r="Z57" s="1674">
        <v>0</v>
      </c>
      <c r="AA57" s="1674">
        <v>0</v>
      </c>
      <c r="AB57" s="1674">
        <v>0</v>
      </c>
      <c r="AC57" s="1676"/>
    </row>
    <row r="58" spans="1:29" ht="13.5" customHeight="1">
      <c r="A58" s="1677" t="s">
        <v>942</v>
      </c>
      <c r="B58" s="1613"/>
      <c r="C58" s="1678"/>
      <c r="D58" s="1679">
        <v>269.24</v>
      </c>
      <c r="E58" s="1680">
        <v>0</v>
      </c>
      <c r="F58" s="1681">
        <v>0</v>
      </c>
      <c r="G58" s="1681">
        <v>0</v>
      </c>
      <c r="H58" s="1681">
        <v>0</v>
      </c>
      <c r="I58" s="1681">
        <v>0</v>
      </c>
      <c r="J58" s="1681">
        <v>0</v>
      </c>
      <c r="K58" s="1681">
        <v>0</v>
      </c>
      <c r="L58" s="1681">
        <v>0</v>
      </c>
      <c r="M58" s="1681">
        <v>80</v>
      </c>
      <c r="N58" s="1681">
        <v>76</v>
      </c>
      <c r="O58" s="1681">
        <v>81</v>
      </c>
      <c r="P58" s="1681">
        <v>71</v>
      </c>
      <c r="Q58" s="1683">
        <v>87</v>
      </c>
      <c r="R58" s="1681">
        <v>87</v>
      </c>
      <c r="S58" s="1681">
        <v>86</v>
      </c>
      <c r="T58" s="1681">
        <v>82</v>
      </c>
      <c r="U58" s="1681">
        <v>77</v>
      </c>
      <c r="V58" s="1681">
        <v>67</v>
      </c>
      <c r="W58" s="1681">
        <v>0</v>
      </c>
      <c r="X58" s="1681">
        <v>0</v>
      </c>
      <c r="Y58" s="1681">
        <v>0</v>
      </c>
      <c r="Z58" s="1681">
        <v>0</v>
      </c>
      <c r="AA58" s="1681">
        <v>0</v>
      </c>
      <c r="AB58" s="1681">
        <v>0</v>
      </c>
      <c r="AC58" s="1682"/>
    </row>
    <row r="65" spans="3:26" s="1297" customFormat="1" ht="13.5" customHeight="1">
      <c r="C65" s="1304"/>
      <c r="D65" s="1304"/>
      <c r="E65" s="1304"/>
      <c r="G65" s="1301"/>
      <c r="K65" s="1301"/>
      <c r="N65" s="1301"/>
      <c r="Q65" s="1301"/>
      <c r="S65" s="1301"/>
      <c r="T65" s="1301"/>
      <c r="W65" s="1301"/>
      <c r="Z65" s="1301"/>
    </row>
    <row r="66" spans="3:26" s="1297" customFormat="1" ht="13.5" customHeight="1">
      <c r="C66" s="1304"/>
      <c r="D66" s="1304"/>
      <c r="E66" s="1304"/>
      <c r="F66" s="1305"/>
      <c r="G66" s="1301"/>
      <c r="J66" s="1305"/>
      <c r="K66" s="1301"/>
      <c r="N66" s="1301"/>
      <c r="P66" s="1305"/>
      <c r="Q66" s="1301"/>
      <c r="S66" s="1301"/>
      <c r="T66" s="1301"/>
      <c r="V66" s="1305"/>
      <c r="W66" s="1301"/>
      <c r="Z66" s="1301"/>
    </row>
    <row r="67" spans="3:26" s="1297" customFormat="1" ht="13.5" customHeight="1">
      <c r="C67" s="1304"/>
      <c r="D67" s="1304"/>
      <c r="E67" s="1304"/>
      <c r="F67" s="1303"/>
      <c r="G67" s="1301"/>
      <c r="J67" s="1303"/>
      <c r="K67" s="1301"/>
      <c r="N67" s="1301"/>
      <c r="P67" s="1303"/>
      <c r="Q67" s="1301"/>
      <c r="S67" s="1301"/>
      <c r="T67" s="1301"/>
      <c r="V67" s="1303"/>
      <c r="W67" s="1301"/>
      <c r="Z67" s="1301"/>
    </row>
    <row r="68" spans="3:26" s="1297" customFormat="1" ht="13.5" customHeight="1">
      <c r="C68" s="1302"/>
      <c r="D68" s="1302"/>
      <c r="E68" s="1302"/>
      <c r="F68" s="1301"/>
      <c r="J68" s="1301"/>
      <c r="P68" s="1301"/>
      <c r="V68" s="1301"/>
    </row>
  </sheetData>
  <mergeCells count="39">
    <mergeCell ref="A58:C58"/>
    <mergeCell ref="A53:C53"/>
    <mergeCell ref="A21:C21"/>
    <mergeCell ref="A38:C38"/>
    <mergeCell ref="A55:C55"/>
    <mergeCell ref="A56:C56"/>
    <mergeCell ref="A57:C57"/>
    <mergeCell ref="C51:D51"/>
    <mergeCell ref="C18:D18"/>
    <mergeCell ref="C35:D35"/>
    <mergeCell ref="C52:D52"/>
    <mergeCell ref="A19:C19"/>
    <mergeCell ref="A36:C36"/>
    <mergeCell ref="A46:C46"/>
    <mergeCell ref="A14:C14"/>
    <mergeCell ref="A31:C31"/>
    <mergeCell ref="A48:C48"/>
    <mergeCell ref="C17:D17"/>
    <mergeCell ref="C34:D34"/>
    <mergeCell ref="C44:D44"/>
    <mergeCell ref="C11:D11"/>
    <mergeCell ref="C28:D28"/>
    <mergeCell ref="C45:D45"/>
    <mergeCell ref="A12:C12"/>
    <mergeCell ref="A29:C29"/>
    <mergeCell ref="A6:AC6"/>
    <mergeCell ref="A23:AC23"/>
    <mergeCell ref="A40:AC40"/>
    <mergeCell ref="A7:C7"/>
    <mergeCell ref="A24:C24"/>
    <mergeCell ref="A41:C41"/>
    <mergeCell ref="C10:D10"/>
    <mergeCell ref="C27:D27"/>
    <mergeCell ref="A4:A5"/>
    <mergeCell ref="B4:B5"/>
    <mergeCell ref="C4:C5"/>
    <mergeCell ref="D4:D5"/>
    <mergeCell ref="E4:AB4"/>
    <mergeCell ref="AC4:AC5"/>
  </mergeCells>
  <phoneticPr fontId="4"/>
  <pageMargins left="0.39370078740157483" right="0.39370078740157483" top="0.78740157480314965" bottom="0.55118110236220474" header="0.59055118110236227" footer="0.31496062992125984"/>
  <pageSetup paperSize="9" scale="54" fitToHeight="0" orientation="landscape" horizontalDpi="1200" verticalDpi="1200" r:id="rId1"/>
  <headerFooter scaleWithDoc="0" alignWithMargins="0">
    <oddFooter>&amp;C&amp;"ＭＳ Ｐゴシック,標準"&amp;9( &amp;P / &amp;N )</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G49"/>
  <sheetViews>
    <sheetView showGridLines="0" zoomScale="80" zoomScaleNormal="80" workbookViewId="0">
      <pane xSplit="4" ySplit="5" topLeftCell="E6" activePane="bottomRight" state="frozenSplit"/>
      <selection pane="topRight"/>
      <selection pane="bottomLeft"/>
      <selection pane="bottomRight"/>
    </sheetView>
  </sheetViews>
  <sheetFormatPr defaultColWidth="9.140625" defaultRowHeight="13.5" customHeight="1"/>
  <cols>
    <col min="1" max="1" width="5.42578125" style="1297" customWidth="1"/>
    <col min="2" max="2" width="7.5703125" style="1297" customWidth="1"/>
    <col min="3" max="3" width="33.7109375" style="1297" customWidth="1"/>
    <col min="4" max="4" width="10.7109375" style="1297" customWidth="1"/>
    <col min="5" max="6" width="15.7109375" style="1297" customWidth="1"/>
    <col min="7" max="7" width="30.7109375" style="1297" customWidth="1"/>
    <col min="8" max="16384" width="9.140625" style="1293"/>
  </cols>
  <sheetData>
    <row r="1" spans="1:7" s="1562" customFormat="1" ht="21" customHeight="1">
      <c r="A1" s="1568" t="s">
        <v>955</v>
      </c>
      <c r="B1" s="1567"/>
      <c r="C1" s="1566"/>
      <c r="D1" s="1700"/>
      <c r="E1" s="1699"/>
      <c r="F1" s="1699"/>
      <c r="G1" s="1563"/>
    </row>
    <row r="4" spans="1:7" ht="13.5" customHeight="1">
      <c r="A4" s="1401" t="s">
        <v>363</v>
      </c>
      <c r="B4" s="1400" t="s">
        <v>341</v>
      </c>
      <c r="C4" s="1561" t="s">
        <v>729</v>
      </c>
      <c r="D4" s="1600" t="s">
        <v>944</v>
      </c>
      <c r="E4" s="1599" t="s">
        <v>954</v>
      </c>
      <c r="F4" s="1597"/>
      <c r="G4" s="1698" t="s">
        <v>843</v>
      </c>
    </row>
    <row r="5" spans="1:7" ht="13.5" customHeight="1">
      <c r="A5" s="1369"/>
      <c r="B5" s="1368"/>
      <c r="C5" s="1554"/>
      <c r="D5" s="1610"/>
      <c r="E5" s="1697" t="s">
        <v>38</v>
      </c>
      <c r="F5" s="1696" t="s">
        <v>62</v>
      </c>
      <c r="G5" s="1701"/>
    </row>
    <row r="6" spans="1:7" ht="13.5" customHeight="1">
      <c r="A6" s="1626" t="s">
        <v>933</v>
      </c>
      <c r="B6" s="1627"/>
      <c r="C6" s="1628"/>
      <c r="D6" s="1621"/>
      <c r="E6" s="1622"/>
      <c r="F6" s="1624"/>
      <c r="G6" s="1625"/>
    </row>
    <row r="7" spans="1:7" ht="13.5" customHeight="1">
      <c r="A7" s="1327">
        <v>2</v>
      </c>
      <c r="B7" s="1326">
        <v>201</v>
      </c>
      <c r="C7" s="1612" t="s">
        <v>332</v>
      </c>
      <c r="D7" s="1324">
        <v>121</v>
      </c>
      <c r="E7" s="1314">
        <v>36421</v>
      </c>
      <c r="F7" s="1591">
        <v>35332</v>
      </c>
      <c r="G7" s="1590"/>
    </row>
    <row r="8" spans="1:7" ht="13.5" customHeight="1" thickBot="1">
      <c r="A8" s="1430">
        <v>2</v>
      </c>
      <c r="B8" s="1431">
        <v>202</v>
      </c>
      <c r="C8" s="1614" t="s">
        <v>547</v>
      </c>
      <c r="D8" s="1433">
        <v>91</v>
      </c>
      <c r="E8" s="1437">
        <v>27391</v>
      </c>
      <c r="F8" s="1615">
        <v>26572</v>
      </c>
      <c r="G8" s="1616"/>
    </row>
    <row r="9" spans="1:7" ht="13.5" customHeight="1" thickTop="1">
      <c r="A9" s="1642" t="s">
        <v>936</v>
      </c>
      <c r="B9" s="1585"/>
      <c r="C9" s="1586"/>
      <c r="D9" s="1643">
        <v>212</v>
      </c>
      <c r="E9" s="1639">
        <v>63812</v>
      </c>
      <c r="F9" s="1640">
        <v>61904</v>
      </c>
      <c r="G9" s="1641"/>
    </row>
    <row r="10" spans="1:7" ht="13.5" customHeight="1">
      <c r="A10" s="1327"/>
      <c r="B10" s="1326"/>
      <c r="C10" s="1612"/>
      <c r="D10" s="1324"/>
      <c r="E10" s="1314"/>
      <c r="F10" s="1591"/>
      <c r="G10" s="1590"/>
    </row>
    <row r="11" spans="1:7" ht="13.5" customHeight="1">
      <c r="A11" s="1327"/>
      <c r="B11" s="1326"/>
      <c r="C11" s="1592"/>
      <c r="D11" s="1324"/>
      <c r="E11" s="1314"/>
      <c r="F11" s="1591"/>
      <c r="G11" s="1590"/>
    </row>
    <row r="12" spans="1:7" ht="13.5" customHeight="1">
      <c r="A12" s="1327"/>
      <c r="B12" s="1326"/>
      <c r="C12" s="1592"/>
      <c r="D12" s="1324"/>
      <c r="E12" s="1314"/>
      <c r="F12" s="1591"/>
      <c r="G12" s="1590"/>
    </row>
    <row r="13" spans="1:7" ht="13.5" customHeight="1">
      <c r="A13" s="1327"/>
      <c r="B13" s="1326"/>
      <c r="C13" s="1592"/>
      <c r="D13" s="1324"/>
      <c r="E13" s="1314"/>
      <c r="F13" s="1591"/>
      <c r="G13" s="1590"/>
    </row>
    <row r="14" spans="1:7" ht="13.5" customHeight="1">
      <c r="A14" s="1327"/>
      <c r="B14" s="1326"/>
      <c r="C14" s="1592"/>
      <c r="D14" s="1324"/>
      <c r="E14" s="1314"/>
      <c r="F14" s="1591"/>
      <c r="G14" s="1590"/>
    </row>
    <row r="15" spans="1:7" ht="13.5" customHeight="1">
      <c r="A15" s="1327"/>
      <c r="B15" s="1326"/>
      <c r="C15" s="1592"/>
      <c r="D15" s="1324"/>
      <c r="E15" s="1314"/>
      <c r="F15" s="1591"/>
      <c r="G15" s="1590"/>
    </row>
    <row r="16" spans="1:7" ht="13.5" customHeight="1">
      <c r="A16" s="1327"/>
      <c r="B16" s="1326"/>
      <c r="C16" s="1592"/>
      <c r="D16" s="1324"/>
      <c r="E16" s="1314"/>
      <c r="F16" s="1591"/>
      <c r="G16" s="1590"/>
    </row>
    <row r="17" spans="1:7" ht="13.5" customHeight="1">
      <c r="A17" s="1327"/>
      <c r="B17" s="1326"/>
      <c r="C17" s="1592"/>
      <c r="D17" s="1324"/>
      <c r="E17" s="1314"/>
      <c r="F17" s="1591"/>
      <c r="G17" s="1590"/>
    </row>
    <row r="18" spans="1:7" ht="13.5" customHeight="1">
      <c r="A18" s="1327"/>
      <c r="B18" s="1326"/>
      <c r="C18" s="1592"/>
      <c r="D18" s="1324"/>
      <c r="E18" s="1314"/>
      <c r="F18" s="1591"/>
      <c r="G18" s="1590"/>
    </row>
    <row r="19" spans="1:7" ht="13.5" customHeight="1">
      <c r="A19" s="1327"/>
      <c r="B19" s="1326"/>
      <c r="C19" s="1592"/>
      <c r="D19" s="1324"/>
      <c r="E19" s="1314"/>
      <c r="F19" s="1591"/>
      <c r="G19" s="1590"/>
    </row>
    <row r="20" spans="1:7" ht="13.5" customHeight="1">
      <c r="A20" s="1327"/>
      <c r="B20" s="1326"/>
      <c r="C20" s="1592"/>
      <c r="D20" s="1324"/>
      <c r="E20" s="1314"/>
      <c r="F20" s="1591"/>
      <c r="G20" s="1590"/>
    </row>
    <row r="21" spans="1:7" ht="13.5" customHeight="1">
      <c r="A21" s="1327"/>
      <c r="B21" s="1326"/>
      <c r="C21" s="1592"/>
      <c r="D21" s="1324"/>
      <c r="E21" s="1314"/>
      <c r="F21" s="1591"/>
      <c r="G21" s="1590"/>
    </row>
    <row r="22" spans="1:7" ht="13.5" customHeight="1">
      <c r="A22" s="1327"/>
      <c r="B22" s="1326"/>
      <c r="C22" s="1592"/>
      <c r="D22" s="1324"/>
      <c r="E22" s="1314"/>
      <c r="F22" s="1591"/>
      <c r="G22" s="1590"/>
    </row>
    <row r="23" spans="1:7" ht="13.5" customHeight="1">
      <c r="A23" s="1327"/>
      <c r="B23" s="1326"/>
      <c r="C23" s="1592"/>
      <c r="D23" s="1324"/>
      <c r="E23" s="1314"/>
      <c r="F23" s="1591"/>
      <c r="G23" s="1590"/>
    </row>
    <row r="24" spans="1:7" ht="13.5" customHeight="1">
      <c r="A24" s="1327"/>
      <c r="B24" s="1326"/>
      <c r="C24" s="1592"/>
      <c r="D24" s="1324"/>
      <c r="E24" s="1314"/>
      <c r="F24" s="1591"/>
      <c r="G24" s="1590"/>
    </row>
    <row r="25" spans="1:7" ht="13.5" customHeight="1">
      <c r="A25" s="1327"/>
      <c r="B25" s="1326"/>
      <c r="C25" s="1592"/>
      <c r="D25" s="1324"/>
      <c r="E25" s="1314"/>
      <c r="F25" s="1591"/>
      <c r="G25" s="1590"/>
    </row>
    <row r="26" spans="1:7" ht="13.5" customHeight="1">
      <c r="A26" s="1327"/>
      <c r="B26" s="1326"/>
      <c r="C26" s="1592"/>
      <c r="D26" s="1324"/>
      <c r="E26" s="1314"/>
      <c r="F26" s="1591"/>
      <c r="G26" s="1590"/>
    </row>
    <row r="27" spans="1:7" ht="13.5" customHeight="1">
      <c r="A27" s="1327"/>
      <c r="B27" s="1326"/>
      <c r="C27" s="1592"/>
      <c r="D27" s="1324"/>
      <c r="E27" s="1314"/>
      <c r="F27" s="1591"/>
      <c r="G27" s="1590"/>
    </row>
    <row r="28" spans="1:7" ht="13.5" customHeight="1">
      <c r="A28" s="1327"/>
      <c r="B28" s="1326"/>
      <c r="C28" s="1592"/>
      <c r="D28" s="1324"/>
      <c r="E28" s="1314"/>
      <c r="F28" s="1591"/>
      <c r="G28" s="1590"/>
    </row>
    <row r="29" spans="1:7" ht="13.5" customHeight="1">
      <c r="A29" s="1327"/>
      <c r="B29" s="1326"/>
      <c r="C29" s="1592"/>
      <c r="D29" s="1324"/>
      <c r="E29" s="1314"/>
      <c r="F29" s="1591"/>
      <c r="G29" s="1590"/>
    </row>
    <row r="30" spans="1:7" ht="13.5" customHeight="1">
      <c r="A30" s="1327"/>
      <c r="B30" s="1326"/>
      <c r="C30" s="1592"/>
      <c r="D30" s="1324"/>
      <c r="E30" s="1314"/>
      <c r="F30" s="1591"/>
      <c r="G30" s="1590"/>
    </row>
    <row r="31" spans="1:7" ht="13.5" customHeight="1">
      <c r="A31" s="1327"/>
      <c r="B31" s="1326"/>
      <c r="C31" s="1592"/>
      <c r="D31" s="1324"/>
      <c r="E31" s="1314"/>
      <c r="F31" s="1591"/>
      <c r="G31" s="1590"/>
    </row>
    <row r="32" spans="1:7" ht="13.5" customHeight="1">
      <c r="A32" s="1327"/>
      <c r="B32" s="1326"/>
      <c r="C32" s="1592"/>
      <c r="D32" s="1324"/>
      <c r="E32" s="1314"/>
      <c r="F32" s="1591"/>
      <c r="G32" s="1590"/>
    </row>
    <row r="33" spans="1:7" ht="13.5" customHeight="1">
      <c r="A33" s="1327"/>
      <c r="B33" s="1326"/>
      <c r="C33" s="1592"/>
      <c r="D33" s="1324"/>
      <c r="E33" s="1314"/>
      <c r="F33" s="1591"/>
      <c r="G33" s="1590"/>
    </row>
    <row r="34" spans="1:7" ht="13.5" customHeight="1">
      <c r="A34" s="1327"/>
      <c r="B34" s="1326"/>
      <c r="C34" s="1592"/>
      <c r="D34" s="1324"/>
      <c r="E34" s="1314"/>
      <c r="F34" s="1591"/>
      <c r="G34" s="1590"/>
    </row>
    <row r="35" spans="1:7" ht="13.5" customHeight="1">
      <c r="A35" s="1327"/>
      <c r="B35" s="1326"/>
      <c r="C35" s="1592"/>
      <c r="D35" s="1324"/>
      <c r="E35" s="1314"/>
      <c r="F35" s="1591"/>
      <c r="G35" s="1590"/>
    </row>
    <row r="36" spans="1:7" ht="13.5" customHeight="1">
      <c r="A36" s="1327"/>
      <c r="B36" s="1326"/>
      <c r="C36" s="1592"/>
      <c r="D36" s="1324"/>
      <c r="E36" s="1314"/>
      <c r="F36" s="1591"/>
      <c r="G36" s="1590"/>
    </row>
    <row r="37" spans="1:7" ht="13.5" customHeight="1" thickBot="1">
      <c r="A37" s="1430"/>
      <c r="B37" s="1431"/>
      <c r="C37" s="1614"/>
      <c r="D37" s="1433"/>
      <c r="E37" s="1437"/>
      <c r="F37" s="1615"/>
      <c r="G37" s="1616"/>
    </row>
    <row r="38" spans="1:7" ht="18.95" customHeight="1" thickTop="1" thickBot="1">
      <c r="A38" s="1671" t="s">
        <v>956</v>
      </c>
      <c r="B38" s="1664"/>
      <c r="C38" s="1665"/>
      <c r="D38" s="1672">
        <v>212</v>
      </c>
      <c r="E38" s="1702">
        <v>63812</v>
      </c>
      <c r="F38" s="1674">
        <v>61904</v>
      </c>
      <c r="G38" s="1703"/>
    </row>
    <row r="39" spans="1:7" ht="13.5" customHeight="1" thickTop="1">
      <c r="A39" s="1671" t="s">
        <v>941</v>
      </c>
      <c r="B39" s="1664"/>
      <c r="C39" s="1665"/>
      <c r="D39" s="1672">
        <v>212</v>
      </c>
      <c r="E39" s="1702">
        <v>64</v>
      </c>
      <c r="F39" s="1674">
        <v>62</v>
      </c>
      <c r="G39" s="1676"/>
    </row>
    <row r="40" spans="1:7" ht="13.5" customHeight="1">
      <c r="A40" s="1677" t="s">
        <v>942</v>
      </c>
      <c r="B40" s="1613"/>
      <c r="C40" s="1678"/>
      <c r="D40" s="1679">
        <v>212</v>
      </c>
      <c r="E40" s="1704">
        <v>301</v>
      </c>
      <c r="F40" s="1681">
        <v>292</v>
      </c>
      <c r="G40" s="1682"/>
    </row>
    <row r="46" spans="1:7" s="1297" customFormat="1" ht="13.5" customHeight="1">
      <c r="C46" s="1304"/>
      <c r="D46" s="1304"/>
      <c r="E46" s="1304"/>
      <c r="F46" s="1301"/>
    </row>
    <row r="47" spans="1:7" s="1297" customFormat="1" ht="13.5" customHeight="1">
      <c r="C47" s="1304"/>
      <c r="D47" s="1304"/>
      <c r="E47" s="1304"/>
      <c r="F47" s="1301"/>
    </row>
    <row r="48" spans="1:7" s="1297" customFormat="1" ht="13.5" customHeight="1">
      <c r="C48" s="1304"/>
      <c r="D48" s="1304"/>
      <c r="E48" s="1304"/>
      <c r="F48" s="1301"/>
    </row>
    <row r="49" spans="3:5" s="1297" customFormat="1" ht="13.5" customHeight="1">
      <c r="C49" s="1302"/>
      <c r="D49" s="1302"/>
      <c r="E49" s="1302"/>
    </row>
  </sheetData>
  <mergeCells count="11">
    <mergeCell ref="A6:C6"/>
    <mergeCell ref="A9:C9"/>
    <mergeCell ref="A38:C38"/>
    <mergeCell ref="A39:C39"/>
    <mergeCell ref="A40:C40"/>
    <mergeCell ref="A4:A5"/>
    <mergeCell ref="B4:B5"/>
    <mergeCell ref="C4:C5"/>
    <mergeCell ref="D4:D5"/>
    <mergeCell ref="E4:F4"/>
    <mergeCell ref="G4:G5"/>
  </mergeCells>
  <phoneticPr fontId="4"/>
  <printOptions horizontalCentered="1"/>
  <pageMargins left="0.39370078740157483" right="0.39370078740157483" top="0.78740157480314965" bottom="0.55118110236220474" header="0.59055118110236227" footer="0.31496062992125984"/>
  <pageSetup paperSize="9" scale="87" orientation="landscape" horizontalDpi="1200" verticalDpi="1200" r:id="rId1"/>
  <headerFooter scaleWithDoc="0" alignWithMargins="0">
    <oddFooter>&amp;C&amp;"ＭＳ Ｐゴシック,標準"&amp;9( &amp;P / &amp;N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G49"/>
  <sheetViews>
    <sheetView showGridLines="0" zoomScale="80" zoomScaleNormal="80" workbookViewId="0">
      <pane xSplit="4" ySplit="5" topLeftCell="E6" activePane="bottomRight" state="frozenSplit"/>
      <selection pane="topRight"/>
      <selection pane="bottomLeft"/>
      <selection pane="bottomRight"/>
    </sheetView>
  </sheetViews>
  <sheetFormatPr defaultColWidth="9.140625" defaultRowHeight="13.5" customHeight="1"/>
  <cols>
    <col min="1" max="1" width="5.42578125" style="1297" customWidth="1"/>
    <col min="2" max="2" width="7.5703125" style="1297" customWidth="1"/>
    <col min="3" max="3" width="33.7109375" style="1297" customWidth="1"/>
    <col min="4" max="4" width="10.7109375" style="1297" customWidth="1"/>
    <col min="5" max="6" width="15.7109375" style="1297" customWidth="1"/>
    <col min="7" max="7" width="30.7109375" style="1297" customWidth="1"/>
    <col min="8" max="16384" width="9.140625" style="1293"/>
  </cols>
  <sheetData>
    <row r="1" spans="1:7" s="1562" customFormat="1" ht="21" customHeight="1">
      <c r="A1" s="1568" t="s">
        <v>957</v>
      </c>
      <c r="B1" s="1567"/>
      <c r="C1" s="1566"/>
      <c r="D1" s="1700"/>
      <c r="E1" s="1699"/>
      <c r="F1" s="1699"/>
      <c r="G1" s="1563"/>
    </row>
    <row r="4" spans="1:7" ht="13.5" customHeight="1">
      <c r="A4" s="1401" t="s">
        <v>363</v>
      </c>
      <c r="B4" s="1400" t="s">
        <v>341</v>
      </c>
      <c r="C4" s="1561" t="s">
        <v>729</v>
      </c>
      <c r="D4" s="1600" t="s">
        <v>728</v>
      </c>
      <c r="E4" s="1599" t="s">
        <v>954</v>
      </c>
      <c r="F4" s="1597"/>
      <c r="G4" s="1698" t="s">
        <v>843</v>
      </c>
    </row>
    <row r="5" spans="1:7" ht="13.5" customHeight="1">
      <c r="A5" s="1369"/>
      <c r="B5" s="1368"/>
      <c r="C5" s="1554"/>
      <c r="D5" s="1610"/>
      <c r="E5" s="1697" t="s">
        <v>38</v>
      </c>
      <c r="F5" s="1696" t="s">
        <v>62</v>
      </c>
      <c r="G5" s="1701"/>
    </row>
    <row r="6" spans="1:7" ht="13.5" customHeight="1">
      <c r="A6" s="1626" t="s">
        <v>946</v>
      </c>
      <c r="B6" s="1627"/>
      <c r="C6" s="1628"/>
      <c r="D6" s="1621"/>
      <c r="E6" s="1622"/>
      <c r="F6" s="1624"/>
      <c r="G6" s="1625"/>
    </row>
    <row r="7" spans="1:7" ht="13.5" customHeight="1">
      <c r="A7" s="1327">
        <v>2</v>
      </c>
      <c r="B7" s="1326">
        <v>201</v>
      </c>
      <c r="C7" s="1612" t="s">
        <v>332</v>
      </c>
      <c r="D7" s="1324">
        <v>121</v>
      </c>
      <c r="E7" s="1314">
        <v>0</v>
      </c>
      <c r="F7" s="1591">
        <v>0</v>
      </c>
      <c r="G7" s="1590"/>
    </row>
    <row r="8" spans="1:7" ht="13.5" customHeight="1" thickBot="1">
      <c r="A8" s="1430">
        <v>2</v>
      </c>
      <c r="B8" s="1431">
        <v>202</v>
      </c>
      <c r="C8" s="1614" t="s">
        <v>547</v>
      </c>
      <c r="D8" s="1433">
        <v>91</v>
      </c>
      <c r="E8" s="1437">
        <v>0</v>
      </c>
      <c r="F8" s="1615">
        <v>0</v>
      </c>
      <c r="G8" s="1616"/>
    </row>
    <row r="9" spans="1:7" ht="13.5" customHeight="1" thickTop="1">
      <c r="A9" s="1642" t="s">
        <v>936</v>
      </c>
      <c r="B9" s="1585"/>
      <c r="C9" s="1586"/>
      <c r="D9" s="1643">
        <v>212</v>
      </c>
      <c r="E9" s="1639">
        <v>0</v>
      </c>
      <c r="F9" s="1640">
        <v>0</v>
      </c>
      <c r="G9" s="1641"/>
    </row>
    <row r="10" spans="1:7" ht="13.5" customHeight="1">
      <c r="A10" s="1327"/>
      <c r="B10" s="1326"/>
      <c r="C10" s="1612"/>
      <c r="D10" s="1324"/>
      <c r="E10" s="1314"/>
      <c r="F10" s="1591"/>
      <c r="G10" s="1590"/>
    </row>
    <row r="11" spans="1:7" ht="13.5" customHeight="1">
      <c r="A11" s="1327"/>
      <c r="B11" s="1326"/>
      <c r="C11" s="1592"/>
      <c r="D11" s="1324"/>
      <c r="E11" s="1314"/>
      <c r="F11" s="1591"/>
      <c r="G11" s="1590"/>
    </row>
    <row r="12" spans="1:7" ht="13.5" customHeight="1">
      <c r="A12" s="1327"/>
      <c r="B12" s="1326"/>
      <c r="C12" s="1592"/>
      <c r="D12" s="1324"/>
      <c r="E12" s="1314"/>
      <c r="F12" s="1591"/>
      <c r="G12" s="1590"/>
    </row>
    <row r="13" spans="1:7" ht="13.5" customHeight="1">
      <c r="A13" s="1327"/>
      <c r="B13" s="1326"/>
      <c r="C13" s="1592"/>
      <c r="D13" s="1324"/>
      <c r="E13" s="1314"/>
      <c r="F13" s="1591"/>
      <c r="G13" s="1590"/>
    </row>
    <row r="14" spans="1:7" ht="13.5" customHeight="1">
      <c r="A14" s="1327"/>
      <c r="B14" s="1326"/>
      <c r="C14" s="1592"/>
      <c r="D14" s="1324"/>
      <c r="E14" s="1314"/>
      <c r="F14" s="1591"/>
      <c r="G14" s="1590"/>
    </row>
    <row r="15" spans="1:7" ht="13.5" customHeight="1">
      <c r="A15" s="1327"/>
      <c r="B15" s="1326"/>
      <c r="C15" s="1592"/>
      <c r="D15" s="1324"/>
      <c r="E15" s="1314"/>
      <c r="F15" s="1591"/>
      <c r="G15" s="1590"/>
    </row>
    <row r="16" spans="1:7" ht="13.5" customHeight="1">
      <c r="A16" s="1327"/>
      <c r="B16" s="1326"/>
      <c r="C16" s="1592"/>
      <c r="D16" s="1324"/>
      <c r="E16" s="1314"/>
      <c r="F16" s="1591"/>
      <c r="G16" s="1590"/>
    </row>
    <row r="17" spans="1:7" ht="13.5" customHeight="1">
      <c r="A17" s="1327"/>
      <c r="B17" s="1326"/>
      <c r="C17" s="1592"/>
      <c r="D17" s="1324"/>
      <c r="E17" s="1314"/>
      <c r="F17" s="1591"/>
      <c r="G17" s="1590"/>
    </row>
    <row r="18" spans="1:7" ht="13.5" customHeight="1">
      <c r="A18" s="1327"/>
      <c r="B18" s="1326"/>
      <c r="C18" s="1592"/>
      <c r="D18" s="1324"/>
      <c r="E18" s="1314"/>
      <c r="F18" s="1591"/>
      <c r="G18" s="1590"/>
    </row>
    <row r="19" spans="1:7" ht="13.5" customHeight="1">
      <c r="A19" s="1327"/>
      <c r="B19" s="1326"/>
      <c r="C19" s="1592"/>
      <c r="D19" s="1324"/>
      <c r="E19" s="1314"/>
      <c r="F19" s="1591"/>
      <c r="G19" s="1590"/>
    </row>
    <row r="20" spans="1:7" ht="13.5" customHeight="1">
      <c r="A20" s="1327"/>
      <c r="B20" s="1326"/>
      <c r="C20" s="1592"/>
      <c r="D20" s="1324"/>
      <c r="E20" s="1314"/>
      <c r="F20" s="1591"/>
      <c r="G20" s="1590"/>
    </row>
    <row r="21" spans="1:7" ht="13.5" customHeight="1">
      <c r="A21" s="1327"/>
      <c r="B21" s="1326"/>
      <c r="C21" s="1592"/>
      <c r="D21" s="1324"/>
      <c r="E21" s="1314"/>
      <c r="F21" s="1591"/>
      <c r="G21" s="1590"/>
    </row>
    <row r="22" spans="1:7" ht="13.5" customHeight="1">
      <c r="A22" s="1327"/>
      <c r="B22" s="1326"/>
      <c r="C22" s="1592"/>
      <c r="D22" s="1324"/>
      <c r="E22" s="1314"/>
      <c r="F22" s="1591"/>
      <c r="G22" s="1590"/>
    </row>
    <row r="23" spans="1:7" ht="13.5" customHeight="1">
      <c r="A23" s="1327"/>
      <c r="B23" s="1326"/>
      <c r="C23" s="1592"/>
      <c r="D23" s="1324"/>
      <c r="E23" s="1314"/>
      <c r="F23" s="1591"/>
      <c r="G23" s="1590"/>
    </row>
    <row r="24" spans="1:7" ht="13.5" customHeight="1">
      <c r="A24" s="1327"/>
      <c r="B24" s="1326"/>
      <c r="C24" s="1592"/>
      <c r="D24" s="1324"/>
      <c r="E24" s="1314"/>
      <c r="F24" s="1591"/>
      <c r="G24" s="1590"/>
    </row>
    <row r="25" spans="1:7" ht="13.5" customHeight="1">
      <c r="A25" s="1327"/>
      <c r="B25" s="1326"/>
      <c r="C25" s="1592"/>
      <c r="D25" s="1324"/>
      <c r="E25" s="1314"/>
      <c r="F25" s="1591"/>
      <c r="G25" s="1590"/>
    </row>
    <row r="26" spans="1:7" ht="13.5" customHeight="1">
      <c r="A26" s="1327"/>
      <c r="B26" s="1326"/>
      <c r="C26" s="1592"/>
      <c r="D26" s="1324"/>
      <c r="E26" s="1314"/>
      <c r="F26" s="1591"/>
      <c r="G26" s="1590"/>
    </row>
    <row r="27" spans="1:7" ht="13.5" customHeight="1">
      <c r="A27" s="1327"/>
      <c r="B27" s="1326"/>
      <c r="C27" s="1592"/>
      <c r="D27" s="1324"/>
      <c r="E27" s="1314"/>
      <c r="F27" s="1591"/>
      <c r="G27" s="1590"/>
    </row>
    <row r="28" spans="1:7" ht="13.5" customHeight="1">
      <c r="A28" s="1327"/>
      <c r="B28" s="1326"/>
      <c r="C28" s="1592"/>
      <c r="D28" s="1324"/>
      <c r="E28" s="1314"/>
      <c r="F28" s="1591"/>
      <c r="G28" s="1590"/>
    </row>
    <row r="29" spans="1:7" ht="13.5" customHeight="1">
      <c r="A29" s="1327"/>
      <c r="B29" s="1326"/>
      <c r="C29" s="1592"/>
      <c r="D29" s="1324"/>
      <c r="E29" s="1314"/>
      <c r="F29" s="1591"/>
      <c r="G29" s="1590"/>
    </row>
    <row r="30" spans="1:7" ht="13.5" customHeight="1">
      <c r="A30" s="1327"/>
      <c r="B30" s="1326"/>
      <c r="C30" s="1592"/>
      <c r="D30" s="1324"/>
      <c r="E30" s="1314"/>
      <c r="F30" s="1591"/>
      <c r="G30" s="1590"/>
    </row>
    <row r="31" spans="1:7" ht="13.5" customHeight="1">
      <c r="A31" s="1327"/>
      <c r="B31" s="1326"/>
      <c r="C31" s="1592"/>
      <c r="D31" s="1324"/>
      <c r="E31" s="1314"/>
      <c r="F31" s="1591"/>
      <c r="G31" s="1590"/>
    </row>
    <row r="32" spans="1:7" ht="13.5" customHeight="1">
      <c r="A32" s="1327"/>
      <c r="B32" s="1326"/>
      <c r="C32" s="1592"/>
      <c r="D32" s="1324"/>
      <c r="E32" s="1314"/>
      <c r="F32" s="1591"/>
      <c r="G32" s="1590"/>
    </row>
    <row r="33" spans="1:7" ht="13.5" customHeight="1">
      <c r="A33" s="1327"/>
      <c r="B33" s="1326"/>
      <c r="C33" s="1592"/>
      <c r="D33" s="1324"/>
      <c r="E33" s="1314"/>
      <c r="F33" s="1591"/>
      <c r="G33" s="1590"/>
    </row>
    <row r="34" spans="1:7" ht="13.5" customHeight="1">
      <c r="A34" s="1327"/>
      <c r="B34" s="1326"/>
      <c r="C34" s="1592"/>
      <c r="D34" s="1324"/>
      <c r="E34" s="1314"/>
      <c r="F34" s="1591"/>
      <c r="G34" s="1590"/>
    </row>
    <row r="35" spans="1:7" ht="13.5" customHeight="1">
      <c r="A35" s="1327"/>
      <c r="B35" s="1326"/>
      <c r="C35" s="1592"/>
      <c r="D35" s="1324"/>
      <c r="E35" s="1314"/>
      <c r="F35" s="1591"/>
      <c r="G35" s="1590"/>
    </row>
    <row r="36" spans="1:7" ht="13.5" customHeight="1">
      <c r="A36" s="1327"/>
      <c r="B36" s="1326"/>
      <c r="C36" s="1592"/>
      <c r="D36" s="1324"/>
      <c r="E36" s="1314"/>
      <c r="F36" s="1591"/>
      <c r="G36" s="1590"/>
    </row>
    <row r="37" spans="1:7" ht="13.5" customHeight="1" thickBot="1">
      <c r="A37" s="1430"/>
      <c r="B37" s="1431"/>
      <c r="C37" s="1614"/>
      <c r="D37" s="1433"/>
      <c r="E37" s="1437"/>
      <c r="F37" s="1615"/>
      <c r="G37" s="1616"/>
    </row>
    <row r="38" spans="1:7" ht="18.95" customHeight="1" thickTop="1" thickBot="1">
      <c r="A38" s="1671" t="s">
        <v>956</v>
      </c>
      <c r="B38" s="1664"/>
      <c r="C38" s="1665"/>
      <c r="D38" s="1672">
        <v>212</v>
      </c>
      <c r="E38" s="1702">
        <v>0</v>
      </c>
      <c r="F38" s="1674">
        <v>0</v>
      </c>
      <c r="G38" s="1703"/>
    </row>
    <row r="39" spans="1:7" ht="13.5" customHeight="1" thickTop="1">
      <c r="A39" s="1671" t="s">
        <v>941</v>
      </c>
      <c r="B39" s="1664"/>
      <c r="C39" s="1665"/>
      <c r="D39" s="1672">
        <v>212</v>
      </c>
      <c r="E39" s="1702">
        <v>0</v>
      </c>
      <c r="F39" s="1674">
        <v>0</v>
      </c>
      <c r="G39" s="1676"/>
    </row>
    <row r="40" spans="1:7" ht="13.5" customHeight="1">
      <c r="A40" s="1677" t="s">
        <v>942</v>
      </c>
      <c r="B40" s="1613"/>
      <c r="C40" s="1678"/>
      <c r="D40" s="1679">
        <v>212</v>
      </c>
      <c r="E40" s="1704">
        <v>0</v>
      </c>
      <c r="F40" s="1681">
        <v>0</v>
      </c>
      <c r="G40" s="1682"/>
    </row>
    <row r="46" spans="1:7" s="1297" customFormat="1" ht="13.5" customHeight="1">
      <c r="C46" s="1304"/>
      <c r="D46" s="1304"/>
      <c r="E46" s="1304"/>
      <c r="F46" s="1301"/>
    </row>
    <row r="47" spans="1:7" s="1297" customFormat="1" ht="13.5" customHeight="1">
      <c r="C47" s="1304"/>
      <c r="D47" s="1304"/>
      <c r="E47" s="1304"/>
      <c r="F47" s="1301"/>
    </row>
    <row r="48" spans="1:7" s="1297" customFormat="1" ht="13.5" customHeight="1">
      <c r="C48" s="1304"/>
      <c r="D48" s="1304"/>
      <c r="E48" s="1304"/>
      <c r="F48" s="1301"/>
    </row>
    <row r="49" spans="3:5" s="1297" customFormat="1" ht="13.5" customHeight="1">
      <c r="C49" s="1302"/>
      <c r="D49" s="1302"/>
      <c r="E49" s="1302"/>
    </row>
  </sheetData>
  <mergeCells count="11">
    <mergeCell ref="A6:C6"/>
    <mergeCell ref="A9:C9"/>
    <mergeCell ref="A38:C38"/>
    <mergeCell ref="A39:C39"/>
    <mergeCell ref="A40:C40"/>
    <mergeCell ref="A4:A5"/>
    <mergeCell ref="B4:B5"/>
    <mergeCell ref="C4:C5"/>
    <mergeCell ref="D4:D5"/>
    <mergeCell ref="E4:F4"/>
    <mergeCell ref="G4:G5"/>
  </mergeCells>
  <phoneticPr fontId="4"/>
  <printOptions horizontalCentered="1"/>
  <pageMargins left="0.39370078740157483" right="0.39370078740157483" top="0.78740157480314965" bottom="0.55118110236220474" header="0.59055118110236227" footer="0.31496062992125984"/>
  <pageSetup paperSize="9" scale="87" orientation="landscape" horizontalDpi="1200" verticalDpi="1200" r:id="rId1"/>
  <headerFooter scaleWithDoc="0" alignWithMargins="0">
    <oddFooter>&amp;C&amp;"ＭＳ Ｐゴシック,標準"&amp;9( &amp;P / &amp;N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39"/>
  <sheetViews>
    <sheetView showGridLines="0" zoomScale="80" zoomScaleNormal="80" workbookViewId="0"/>
  </sheetViews>
  <sheetFormatPr defaultColWidth="9.140625" defaultRowHeight="20.100000000000001" customHeight="1"/>
  <cols>
    <col min="1" max="1" width="9.140625" style="15"/>
    <col min="2" max="13" width="8.28515625" style="15" customWidth="1"/>
    <col min="14" max="15" width="9.140625" style="15"/>
    <col min="16" max="27" width="8.28515625" style="15" customWidth="1"/>
    <col min="28" max="29" width="9.140625" style="15" customWidth="1"/>
    <col min="30" max="16384" width="9.140625" style="15"/>
  </cols>
  <sheetData>
    <row r="1" spans="1:27" s="14" customFormat="1" ht="30" customHeight="1">
      <c r="A1" s="10" t="s">
        <v>3</v>
      </c>
      <c r="B1" s="11"/>
      <c r="C1" s="11"/>
      <c r="D1" s="11"/>
      <c r="E1" s="11"/>
      <c r="F1" s="11"/>
      <c r="G1" s="11"/>
      <c r="H1" s="11"/>
      <c r="I1" s="11"/>
      <c r="J1" s="11"/>
      <c r="K1" s="11"/>
      <c r="L1" s="11"/>
      <c r="M1" s="11"/>
      <c r="N1" s="12"/>
      <c r="O1" s="12"/>
      <c r="P1" s="11"/>
      <c r="Q1" s="11"/>
      <c r="R1" s="11"/>
      <c r="S1" s="11"/>
      <c r="T1" s="11"/>
      <c r="U1" s="11"/>
      <c r="V1" s="11"/>
      <c r="W1" s="11"/>
      <c r="X1" s="11"/>
      <c r="Y1" s="11"/>
      <c r="Z1" s="11"/>
      <c r="AA1" s="13"/>
    </row>
    <row r="2" spans="1:27" ht="21" customHeight="1">
      <c r="B2" s="16"/>
      <c r="C2" s="16"/>
      <c r="D2" s="16"/>
      <c r="E2" s="16"/>
      <c r="F2" s="16"/>
      <c r="G2" s="16"/>
      <c r="H2" s="16"/>
      <c r="I2" s="16"/>
      <c r="J2" s="16"/>
      <c r="K2" s="16"/>
      <c r="L2" s="16"/>
      <c r="M2" s="16"/>
      <c r="P2" s="16"/>
      <c r="Q2" s="16"/>
      <c r="R2" s="16"/>
      <c r="S2" s="16"/>
      <c r="T2" s="16"/>
      <c r="U2" s="16"/>
      <c r="V2" s="16"/>
      <c r="W2" s="16"/>
      <c r="X2" s="16"/>
      <c r="Y2" s="16"/>
      <c r="Z2" s="16"/>
      <c r="AA2" s="16"/>
    </row>
    <row r="3" spans="1:27" ht="20.100000000000001" customHeight="1">
      <c r="B3" s="17"/>
      <c r="C3" s="17"/>
      <c r="D3" s="17"/>
      <c r="E3" s="17"/>
      <c r="F3" s="17"/>
      <c r="G3" s="17"/>
      <c r="H3" s="17"/>
      <c r="I3" s="17"/>
      <c r="J3" s="17"/>
      <c r="K3" s="17"/>
      <c r="L3" s="17"/>
      <c r="M3" s="17"/>
      <c r="P3" s="17"/>
      <c r="Q3" s="17"/>
      <c r="R3" s="17"/>
      <c r="S3" s="17"/>
      <c r="T3" s="17"/>
      <c r="U3" s="17"/>
      <c r="V3" s="17"/>
      <c r="W3" s="17"/>
      <c r="X3" s="17"/>
      <c r="Y3" s="17"/>
      <c r="Z3" s="17"/>
      <c r="AA3" s="17"/>
    </row>
    <row r="4" spans="1:27" ht="20.100000000000001" customHeight="1">
      <c r="B4" s="17"/>
      <c r="C4" s="17"/>
      <c r="D4" s="17"/>
      <c r="E4" s="17"/>
      <c r="F4" s="17"/>
      <c r="G4" s="17"/>
      <c r="H4" s="17"/>
      <c r="I4" s="17"/>
      <c r="J4" s="17"/>
      <c r="K4" s="17"/>
      <c r="L4" s="17"/>
      <c r="M4" s="17"/>
      <c r="P4" s="17"/>
      <c r="Q4" s="17"/>
      <c r="R4" s="17"/>
      <c r="S4" s="17"/>
      <c r="T4" s="17"/>
      <c r="U4" s="17"/>
      <c r="V4" s="17"/>
      <c r="W4" s="17"/>
      <c r="X4" s="17"/>
      <c r="Y4" s="17"/>
      <c r="Z4" s="17"/>
      <c r="AA4" s="17"/>
    </row>
    <row r="5" spans="1:27" ht="20.100000000000001" customHeight="1">
      <c r="B5" s="17"/>
      <c r="C5" s="17"/>
      <c r="D5" s="17"/>
      <c r="E5" s="17"/>
      <c r="F5" s="17"/>
      <c r="G5" s="17"/>
      <c r="H5" s="17"/>
      <c r="I5" s="17"/>
      <c r="J5" s="17"/>
      <c r="K5" s="17"/>
      <c r="L5" s="17"/>
      <c r="M5" s="17"/>
      <c r="P5" s="17"/>
      <c r="Q5" s="17"/>
      <c r="R5" s="17"/>
      <c r="S5" s="17"/>
      <c r="T5" s="17"/>
      <c r="U5" s="17"/>
      <c r="V5" s="17"/>
      <c r="W5" s="17"/>
      <c r="X5" s="17"/>
      <c r="Y5" s="17"/>
      <c r="Z5" s="17"/>
      <c r="AA5" s="17"/>
    </row>
    <row r="6" spans="1:27" ht="20.100000000000001" customHeight="1">
      <c r="B6" s="17"/>
      <c r="C6" s="17"/>
      <c r="D6" s="17"/>
      <c r="E6" s="17"/>
      <c r="F6" s="17"/>
      <c r="G6" s="17"/>
      <c r="H6" s="17"/>
      <c r="I6" s="17"/>
      <c r="J6" s="17"/>
      <c r="K6" s="17"/>
      <c r="L6" s="17"/>
      <c r="M6" s="17"/>
      <c r="P6" s="17"/>
      <c r="Q6" s="17"/>
      <c r="R6" s="17"/>
      <c r="S6" s="17"/>
      <c r="T6" s="17"/>
      <c r="U6" s="17"/>
      <c r="V6" s="17"/>
      <c r="W6" s="17"/>
      <c r="X6" s="17"/>
      <c r="Y6" s="17"/>
      <c r="Z6" s="17"/>
      <c r="AA6" s="17"/>
    </row>
    <row r="7" spans="1:27" ht="20.100000000000001" customHeight="1">
      <c r="B7" s="17"/>
      <c r="C7" s="17"/>
      <c r="D7" s="17"/>
      <c r="E7" s="17"/>
      <c r="F7" s="17"/>
      <c r="G7" s="17"/>
      <c r="H7" s="17"/>
      <c r="I7" s="17"/>
      <c r="J7" s="17"/>
      <c r="K7" s="17"/>
      <c r="L7" s="17"/>
      <c r="M7" s="17"/>
      <c r="P7" s="17"/>
      <c r="Q7" s="17"/>
      <c r="R7" s="17"/>
      <c r="S7" s="17"/>
      <c r="T7" s="17"/>
      <c r="U7" s="17"/>
      <c r="V7" s="17"/>
      <c r="W7" s="17"/>
      <c r="X7" s="17"/>
      <c r="Y7" s="17"/>
      <c r="Z7" s="17"/>
      <c r="AA7" s="17"/>
    </row>
    <row r="8" spans="1:27" ht="20.100000000000001" customHeight="1">
      <c r="B8" s="17"/>
      <c r="C8" s="17"/>
      <c r="D8" s="17"/>
      <c r="E8" s="17"/>
      <c r="F8" s="17"/>
      <c r="G8" s="17"/>
      <c r="H8" s="17"/>
      <c r="I8" s="17"/>
      <c r="J8" s="17"/>
      <c r="K8" s="17"/>
      <c r="L8" s="17"/>
      <c r="M8" s="17"/>
      <c r="P8" s="17"/>
      <c r="Q8" s="17"/>
      <c r="R8" s="17"/>
      <c r="S8" s="17"/>
      <c r="T8" s="17"/>
      <c r="U8" s="17"/>
      <c r="V8" s="17"/>
      <c r="W8" s="17"/>
      <c r="X8" s="17"/>
      <c r="Y8" s="17"/>
      <c r="Z8" s="17"/>
      <c r="AA8" s="17"/>
    </row>
    <row r="9" spans="1:27" ht="20.100000000000001" customHeight="1">
      <c r="B9" s="17"/>
      <c r="C9" s="17"/>
      <c r="D9" s="17"/>
      <c r="E9" s="17"/>
      <c r="F9" s="17"/>
      <c r="G9" s="17"/>
      <c r="H9" s="17"/>
      <c r="I9" s="17"/>
      <c r="J9" s="17"/>
      <c r="K9" s="17"/>
      <c r="L9" s="17"/>
      <c r="M9" s="17"/>
      <c r="P9" s="17"/>
      <c r="Q9" s="17"/>
      <c r="R9" s="17"/>
      <c r="S9" s="17"/>
      <c r="T9" s="17"/>
      <c r="U9" s="17"/>
      <c r="V9" s="17"/>
      <c r="W9" s="17"/>
      <c r="X9" s="17"/>
      <c r="Y9" s="17"/>
      <c r="Z9" s="17"/>
      <c r="AA9" s="17"/>
    </row>
    <row r="10" spans="1:27" ht="20.100000000000001" customHeight="1">
      <c r="B10" s="17"/>
      <c r="C10" s="17"/>
      <c r="D10" s="17"/>
      <c r="E10" s="17"/>
      <c r="F10" s="17"/>
      <c r="G10" s="17"/>
      <c r="H10" s="17"/>
      <c r="I10" s="17"/>
      <c r="J10" s="17"/>
      <c r="K10" s="17"/>
      <c r="L10" s="17"/>
      <c r="M10" s="17"/>
      <c r="P10" s="17"/>
      <c r="Q10" s="17"/>
      <c r="R10" s="17"/>
      <c r="S10" s="17"/>
      <c r="T10" s="17"/>
      <c r="U10" s="17"/>
      <c r="V10" s="17"/>
      <c r="W10" s="17"/>
      <c r="X10" s="17"/>
      <c r="Y10" s="17"/>
      <c r="Z10" s="17"/>
      <c r="AA10" s="17"/>
    </row>
    <row r="11" spans="1:27" ht="20.100000000000001" customHeight="1">
      <c r="B11" s="17"/>
      <c r="C11" s="17"/>
      <c r="D11" s="17"/>
      <c r="E11" s="17"/>
      <c r="F11" s="17"/>
      <c r="G11" s="17"/>
      <c r="H11" s="17"/>
      <c r="I11" s="17"/>
      <c r="J11" s="17"/>
      <c r="K11" s="17"/>
      <c r="L11" s="17"/>
      <c r="M11" s="17"/>
      <c r="P11" s="17"/>
      <c r="Q11" s="17"/>
      <c r="R11" s="17"/>
      <c r="S11" s="17"/>
      <c r="T11" s="17"/>
      <c r="U11" s="17"/>
      <c r="V11" s="17"/>
      <c r="W11" s="17"/>
      <c r="X11" s="17"/>
      <c r="Y11" s="17"/>
      <c r="Z11" s="17"/>
      <c r="AA11" s="17"/>
    </row>
    <row r="12" spans="1:27" ht="20.100000000000001" customHeight="1">
      <c r="B12" s="17"/>
      <c r="C12" s="17"/>
      <c r="D12" s="17"/>
      <c r="E12" s="17"/>
      <c r="F12" s="17"/>
      <c r="G12" s="17"/>
      <c r="H12" s="17"/>
      <c r="I12" s="17"/>
      <c r="J12" s="17"/>
      <c r="K12" s="17"/>
      <c r="L12" s="17"/>
      <c r="M12" s="17"/>
      <c r="P12" s="17"/>
      <c r="Q12" s="17"/>
      <c r="R12" s="17"/>
      <c r="S12" s="17"/>
      <c r="T12" s="17"/>
      <c r="U12" s="17"/>
      <c r="V12" s="17"/>
      <c r="W12" s="17"/>
      <c r="X12" s="17"/>
      <c r="Y12" s="17"/>
      <c r="Z12" s="17"/>
      <c r="AA12" s="17"/>
    </row>
    <row r="13" spans="1:27" ht="20.100000000000001" customHeight="1">
      <c r="B13" s="17"/>
      <c r="C13" s="17"/>
      <c r="D13" s="17"/>
      <c r="E13" s="17"/>
      <c r="F13" s="17"/>
      <c r="G13" s="17"/>
      <c r="H13" s="17"/>
      <c r="I13" s="17"/>
      <c r="J13" s="17"/>
      <c r="K13" s="17"/>
      <c r="L13" s="17"/>
      <c r="M13" s="17"/>
      <c r="P13" s="17"/>
      <c r="Q13" s="17"/>
      <c r="R13" s="17"/>
      <c r="S13" s="17"/>
      <c r="T13" s="17"/>
      <c r="U13" s="17"/>
      <c r="V13" s="17"/>
      <c r="W13" s="17"/>
      <c r="X13" s="17"/>
      <c r="Y13" s="17"/>
      <c r="Z13" s="17"/>
      <c r="AA13" s="17"/>
    </row>
    <row r="14" spans="1:27" ht="20.100000000000001" customHeight="1">
      <c r="B14" s="17"/>
      <c r="C14" s="17"/>
      <c r="D14" s="17"/>
      <c r="E14" s="17"/>
      <c r="F14" s="17"/>
      <c r="G14" s="17"/>
      <c r="H14" s="17"/>
      <c r="I14" s="17"/>
      <c r="J14" s="17"/>
      <c r="K14" s="17"/>
      <c r="L14" s="17"/>
      <c r="M14" s="17"/>
      <c r="P14" s="17"/>
      <c r="Q14" s="17"/>
      <c r="R14" s="17"/>
      <c r="S14" s="17"/>
      <c r="T14" s="17"/>
      <c r="U14" s="17"/>
      <c r="V14" s="17"/>
      <c r="W14" s="17"/>
      <c r="X14" s="17"/>
      <c r="Y14" s="17"/>
      <c r="Z14" s="17"/>
      <c r="AA14" s="17"/>
    </row>
    <row r="15" spans="1:27" ht="20.100000000000001" customHeight="1">
      <c r="B15" s="17"/>
      <c r="C15" s="17"/>
      <c r="D15" s="17"/>
      <c r="E15" s="17"/>
      <c r="F15" s="17"/>
      <c r="G15" s="17"/>
      <c r="H15" s="17"/>
      <c r="I15" s="17"/>
      <c r="J15" s="17"/>
      <c r="K15" s="17"/>
      <c r="L15" s="17"/>
      <c r="M15" s="17"/>
      <c r="P15" s="17"/>
      <c r="Q15" s="17"/>
      <c r="R15" s="17"/>
      <c r="S15" s="17"/>
      <c r="T15" s="17"/>
      <c r="U15" s="17"/>
      <c r="V15" s="17"/>
      <c r="W15" s="17"/>
      <c r="X15" s="17"/>
      <c r="Y15" s="17"/>
      <c r="Z15" s="17"/>
      <c r="AA15" s="17"/>
    </row>
    <row r="16" spans="1:27" ht="20.100000000000001" customHeight="1">
      <c r="B16" s="17"/>
      <c r="C16" s="17"/>
      <c r="D16" s="17"/>
      <c r="E16" s="17"/>
      <c r="F16" s="17"/>
      <c r="G16" s="17"/>
      <c r="H16" s="17"/>
      <c r="I16" s="17"/>
      <c r="J16" s="17"/>
      <c r="K16" s="17"/>
      <c r="L16" s="17"/>
      <c r="M16" s="17"/>
      <c r="P16" s="17"/>
      <c r="Q16" s="17"/>
      <c r="R16" s="17"/>
      <c r="S16" s="17"/>
      <c r="T16" s="17"/>
      <c r="U16" s="17"/>
      <c r="V16" s="17"/>
      <c r="W16" s="17"/>
      <c r="X16" s="17"/>
      <c r="Y16" s="17"/>
      <c r="Z16" s="17"/>
      <c r="AA16" s="17"/>
    </row>
    <row r="17" spans="2:27" ht="20.100000000000001" customHeight="1">
      <c r="B17" s="17"/>
      <c r="C17" s="17"/>
      <c r="D17" s="17"/>
      <c r="E17" s="17"/>
      <c r="F17" s="17"/>
      <c r="G17" s="17"/>
      <c r="H17" s="17"/>
      <c r="I17" s="17"/>
      <c r="J17" s="17"/>
      <c r="K17" s="17"/>
      <c r="L17" s="17"/>
      <c r="M17" s="17"/>
      <c r="P17" s="17"/>
      <c r="Q17" s="17"/>
      <c r="R17" s="17"/>
      <c r="S17" s="17"/>
      <c r="T17" s="17"/>
      <c r="U17" s="17"/>
      <c r="V17" s="17"/>
      <c r="W17" s="17"/>
      <c r="X17" s="17"/>
      <c r="Y17" s="17"/>
      <c r="Z17" s="17"/>
      <c r="AA17" s="17"/>
    </row>
    <row r="18" spans="2:27" ht="20.100000000000001" customHeight="1">
      <c r="B18" s="17"/>
      <c r="C18" s="17"/>
      <c r="D18" s="17"/>
      <c r="E18" s="17"/>
      <c r="F18" s="17"/>
      <c r="G18" s="17"/>
      <c r="H18" s="17"/>
      <c r="I18" s="17"/>
      <c r="J18" s="17"/>
      <c r="K18" s="17"/>
      <c r="L18" s="17"/>
      <c r="M18" s="17"/>
      <c r="P18" s="17"/>
      <c r="Q18" s="17"/>
      <c r="R18" s="17"/>
      <c r="S18" s="17"/>
      <c r="T18" s="17"/>
      <c r="U18" s="17"/>
      <c r="V18" s="17"/>
      <c r="W18" s="17"/>
      <c r="X18" s="17"/>
      <c r="Y18" s="17"/>
      <c r="Z18" s="17"/>
      <c r="AA18" s="17"/>
    </row>
    <row r="19" spans="2:27" ht="20.100000000000001" customHeight="1">
      <c r="B19" s="17"/>
      <c r="C19" s="17"/>
      <c r="D19" s="17"/>
      <c r="E19" s="17"/>
      <c r="F19" s="17"/>
      <c r="G19" s="17"/>
      <c r="H19" s="17"/>
      <c r="I19" s="17"/>
      <c r="J19" s="17"/>
      <c r="K19" s="17"/>
      <c r="L19" s="17"/>
      <c r="M19" s="17"/>
      <c r="P19" s="17"/>
      <c r="Q19" s="17"/>
      <c r="R19" s="17"/>
      <c r="S19" s="17"/>
      <c r="T19" s="17"/>
      <c r="U19" s="17"/>
      <c r="V19" s="17"/>
      <c r="W19" s="17"/>
      <c r="X19" s="17"/>
      <c r="Y19" s="17"/>
      <c r="Z19" s="17"/>
      <c r="AA19" s="17"/>
    </row>
    <row r="20" spans="2:27" ht="20.100000000000001" customHeight="1">
      <c r="B20" s="17"/>
      <c r="C20" s="17"/>
      <c r="D20" s="17"/>
      <c r="E20" s="17"/>
      <c r="F20" s="17"/>
      <c r="G20" s="17"/>
      <c r="H20" s="17"/>
      <c r="I20" s="17"/>
      <c r="J20" s="17"/>
      <c r="K20" s="17"/>
      <c r="L20" s="17"/>
      <c r="M20" s="17"/>
      <c r="P20" s="17"/>
      <c r="Q20" s="17"/>
      <c r="R20" s="17"/>
      <c r="S20" s="17"/>
      <c r="T20" s="17"/>
      <c r="U20" s="17"/>
      <c r="V20" s="17"/>
      <c r="W20" s="17"/>
      <c r="X20" s="17"/>
      <c r="Y20" s="17"/>
      <c r="Z20" s="17"/>
      <c r="AA20" s="17"/>
    </row>
    <row r="21" spans="2:27" ht="20.100000000000001" customHeight="1">
      <c r="B21" s="17"/>
      <c r="C21" s="17"/>
      <c r="D21" s="17"/>
      <c r="E21" s="17"/>
      <c r="F21" s="17"/>
      <c r="G21" s="17"/>
      <c r="H21" s="17"/>
      <c r="I21" s="17"/>
      <c r="J21" s="17"/>
      <c r="K21" s="17"/>
      <c r="L21" s="17"/>
      <c r="M21" s="17"/>
      <c r="P21" s="17"/>
      <c r="Q21" s="17"/>
      <c r="R21" s="17"/>
      <c r="S21" s="17"/>
      <c r="T21" s="17"/>
      <c r="U21" s="17"/>
      <c r="V21" s="17"/>
      <c r="W21" s="17"/>
      <c r="X21" s="17"/>
      <c r="Y21" s="17"/>
      <c r="Z21" s="17"/>
      <c r="AA21" s="17"/>
    </row>
    <row r="22" spans="2:27" ht="20.100000000000001" customHeight="1">
      <c r="B22" s="17"/>
      <c r="C22" s="17"/>
      <c r="D22" s="17"/>
      <c r="E22" s="17"/>
      <c r="F22" s="17"/>
      <c r="G22" s="17"/>
      <c r="H22" s="17"/>
      <c r="I22" s="17"/>
      <c r="J22" s="17"/>
      <c r="K22" s="17"/>
      <c r="L22" s="17"/>
      <c r="M22" s="17"/>
      <c r="P22" s="17"/>
      <c r="Q22" s="17"/>
      <c r="R22" s="17"/>
      <c r="S22" s="17"/>
      <c r="T22" s="17"/>
      <c r="U22" s="17"/>
      <c r="V22" s="17"/>
      <c r="W22" s="17"/>
      <c r="X22" s="17"/>
      <c r="Y22" s="17"/>
      <c r="Z22" s="17"/>
      <c r="AA22" s="17"/>
    </row>
    <row r="23" spans="2:27" ht="20.100000000000001" customHeight="1">
      <c r="B23" s="17"/>
      <c r="C23" s="17"/>
      <c r="D23" s="17"/>
      <c r="E23" s="17"/>
      <c r="F23" s="17"/>
      <c r="G23" s="17"/>
      <c r="H23" s="17"/>
      <c r="I23" s="17"/>
      <c r="J23" s="17"/>
      <c r="K23" s="17"/>
      <c r="L23" s="17"/>
      <c r="M23" s="17"/>
      <c r="P23" s="17"/>
      <c r="Q23" s="17"/>
      <c r="R23" s="17"/>
      <c r="S23" s="17"/>
      <c r="T23" s="17"/>
      <c r="U23" s="17"/>
      <c r="V23" s="17"/>
      <c r="W23" s="17"/>
      <c r="X23" s="17"/>
      <c r="Y23" s="17"/>
      <c r="Z23" s="17"/>
      <c r="AA23" s="17"/>
    </row>
    <row r="24" spans="2:27" ht="20.100000000000001" customHeight="1">
      <c r="B24" s="17"/>
      <c r="C24" s="17"/>
      <c r="D24" s="17"/>
      <c r="E24" s="17"/>
      <c r="F24" s="17"/>
      <c r="G24" s="17"/>
      <c r="H24" s="17"/>
      <c r="I24" s="17"/>
      <c r="J24" s="17"/>
      <c r="K24" s="17"/>
      <c r="L24" s="17"/>
      <c r="M24" s="17"/>
      <c r="P24" s="17"/>
      <c r="Q24" s="17"/>
      <c r="R24" s="17"/>
      <c r="S24" s="17"/>
      <c r="T24" s="17"/>
      <c r="U24" s="17"/>
      <c r="V24" s="17"/>
      <c r="W24" s="17"/>
      <c r="X24" s="17"/>
      <c r="Y24" s="17"/>
      <c r="Z24" s="17"/>
      <c r="AA24" s="17"/>
    </row>
    <row r="25" spans="2:27" ht="20.100000000000001" customHeight="1">
      <c r="B25" s="17"/>
      <c r="C25" s="17"/>
      <c r="D25" s="17"/>
      <c r="E25" s="17"/>
      <c r="F25" s="17"/>
      <c r="G25" s="17"/>
      <c r="H25" s="17"/>
      <c r="I25" s="17"/>
      <c r="J25" s="17"/>
      <c r="K25" s="17"/>
      <c r="L25" s="17"/>
      <c r="M25" s="17"/>
      <c r="P25" s="17"/>
      <c r="Q25" s="17"/>
      <c r="R25" s="17"/>
      <c r="S25" s="17"/>
      <c r="T25" s="17"/>
      <c r="U25" s="17"/>
      <c r="V25" s="17"/>
      <c r="W25" s="17"/>
      <c r="X25" s="17"/>
      <c r="Y25" s="17"/>
      <c r="Z25" s="17"/>
      <c r="AA25" s="17"/>
    </row>
    <row r="26" spans="2:27" ht="20.100000000000001" customHeight="1">
      <c r="B26" s="17"/>
      <c r="C26" s="17"/>
      <c r="D26" s="17"/>
      <c r="E26" s="17"/>
      <c r="F26" s="17"/>
      <c r="G26" s="17"/>
      <c r="H26" s="17"/>
      <c r="I26" s="17"/>
      <c r="J26" s="17"/>
      <c r="K26" s="17"/>
      <c r="L26" s="17"/>
      <c r="M26" s="17"/>
      <c r="P26" s="17"/>
      <c r="Q26" s="17"/>
      <c r="R26" s="17"/>
      <c r="S26" s="17"/>
      <c r="T26" s="17"/>
      <c r="U26" s="17"/>
      <c r="V26" s="17"/>
      <c r="W26" s="17"/>
      <c r="X26" s="17"/>
      <c r="Y26" s="17"/>
      <c r="Z26" s="17"/>
      <c r="AA26" s="17"/>
    </row>
    <row r="27" spans="2:27" ht="20.100000000000001" customHeight="1">
      <c r="B27" s="17"/>
      <c r="C27" s="17"/>
      <c r="D27" s="17"/>
      <c r="E27" s="17"/>
      <c r="F27" s="17"/>
      <c r="G27" s="17"/>
      <c r="H27" s="17"/>
      <c r="I27" s="17"/>
      <c r="J27" s="17"/>
      <c r="K27" s="17"/>
      <c r="L27" s="17"/>
      <c r="M27" s="17"/>
      <c r="P27" s="17"/>
      <c r="Q27" s="17"/>
      <c r="R27" s="17"/>
      <c r="S27" s="17"/>
      <c r="T27" s="17"/>
      <c r="U27" s="17"/>
      <c r="V27" s="17"/>
      <c r="W27" s="17"/>
      <c r="X27" s="17"/>
      <c r="Y27" s="17"/>
      <c r="Z27" s="17"/>
      <c r="AA27" s="17"/>
    </row>
    <row r="28" spans="2:27" ht="20.100000000000001" customHeight="1">
      <c r="B28" s="17"/>
      <c r="C28" s="17"/>
      <c r="D28" s="17"/>
      <c r="E28" s="17"/>
      <c r="F28" s="17"/>
      <c r="G28" s="17"/>
      <c r="H28" s="17"/>
      <c r="I28" s="17"/>
      <c r="J28" s="17"/>
      <c r="K28" s="17"/>
      <c r="L28" s="17"/>
      <c r="M28" s="17"/>
      <c r="P28" s="17"/>
      <c r="Q28" s="17"/>
      <c r="R28" s="17"/>
      <c r="S28" s="17"/>
      <c r="T28" s="17"/>
      <c r="U28" s="17"/>
      <c r="V28" s="17"/>
      <c r="W28" s="17"/>
      <c r="X28" s="17"/>
      <c r="Y28" s="17"/>
      <c r="Z28" s="17"/>
      <c r="AA28" s="17"/>
    </row>
    <row r="29" spans="2:27" ht="20.100000000000001" customHeight="1">
      <c r="B29" s="17"/>
      <c r="C29" s="17"/>
      <c r="D29" s="17"/>
      <c r="E29" s="17"/>
      <c r="F29" s="17"/>
      <c r="G29" s="17"/>
      <c r="H29" s="17"/>
      <c r="I29" s="17"/>
      <c r="J29" s="17"/>
      <c r="K29" s="17"/>
      <c r="L29" s="17"/>
      <c r="M29" s="17"/>
      <c r="P29" s="17"/>
      <c r="Q29" s="17"/>
      <c r="R29" s="17"/>
      <c r="S29" s="17"/>
      <c r="T29" s="17"/>
      <c r="U29" s="17"/>
      <c r="V29" s="17"/>
      <c r="W29" s="17"/>
      <c r="X29" s="17"/>
      <c r="Y29" s="17"/>
      <c r="Z29" s="17"/>
      <c r="AA29" s="17"/>
    </row>
    <row r="30" spans="2:27" ht="15.95" customHeight="1"/>
    <row r="31" spans="2:27" ht="15.95" customHeight="1">
      <c r="B31" s="18" t="s">
        <v>4</v>
      </c>
      <c r="C31" s="19"/>
      <c r="D31" s="19"/>
      <c r="E31" s="19"/>
      <c r="F31" s="19"/>
      <c r="I31" s="18" t="s">
        <v>5</v>
      </c>
      <c r="J31" s="19"/>
      <c r="K31" s="19"/>
      <c r="L31" s="19"/>
      <c r="M31" s="19"/>
      <c r="N31" s="17"/>
    </row>
    <row r="32" spans="2:27" ht="15.95" customHeight="1">
      <c r="B32" s="20" t="s">
        <v>6</v>
      </c>
      <c r="C32" s="21"/>
      <c r="D32" s="22" t="s">
        <v>7</v>
      </c>
      <c r="E32" s="22" t="s">
        <v>8</v>
      </c>
      <c r="F32" s="21" t="s">
        <v>9</v>
      </c>
      <c r="G32" s="23"/>
      <c r="I32" s="24" t="s">
        <v>10</v>
      </c>
      <c r="J32" s="25"/>
      <c r="K32" s="26" t="s">
        <v>11</v>
      </c>
      <c r="L32" s="26" t="s">
        <v>12</v>
      </c>
      <c r="M32" s="26" t="s">
        <v>13</v>
      </c>
      <c r="N32" s="27" t="s">
        <v>14</v>
      </c>
    </row>
    <row r="33" spans="2:27" ht="15.95" customHeight="1">
      <c r="B33" s="28" t="s">
        <v>23</v>
      </c>
      <c r="C33" s="29"/>
      <c r="D33" s="30">
        <v>37.130000000000003</v>
      </c>
      <c r="E33" s="30">
        <v>140.22</v>
      </c>
      <c r="F33" s="31">
        <v>135</v>
      </c>
      <c r="G33" s="32"/>
      <c r="I33" s="33" t="s">
        <v>15</v>
      </c>
      <c r="J33" s="34"/>
      <c r="K33" s="35">
        <v>195</v>
      </c>
      <c r="L33" s="35">
        <v>-75</v>
      </c>
      <c r="M33" s="35">
        <v>15</v>
      </c>
      <c r="N33" s="36">
        <v>105</v>
      </c>
    </row>
    <row r="34" spans="2:27" ht="15.95" customHeight="1" thickBot="1"/>
    <row r="35" spans="2:27" ht="15.95" customHeight="1">
      <c r="B35" s="15" t="s">
        <v>16</v>
      </c>
      <c r="L35" s="37" t="s">
        <v>17</v>
      </c>
      <c r="M35" s="38" t="s">
        <v>18</v>
      </c>
      <c r="P35" s="15" t="s">
        <v>16</v>
      </c>
      <c r="AA35" s="39" t="s">
        <v>19</v>
      </c>
    </row>
    <row r="36" spans="2:27" ht="15.95" customHeight="1">
      <c r="B36" s="40"/>
      <c r="C36" s="41"/>
      <c r="D36" s="42">
        <v>9</v>
      </c>
      <c r="E36" s="42">
        <v>10</v>
      </c>
      <c r="F36" s="42">
        <v>11</v>
      </c>
      <c r="G36" s="42">
        <v>12</v>
      </c>
      <c r="H36" s="42">
        <v>13</v>
      </c>
      <c r="I36" s="42">
        <v>14</v>
      </c>
      <c r="J36" s="42">
        <v>15</v>
      </c>
      <c r="K36" s="42">
        <v>16</v>
      </c>
      <c r="L36" s="42">
        <v>17</v>
      </c>
      <c r="M36" s="43">
        <v>18</v>
      </c>
      <c r="P36" s="40"/>
      <c r="Q36" s="41"/>
      <c r="R36" s="42">
        <v>9</v>
      </c>
      <c r="S36" s="42">
        <v>10</v>
      </c>
      <c r="T36" s="42">
        <v>11</v>
      </c>
      <c r="U36" s="42">
        <v>12</v>
      </c>
      <c r="V36" s="42">
        <v>13</v>
      </c>
      <c r="W36" s="42">
        <v>14</v>
      </c>
      <c r="X36" s="42">
        <v>15</v>
      </c>
      <c r="Y36" s="42">
        <v>16</v>
      </c>
      <c r="Z36" s="42">
        <v>17</v>
      </c>
      <c r="AA36" s="43">
        <v>18</v>
      </c>
    </row>
    <row r="37" spans="2:27" ht="15.95" customHeight="1">
      <c r="B37" s="44" t="s">
        <v>20</v>
      </c>
      <c r="C37" s="45"/>
      <c r="D37" s="46">
        <v>49.2</v>
      </c>
      <c r="E37" s="46">
        <v>60.1</v>
      </c>
      <c r="F37" s="46">
        <v>68.599999999999994</v>
      </c>
      <c r="G37" s="46">
        <v>70.7</v>
      </c>
      <c r="H37" s="46">
        <v>64.900000000000006</v>
      </c>
      <c r="I37" s="46">
        <v>54.9</v>
      </c>
      <c r="J37" s="46">
        <v>43.5</v>
      </c>
      <c r="K37" s="46">
        <v>31.6</v>
      </c>
      <c r="L37" s="46">
        <v>19.7</v>
      </c>
      <c r="M37" s="47">
        <v>8</v>
      </c>
      <c r="P37" s="44" t="s">
        <v>20</v>
      </c>
      <c r="Q37" s="45"/>
      <c r="R37" s="46">
        <v>41</v>
      </c>
      <c r="S37" s="46">
        <v>49.8</v>
      </c>
      <c r="T37" s="46">
        <v>55.2</v>
      </c>
      <c r="U37" s="46">
        <v>55.6</v>
      </c>
      <c r="V37" s="46">
        <v>50.9</v>
      </c>
      <c r="W37" s="46">
        <v>42.5</v>
      </c>
      <c r="X37" s="46">
        <v>32.1</v>
      </c>
      <c r="Y37" s="46">
        <v>20.7</v>
      </c>
      <c r="Z37" s="46">
        <v>8.9</v>
      </c>
      <c r="AA37" s="47">
        <v>0</v>
      </c>
    </row>
    <row r="38" spans="2:27" ht="15.95" customHeight="1">
      <c r="B38" s="44" t="s">
        <v>21</v>
      </c>
      <c r="C38" s="45"/>
      <c r="D38" s="48">
        <v>-73.8</v>
      </c>
      <c r="E38" s="48">
        <v>-57.8</v>
      </c>
      <c r="F38" s="48">
        <v>-30.7</v>
      </c>
      <c r="G38" s="48">
        <v>10.6</v>
      </c>
      <c r="H38" s="48">
        <v>45.9</v>
      </c>
      <c r="I38" s="48">
        <v>66.5</v>
      </c>
      <c r="J38" s="48">
        <v>79.599999999999994</v>
      </c>
      <c r="K38" s="48">
        <v>89.6</v>
      </c>
      <c r="L38" s="48">
        <v>98.3</v>
      </c>
      <c r="M38" s="49">
        <v>106.7</v>
      </c>
      <c r="P38" s="44" t="s">
        <v>22</v>
      </c>
      <c r="Q38" s="45"/>
      <c r="R38" s="48">
        <v>-55.7</v>
      </c>
      <c r="S38" s="48">
        <v>-38.4</v>
      </c>
      <c r="T38" s="48">
        <v>-15.3</v>
      </c>
      <c r="U38" s="48">
        <v>11.2</v>
      </c>
      <c r="V38" s="48">
        <v>35.1</v>
      </c>
      <c r="W38" s="48">
        <v>53.4</v>
      </c>
      <c r="X38" s="48">
        <v>67</v>
      </c>
      <c r="Y38" s="48">
        <v>77.900000000000006</v>
      </c>
      <c r="Z38" s="48">
        <v>87.4</v>
      </c>
      <c r="AA38" s="49">
        <v>0</v>
      </c>
    </row>
    <row r="39" spans="2:27" ht="20.100000000000001" customHeight="1">
      <c r="B39" s="15" t="s">
        <v>24</v>
      </c>
      <c r="P39" s="15" t="s">
        <v>25</v>
      </c>
    </row>
  </sheetData>
  <mergeCells count="12">
    <mergeCell ref="B36:C36"/>
    <mergeCell ref="P36:Q36"/>
    <mergeCell ref="B37:C37"/>
    <mergeCell ref="P37:Q37"/>
    <mergeCell ref="B38:C38"/>
    <mergeCell ref="P38:Q38"/>
    <mergeCell ref="B32:C32"/>
    <mergeCell ref="F32:G32"/>
    <mergeCell ref="I32:J32"/>
    <mergeCell ref="B33:C33"/>
    <mergeCell ref="F33:G33"/>
    <mergeCell ref="I33:J33"/>
  </mergeCells>
  <phoneticPr fontId="4"/>
  <pageMargins left="0.6692913385826772" right="0.51181102362204722" top="0.78740157480314965" bottom="0.47244094488188981" header="0.59055118110236227" footer="0.31496062992125984"/>
  <pageSetup paperSize="9" scale="66" orientation="landscape" horizontalDpi="400" verticalDpi="400" r:id="rId1"/>
  <headerFooter scaleWithDoc="0" alignWithMargins="0">
    <oddFooter>&amp;C&amp;"ＭＳ Ｐゴシック,標準"&amp;9( &amp;P / &amp;N )</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pageSetUpPr fitToPage="1"/>
  </sheetPr>
  <dimension ref="A1:G49"/>
  <sheetViews>
    <sheetView showGridLines="0" zoomScale="80" zoomScaleNormal="80" workbookViewId="0">
      <pane xSplit="4" ySplit="5" topLeftCell="E6" activePane="bottomRight" state="frozenSplit"/>
      <selection pane="topRight"/>
      <selection pane="bottomLeft"/>
      <selection pane="bottomRight"/>
    </sheetView>
  </sheetViews>
  <sheetFormatPr defaultColWidth="9.140625" defaultRowHeight="13.5" customHeight="1"/>
  <cols>
    <col min="1" max="1" width="5.42578125" style="1297" customWidth="1"/>
    <col min="2" max="2" width="7.5703125" style="1297" customWidth="1"/>
    <col min="3" max="3" width="33.7109375" style="1297" customWidth="1"/>
    <col min="4" max="4" width="10.7109375" style="1297" customWidth="1"/>
    <col min="5" max="6" width="15.7109375" style="1297" customWidth="1"/>
    <col min="7" max="7" width="30.7109375" style="1297" customWidth="1"/>
    <col min="8" max="16384" width="9.140625" style="1293"/>
  </cols>
  <sheetData>
    <row r="1" spans="1:7" s="1562" customFormat="1" ht="21" customHeight="1">
      <c r="A1" s="1568" t="s">
        <v>958</v>
      </c>
      <c r="B1" s="1567"/>
      <c r="C1" s="1566"/>
      <c r="D1" s="1700"/>
      <c r="E1" s="1699"/>
      <c r="F1" s="1699"/>
      <c r="G1" s="1563"/>
    </row>
    <row r="4" spans="1:7" ht="13.5" customHeight="1">
      <c r="A4" s="1401" t="s">
        <v>363</v>
      </c>
      <c r="B4" s="1400" t="s">
        <v>341</v>
      </c>
      <c r="C4" s="1561" t="s">
        <v>847</v>
      </c>
      <c r="D4" s="1600" t="s">
        <v>728</v>
      </c>
      <c r="E4" s="1599" t="s">
        <v>954</v>
      </c>
      <c r="F4" s="1597"/>
      <c r="G4" s="1698" t="s">
        <v>843</v>
      </c>
    </row>
    <row r="5" spans="1:7" ht="13.5" customHeight="1">
      <c r="A5" s="1369"/>
      <c r="B5" s="1368"/>
      <c r="C5" s="1554"/>
      <c r="D5" s="1610"/>
      <c r="E5" s="1697" t="s">
        <v>38</v>
      </c>
      <c r="F5" s="1696" t="s">
        <v>62</v>
      </c>
      <c r="G5" s="1701"/>
    </row>
    <row r="6" spans="1:7" ht="13.5" customHeight="1">
      <c r="A6" s="1626" t="s">
        <v>950</v>
      </c>
      <c r="B6" s="1627"/>
      <c r="C6" s="1628"/>
      <c r="D6" s="1621"/>
      <c r="E6" s="1622"/>
      <c r="F6" s="1624"/>
      <c r="G6" s="1625"/>
    </row>
    <row r="7" spans="1:7" ht="13.5" customHeight="1">
      <c r="A7" s="1327">
        <v>3</v>
      </c>
      <c r="B7" s="1326">
        <v>301</v>
      </c>
      <c r="C7" s="1612" t="s">
        <v>613</v>
      </c>
      <c r="D7" s="1324">
        <v>153.66999999999999</v>
      </c>
      <c r="E7" s="1314">
        <v>5520</v>
      </c>
      <c r="F7" s="1591">
        <v>5296</v>
      </c>
      <c r="G7" s="1590"/>
    </row>
    <row r="8" spans="1:7" ht="13.5" customHeight="1">
      <c r="A8" s="1430">
        <v>3</v>
      </c>
      <c r="B8" s="1326">
        <v>302</v>
      </c>
      <c r="C8" s="1592" t="s">
        <v>678</v>
      </c>
      <c r="D8" s="1324">
        <v>115.57</v>
      </c>
      <c r="E8" s="1314">
        <v>4140</v>
      </c>
      <c r="F8" s="1591">
        <v>3972</v>
      </c>
      <c r="G8" s="1590"/>
    </row>
    <row r="9" spans="1:7" ht="13.5" customHeight="1" thickBot="1">
      <c r="A9" s="1705"/>
      <c r="B9" s="1706"/>
      <c r="C9" s="1707" t="s">
        <v>959</v>
      </c>
      <c r="D9" s="1708"/>
      <c r="E9" s="1437">
        <v>3220</v>
      </c>
      <c r="F9" s="1615">
        <v>3220</v>
      </c>
      <c r="G9" s="1616"/>
    </row>
    <row r="10" spans="1:7" ht="13.5" customHeight="1" thickTop="1">
      <c r="A10" s="1642" t="s">
        <v>951</v>
      </c>
      <c r="B10" s="1585"/>
      <c r="C10" s="1586"/>
      <c r="D10" s="1643">
        <v>269.24</v>
      </c>
      <c r="E10" s="1639">
        <v>12880</v>
      </c>
      <c r="F10" s="1640">
        <v>12488</v>
      </c>
      <c r="G10" s="1641"/>
    </row>
    <row r="11" spans="1:7" ht="13.5" customHeight="1">
      <c r="A11" s="1430"/>
      <c r="B11" s="1431"/>
      <c r="C11" s="1644"/>
      <c r="D11" s="1433"/>
      <c r="E11" s="1437"/>
      <c r="F11" s="1615"/>
      <c r="G11" s="1616"/>
    </row>
    <row r="12" spans="1:7" ht="13.5" customHeight="1">
      <c r="A12" s="1626" t="s">
        <v>952</v>
      </c>
      <c r="B12" s="1627"/>
      <c r="C12" s="1628"/>
      <c r="D12" s="1621"/>
      <c r="E12" s="1622"/>
      <c r="F12" s="1624"/>
      <c r="G12" s="1625"/>
    </row>
    <row r="13" spans="1:7" ht="13.5" customHeight="1">
      <c r="A13" s="1327">
        <v>3</v>
      </c>
      <c r="B13" s="1326">
        <v>301</v>
      </c>
      <c r="C13" s="1612" t="s">
        <v>613</v>
      </c>
      <c r="D13" s="1324">
        <v>153.66999999999999</v>
      </c>
      <c r="E13" s="1314">
        <v>7828</v>
      </c>
      <c r="F13" s="1591">
        <v>7901</v>
      </c>
      <c r="G13" s="1590"/>
    </row>
    <row r="14" spans="1:7" ht="13.5" customHeight="1">
      <c r="A14" s="1430">
        <v>3</v>
      </c>
      <c r="B14" s="1326">
        <v>302</v>
      </c>
      <c r="C14" s="1592" t="s">
        <v>678</v>
      </c>
      <c r="D14" s="1324">
        <v>115.57</v>
      </c>
      <c r="E14" s="1314">
        <v>5807</v>
      </c>
      <c r="F14" s="1591">
        <v>5861</v>
      </c>
      <c r="G14" s="1590"/>
    </row>
    <row r="15" spans="1:7" ht="13.5" customHeight="1" thickBot="1">
      <c r="A15" s="1705"/>
      <c r="B15" s="1706"/>
      <c r="C15" s="1707" t="s">
        <v>960</v>
      </c>
      <c r="D15" s="1708"/>
      <c r="E15" s="1437">
        <v>-3220</v>
      </c>
      <c r="F15" s="1615">
        <v>-3220</v>
      </c>
      <c r="G15" s="1616"/>
    </row>
    <row r="16" spans="1:7" ht="13.5" customHeight="1" thickTop="1">
      <c r="A16" s="1642" t="s">
        <v>951</v>
      </c>
      <c r="B16" s="1585"/>
      <c r="C16" s="1586"/>
      <c r="D16" s="1643">
        <v>269.24</v>
      </c>
      <c r="E16" s="1639">
        <v>10415</v>
      </c>
      <c r="F16" s="1640">
        <v>10542</v>
      </c>
      <c r="G16" s="1641"/>
    </row>
    <row r="17" spans="1:7" ht="13.5" customHeight="1">
      <c r="A17" s="1327"/>
      <c r="B17" s="1326"/>
      <c r="C17" s="1612"/>
      <c r="D17" s="1324"/>
      <c r="E17" s="1314"/>
      <c r="F17" s="1591"/>
      <c r="G17" s="1590"/>
    </row>
    <row r="18" spans="1:7" ht="13.5" customHeight="1">
      <c r="A18" s="1327"/>
      <c r="B18" s="1326"/>
      <c r="C18" s="1592"/>
      <c r="D18" s="1324"/>
      <c r="E18" s="1314"/>
      <c r="F18" s="1591"/>
      <c r="G18" s="1590"/>
    </row>
    <row r="19" spans="1:7" ht="13.5" customHeight="1">
      <c r="A19" s="1327"/>
      <c r="B19" s="1326"/>
      <c r="C19" s="1592"/>
      <c r="D19" s="1324"/>
      <c r="E19" s="1314"/>
      <c r="F19" s="1591"/>
      <c r="G19" s="1590"/>
    </row>
    <row r="20" spans="1:7" ht="13.5" customHeight="1">
      <c r="A20" s="1327"/>
      <c r="B20" s="1326"/>
      <c r="C20" s="1592"/>
      <c r="D20" s="1324"/>
      <c r="E20" s="1314"/>
      <c r="F20" s="1591"/>
      <c r="G20" s="1590"/>
    </row>
    <row r="21" spans="1:7" ht="13.5" customHeight="1">
      <c r="A21" s="1327"/>
      <c r="B21" s="1326"/>
      <c r="C21" s="1592"/>
      <c r="D21" s="1324"/>
      <c r="E21" s="1314"/>
      <c r="F21" s="1591"/>
      <c r="G21" s="1590"/>
    </row>
    <row r="22" spans="1:7" ht="13.5" customHeight="1">
      <c r="A22" s="1327"/>
      <c r="B22" s="1326"/>
      <c r="C22" s="1592"/>
      <c r="D22" s="1324"/>
      <c r="E22" s="1314"/>
      <c r="F22" s="1591"/>
      <c r="G22" s="1590"/>
    </row>
    <row r="23" spans="1:7" ht="13.5" customHeight="1">
      <c r="A23" s="1327"/>
      <c r="B23" s="1326"/>
      <c r="C23" s="1592"/>
      <c r="D23" s="1324"/>
      <c r="E23" s="1314"/>
      <c r="F23" s="1591"/>
      <c r="G23" s="1590"/>
    </row>
    <row r="24" spans="1:7" ht="13.5" customHeight="1">
      <c r="A24" s="1327"/>
      <c r="B24" s="1326"/>
      <c r="C24" s="1592"/>
      <c r="D24" s="1324"/>
      <c r="E24" s="1314"/>
      <c r="F24" s="1591"/>
      <c r="G24" s="1590"/>
    </row>
    <row r="25" spans="1:7" ht="13.5" customHeight="1">
      <c r="A25" s="1327"/>
      <c r="B25" s="1326"/>
      <c r="C25" s="1592"/>
      <c r="D25" s="1324"/>
      <c r="E25" s="1314"/>
      <c r="F25" s="1591"/>
      <c r="G25" s="1590"/>
    </row>
    <row r="26" spans="1:7" ht="13.5" customHeight="1">
      <c r="A26" s="1327"/>
      <c r="B26" s="1326"/>
      <c r="C26" s="1592"/>
      <c r="D26" s="1324"/>
      <c r="E26" s="1314"/>
      <c r="F26" s="1591"/>
      <c r="G26" s="1590"/>
    </row>
    <row r="27" spans="1:7" ht="13.5" customHeight="1">
      <c r="A27" s="1327"/>
      <c r="B27" s="1326"/>
      <c r="C27" s="1592"/>
      <c r="D27" s="1324"/>
      <c r="E27" s="1314"/>
      <c r="F27" s="1591"/>
      <c r="G27" s="1590"/>
    </row>
    <row r="28" spans="1:7" ht="13.5" customHeight="1">
      <c r="A28" s="1327"/>
      <c r="B28" s="1326"/>
      <c r="C28" s="1592"/>
      <c r="D28" s="1324"/>
      <c r="E28" s="1314"/>
      <c r="F28" s="1591"/>
      <c r="G28" s="1590"/>
    </row>
    <row r="29" spans="1:7" ht="13.5" customHeight="1">
      <c r="A29" s="1327"/>
      <c r="B29" s="1326"/>
      <c r="C29" s="1592"/>
      <c r="D29" s="1324"/>
      <c r="E29" s="1314"/>
      <c r="F29" s="1591"/>
      <c r="G29" s="1590"/>
    </row>
    <row r="30" spans="1:7" ht="13.5" customHeight="1">
      <c r="A30" s="1327"/>
      <c r="B30" s="1326"/>
      <c r="C30" s="1592"/>
      <c r="D30" s="1324"/>
      <c r="E30" s="1314"/>
      <c r="F30" s="1591"/>
      <c r="G30" s="1590"/>
    </row>
    <row r="31" spans="1:7" ht="13.5" customHeight="1">
      <c r="A31" s="1327"/>
      <c r="B31" s="1326"/>
      <c r="C31" s="1592"/>
      <c r="D31" s="1324"/>
      <c r="E31" s="1314"/>
      <c r="F31" s="1591"/>
      <c r="G31" s="1590"/>
    </row>
    <row r="32" spans="1:7" ht="13.5" customHeight="1">
      <c r="A32" s="1327"/>
      <c r="B32" s="1326"/>
      <c r="C32" s="1592"/>
      <c r="D32" s="1324"/>
      <c r="E32" s="1314"/>
      <c r="F32" s="1591"/>
      <c r="G32" s="1590"/>
    </row>
    <row r="33" spans="1:7" ht="13.5" customHeight="1">
      <c r="A33" s="1327"/>
      <c r="B33" s="1326"/>
      <c r="C33" s="1592"/>
      <c r="D33" s="1324"/>
      <c r="E33" s="1314"/>
      <c r="F33" s="1591"/>
      <c r="G33" s="1590"/>
    </row>
    <row r="34" spans="1:7" ht="13.5" customHeight="1">
      <c r="A34" s="1327"/>
      <c r="B34" s="1326"/>
      <c r="C34" s="1592"/>
      <c r="D34" s="1324"/>
      <c r="E34" s="1314"/>
      <c r="F34" s="1591"/>
      <c r="G34" s="1590"/>
    </row>
    <row r="35" spans="1:7" ht="13.5" customHeight="1">
      <c r="A35" s="1327"/>
      <c r="B35" s="1326"/>
      <c r="C35" s="1592"/>
      <c r="D35" s="1324"/>
      <c r="E35" s="1314"/>
      <c r="F35" s="1591"/>
      <c r="G35" s="1590"/>
    </row>
    <row r="36" spans="1:7" ht="13.5" customHeight="1">
      <c r="A36" s="1327"/>
      <c r="B36" s="1326"/>
      <c r="C36" s="1592"/>
      <c r="D36" s="1324"/>
      <c r="E36" s="1314"/>
      <c r="F36" s="1591"/>
      <c r="G36" s="1590"/>
    </row>
    <row r="37" spans="1:7" ht="13.5" customHeight="1" thickBot="1">
      <c r="A37" s="1430"/>
      <c r="B37" s="1431"/>
      <c r="C37" s="1614"/>
      <c r="D37" s="1433"/>
      <c r="E37" s="1437"/>
      <c r="F37" s="1615"/>
      <c r="G37" s="1616"/>
    </row>
    <row r="38" spans="1:7" ht="18.95" customHeight="1" thickTop="1" thickBot="1">
      <c r="A38" s="1671" t="s">
        <v>956</v>
      </c>
      <c r="B38" s="1664"/>
      <c r="C38" s="1665"/>
      <c r="D38" s="1672">
        <v>269.24</v>
      </c>
      <c r="E38" s="1702">
        <v>23295</v>
      </c>
      <c r="F38" s="1674">
        <v>23030</v>
      </c>
      <c r="G38" s="1703"/>
    </row>
    <row r="39" spans="1:7" ht="13.5" customHeight="1" thickTop="1">
      <c r="A39" s="1671" t="s">
        <v>941</v>
      </c>
      <c r="B39" s="1664"/>
      <c r="C39" s="1665"/>
      <c r="D39" s="1672">
        <v>269.24</v>
      </c>
      <c r="E39" s="1702">
        <v>24</v>
      </c>
      <c r="F39" s="1674">
        <v>23</v>
      </c>
      <c r="G39" s="1676"/>
    </row>
    <row r="40" spans="1:7" ht="13.5" customHeight="1">
      <c r="A40" s="1677" t="s">
        <v>942</v>
      </c>
      <c r="B40" s="1613"/>
      <c r="C40" s="1678"/>
      <c r="D40" s="1679">
        <v>269.24</v>
      </c>
      <c r="E40" s="1704">
        <v>87</v>
      </c>
      <c r="F40" s="1681">
        <v>86</v>
      </c>
      <c r="G40" s="1682"/>
    </row>
    <row r="46" spans="1:7" s="1297" customFormat="1" ht="13.5" customHeight="1">
      <c r="C46" s="1304"/>
      <c r="D46" s="1304"/>
      <c r="E46" s="1304"/>
      <c r="F46" s="1301"/>
    </row>
    <row r="47" spans="1:7" s="1297" customFormat="1" ht="13.5" customHeight="1">
      <c r="C47" s="1304"/>
      <c r="D47" s="1304"/>
      <c r="E47" s="1304"/>
      <c r="F47" s="1301"/>
    </row>
    <row r="48" spans="1:7" s="1297" customFormat="1" ht="13.5" customHeight="1">
      <c r="C48" s="1304"/>
      <c r="D48" s="1304"/>
      <c r="E48" s="1304"/>
      <c r="F48" s="1301"/>
    </row>
    <row r="49" spans="3:5" s="1297" customFormat="1" ht="13.5" customHeight="1">
      <c r="C49" s="1302"/>
      <c r="D49" s="1302"/>
      <c r="E49" s="1302"/>
    </row>
  </sheetData>
  <mergeCells count="15">
    <mergeCell ref="A38:C38"/>
    <mergeCell ref="A39:C39"/>
    <mergeCell ref="A40:C40"/>
    <mergeCell ref="A6:C6"/>
    <mergeCell ref="C9:D9"/>
    <mergeCell ref="A10:C10"/>
    <mergeCell ref="A12:C12"/>
    <mergeCell ref="C15:D15"/>
    <mergeCell ref="A16:C16"/>
    <mergeCell ref="A4:A5"/>
    <mergeCell ref="B4:B5"/>
    <mergeCell ref="C4:C5"/>
    <mergeCell ref="D4:D5"/>
    <mergeCell ref="E4:F4"/>
    <mergeCell ref="G4:G5"/>
  </mergeCells>
  <phoneticPr fontId="4"/>
  <printOptions horizontalCentered="1"/>
  <pageMargins left="0.39370078740157483" right="0.39370078740157483" top="0.78740157480314965" bottom="0.55118110236220474" header="0.59055118110236227" footer="0.31496062992125984"/>
  <pageSetup paperSize="9" scale="87" orientation="landscape" horizontalDpi="1200" verticalDpi="1200" r:id="rId1"/>
  <headerFooter scaleWithDoc="0" alignWithMargins="0">
    <oddFooter>&amp;C&amp;"ＭＳ Ｐゴシック,標準"&amp;9( &amp;P / &amp;N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pageSetUpPr fitToPage="1"/>
  </sheetPr>
  <dimension ref="A1:R51"/>
  <sheetViews>
    <sheetView showGridLines="0" zoomScale="80" zoomScaleNormal="80" workbookViewId="0">
      <pane xSplit="4" ySplit="6" topLeftCell="E7" activePane="bottomRight" state="frozenSplit"/>
      <selection pane="topRight"/>
      <selection pane="bottomLeft"/>
      <selection pane="bottomRight"/>
    </sheetView>
  </sheetViews>
  <sheetFormatPr defaultColWidth="9.140625" defaultRowHeight="13.5" customHeight="1"/>
  <cols>
    <col min="1" max="1" width="5.42578125" style="1297" customWidth="1"/>
    <col min="2" max="2" width="7.5703125" style="1297" customWidth="1"/>
    <col min="3" max="3" width="33.7109375" style="1297" customWidth="1"/>
    <col min="4" max="4" width="10.7109375" style="1297" customWidth="1"/>
    <col min="5" max="5" width="13.5703125" style="1297" bestFit="1" customWidth="1"/>
    <col min="6" max="6" width="7.7109375" style="1297" customWidth="1"/>
    <col min="7" max="8" width="10.7109375" style="1297" customWidth="1"/>
    <col min="9" max="17" width="7.7109375" style="1297" customWidth="1"/>
    <col min="18" max="18" width="14.7109375" style="1297" customWidth="1"/>
    <col min="19" max="16384" width="9.140625" style="1293"/>
  </cols>
  <sheetData>
    <row r="1" spans="1:18" s="1726" customFormat="1" ht="21" customHeight="1">
      <c r="A1" s="1732" t="s">
        <v>975</v>
      </c>
      <c r="B1" s="1731"/>
      <c r="C1" s="1730"/>
      <c r="D1" s="1729"/>
      <c r="E1" s="1728"/>
      <c r="F1" s="1728"/>
      <c r="G1" s="1728"/>
      <c r="H1" s="1728"/>
      <c r="I1" s="1728"/>
      <c r="J1" s="1728"/>
      <c r="K1" s="1728"/>
      <c r="L1" s="1728"/>
      <c r="M1" s="1728"/>
      <c r="N1" s="1728"/>
      <c r="O1" s="1728"/>
      <c r="P1" s="1728"/>
      <c r="Q1" s="1728"/>
      <c r="R1" s="1727"/>
    </row>
    <row r="4" spans="1:18" ht="13.5" customHeight="1">
      <c r="A4" s="1401" t="s">
        <v>363</v>
      </c>
      <c r="B4" s="1400" t="s">
        <v>341</v>
      </c>
      <c r="C4" s="1561" t="s">
        <v>974</v>
      </c>
      <c r="D4" s="1725" t="s">
        <v>973</v>
      </c>
      <c r="E4" s="1392" t="s">
        <v>972</v>
      </c>
      <c r="F4" s="1391"/>
      <c r="G4" s="1391"/>
      <c r="H4" s="1391"/>
      <c r="I4" s="1395"/>
      <c r="J4" s="1392" t="s">
        <v>971</v>
      </c>
      <c r="K4" s="1391"/>
      <c r="L4" s="1391"/>
      <c r="M4" s="1391"/>
      <c r="N4" s="1391"/>
      <c r="O4" s="1391"/>
      <c r="P4" s="1391"/>
      <c r="Q4" s="1395"/>
      <c r="R4" s="1557" t="s">
        <v>843</v>
      </c>
    </row>
    <row r="5" spans="1:18" ht="13.5" customHeight="1">
      <c r="A5" s="1369"/>
      <c r="B5" s="1368"/>
      <c r="C5" s="1554"/>
      <c r="D5" s="1715"/>
      <c r="E5" s="1724" t="s">
        <v>970</v>
      </c>
      <c r="F5" s="1723" t="s">
        <v>969</v>
      </c>
      <c r="G5" s="1723" t="s">
        <v>968</v>
      </c>
      <c r="H5" s="1723" t="s">
        <v>967</v>
      </c>
      <c r="I5" s="1722" t="s">
        <v>966</v>
      </c>
      <c r="J5" s="1721" t="s">
        <v>38</v>
      </c>
      <c r="K5" s="1720"/>
      <c r="L5" s="1720"/>
      <c r="M5" s="1719"/>
      <c r="N5" s="1718" t="s">
        <v>965</v>
      </c>
      <c r="O5" s="1717"/>
      <c r="P5" s="1717"/>
      <c r="Q5" s="1716"/>
      <c r="R5" s="1549"/>
    </row>
    <row r="6" spans="1:18" ht="33.75">
      <c r="A6" s="1369"/>
      <c r="B6" s="1368"/>
      <c r="C6" s="1554"/>
      <c r="D6" s="1715"/>
      <c r="E6" s="1733"/>
      <c r="F6" s="1367"/>
      <c r="G6" s="1367"/>
      <c r="H6" s="1367"/>
      <c r="I6" s="1610"/>
      <c r="J6" s="1714" t="s">
        <v>964</v>
      </c>
      <c r="K6" s="1714" t="s">
        <v>963</v>
      </c>
      <c r="L6" s="1714" t="s">
        <v>962</v>
      </c>
      <c r="M6" s="1713" t="s">
        <v>961</v>
      </c>
      <c r="N6" s="1714" t="s">
        <v>964</v>
      </c>
      <c r="O6" s="1714" t="s">
        <v>963</v>
      </c>
      <c r="P6" s="1714" t="s">
        <v>962</v>
      </c>
      <c r="Q6" s="1713" t="s">
        <v>961</v>
      </c>
      <c r="R6" s="1549"/>
    </row>
    <row r="7" spans="1:18" ht="13.5" customHeight="1">
      <c r="A7" s="1626" t="s">
        <v>976</v>
      </c>
      <c r="B7" s="1627"/>
      <c r="C7" s="1628"/>
      <c r="D7" s="1621"/>
      <c r="E7" s="1734"/>
      <c r="F7" s="1735"/>
      <c r="G7" s="1735"/>
      <c r="H7" s="1735"/>
      <c r="I7" s="1620"/>
      <c r="J7" s="1736"/>
      <c r="K7" s="1736"/>
      <c r="L7" s="1736"/>
      <c r="M7" s="1737"/>
      <c r="N7" s="1736"/>
      <c r="O7" s="1736"/>
      <c r="P7" s="1736"/>
      <c r="Q7" s="1737"/>
      <c r="R7" s="1738"/>
    </row>
    <row r="8" spans="1:18" ht="13.5" customHeight="1">
      <c r="A8" s="1327">
        <v>3</v>
      </c>
      <c r="B8" s="1326">
        <v>301</v>
      </c>
      <c r="C8" s="1612" t="s">
        <v>613</v>
      </c>
      <c r="D8" s="1324">
        <v>153.66999999999999</v>
      </c>
      <c r="E8" s="1712" t="s">
        <v>977</v>
      </c>
      <c r="F8" s="1711">
        <v>60</v>
      </c>
      <c r="G8" s="1711"/>
      <c r="H8" s="1711"/>
      <c r="I8" s="1612"/>
      <c r="J8" s="1710">
        <v>2.5</v>
      </c>
      <c r="K8" s="1710">
        <v>4.2</v>
      </c>
      <c r="L8" s="1710"/>
      <c r="M8" s="1709"/>
      <c r="N8" s="1710">
        <v>2.1</v>
      </c>
      <c r="O8" s="1710">
        <v>3.5</v>
      </c>
      <c r="P8" s="1710"/>
      <c r="Q8" s="1709"/>
      <c r="R8" s="1310"/>
    </row>
    <row r="9" spans="1:18" ht="13.5" customHeight="1" thickBot="1">
      <c r="A9" s="1430">
        <v>3</v>
      </c>
      <c r="B9" s="1431">
        <v>302</v>
      </c>
      <c r="C9" s="1614" t="s">
        <v>678</v>
      </c>
      <c r="D9" s="1433">
        <v>115.57</v>
      </c>
      <c r="E9" s="1739" t="s">
        <v>977</v>
      </c>
      <c r="F9" s="1740">
        <v>60</v>
      </c>
      <c r="G9" s="1740"/>
      <c r="H9" s="1740"/>
      <c r="I9" s="1644"/>
      <c r="J9" s="1741">
        <v>1.9</v>
      </c>
      <c r="K9" s="1741">
        <v>3.2</v>
      </c>
      <c r="L9" s="1741"/>
      <c r="M9" s="1742"/>
      <c r="N9" s="1741">
        <v>1.6</v>
      </c>
      <c r="O9" s="1741">
        <v>2.7</v>
      </c>
      <c r="P9" s="1741"/>
      <c r="Q9" s="1742"/>
      <c r="R9" s="1447"/>
    </row>
    <row r="10" spans="1:18" ht="13.5" customHeight="1" thickTop="1">
      <c r="A10" s="1642" t="s">
        <v>951</v>
      </c>
      <c r="B10" s="1585"/>
      <c r="C10" s="1586"/>
      <c r="D10" s="1643">
        <v>269.24</v>
      </c>
      <c r="E10" s="1743"/>
      <c r="F10" s="1638"/>
      <c r="G10" s="1638"/>
      <c r="H10" s="1638"/>
      <c r="I10" s="1638"/>
      <c r="J10" s="1744">
        <v>4.4000000000000004</v>
      </c>
      <c r="K10" s="1745">
        <v>7.4</v>
      </c>
      <c r="L10" s="1745">
        <v>0</v>
      </c>
      <c r="M10" s="1745">
        <v>0</v>
      </c>
      <c r="N10" s="1744">
        <v>3.7</v>
      </c>
      <c r="O10" s="1745">
        <v>6.2</v>
      </c>
      <c r="P10" s="1745">
        <v>0</v>
      </c>
      <c r="Q10" s="1745">
        <v>0</v>
      </c>
      <c r="R10" s="1746"/>
    </row>
    <row r="11" spans="1:18" ht="13.5" customHeight="1">
      <c r="A11" s="1327"/>
      <c r="B11" s="1326"/>
      <c r="C11" s="1612"/>
      <c r="D11" s="1324"/>
      <c r="E11" s="1712"/>
      <c r="F11" s="1711"/>
      <c r="G11" s="1711"/>
      <c r="H11" s="1711"/>
      <c r="I11" s="1612"/>
      <c r="J11" s="1710"/>
      <c r="K11" s="1710"/>
      <c r="L11" s="1710"/>
      <c r="M11" s="1709"/>
      <c r="N11" s="1710"/>
      <c r="O11" s="1710"/>
      <c r="P11" s="1710"/>
      <c r="Q11" s="1709"/>
      <c r="R11" s="1310"/>
    </row>
    <row r="12" spans="1:18" ht="13.5" customHeight="1">
      <c r="A12" s="1327"/>
      <c r="B12" s="1326"/>
      <c r="C12" s="1592"/>
      <c r="D12" s="1324"/>
      <c r="E12" s="1712"/>
      <c r="F12" s="1711"/>
      <c r="G12" s="1711"/>
      <c r="H12" s="1711"/>
      <c r="I12" s="1612"/>
      <c r="J12" s="1710"/>
      <c r="K12" s="1710"/>
      <c r="L12" s="1710"/>
      <c r="M12" s="1709"/>
      <c r="N12" s="1710"/>
      <c r="O12" s="1710"/>
      <c r="P12" s="1710"/>
      <c r="Q12" s="1709"/>
      <c r="R12" s="1310"/>
    </row>
    <row r="13" spans="1:18" ht="13.5" customHeight="1">
      <c r="A13" s="1327"/>
      <c r="B13" s="1326"/>
      <c r="C13" s="1592"/>
      <c r="D13" s="1324"/>
      <c r="E13" s="1712"/>
      <c r="F13" s="1711"/>
      <c r="G13" s="1711"/>
      <c r="H13" s="1711"/>
      <c r="I13" s="1612"/>
      <c r="J13" s="1710"/>
      <c r="K13" s="1710"/>
      <c r="L13" s="1710"/>
      <c r="M13" s="1709"/>
      <c r="N13" s="1710"/>
      <c r="O13" s="1710"/>
      <c r="P13" s="1710"/>
      <c r="Q13" s="1709"/>
      <c r="R13" s="1310"/>
    </row>
    <row r="14" spans="1:18" ht="13.5" customHeight="1">
      <c r="A14" s="1327"/>
      <c r="B14" s="1326"/>
      <c r="C14" s="1592"/>
      <c r="D14" s="1324"/>
      <c r="E14" s="1712"/>
      <c r="F14" s="1711"/>
      <c r="G14" s="1711"/>
      <c r="H14" s="1711"/>
      <c r="I14" s="1612"/>
      <c r="J14" s="1710"/>
      <c r="K14" s="1710"/>
      <c r="L14" s="1710"/>
      <c r="M14" s="1709"/>
      <c r="N14" s="1710"/>
      <c r="O14" s="1710"/>
      <c r="P14" s="1710"/>
      <c r="Q14" s="1709"/>
      <c r="R14" s="1310"/>
    </row>
    <row r="15" spans="1:18" ht="13.5" customHeight="1">
      <c r="A15" s="1327"/>
      <c r="B15" s="1326"/>
      <c r="C15" s="1592"/>
      <c r="D15" s="1324"/>
      <c r="E15" s="1712"/>
      <c r="F15" s="1711"/>
      <c r="G15" s="1711"/>
      <c r="H15" s="1711"/>
      <c r="I15" s="1612"/>
      <c r="J15" s="1710"/>
      <c r="K15" s="1710"/>
      <c r="L15" s="1710"/>
      <c r="M15" s="1709"/>
      <c r="N15" s="1710"/>
      <c r="O15" s="1710"/>
      <c r="P15" s="1710"/>
      <c r="Q15" s="1709"/>
      <c r="R15" s="1310"/>
    </row>
    <row r="16" spans="1:18" ht="13.5" customHeight="1">
      <c r="A16" s="1327"/>
      <c r="B16" s="1326"/>
      <c r="C16" s="1592"/>
      <c r="D16" s="1324"/>
      <c r="E16" s="1712"/>
      <c r="F16" s="1711"/>
      <c r="G16" s="1711"/>
      <c r="H16" s="1711"/>
      <c r="I16" s="1612"/>
      <c r="J16" s="1710"/>
      <c r="K16" s="1710"/>
      <c r="L16" s="1710"/>
      <c r="M16" s="1709"/>
      <c r="N16" s="1710"/>
      <c r="O16" s="1710"/>
      <c r="P16" s="1710"/>
      <c r="Q16" s="1709"/>
      <c r="R16" s="1310"/>
    </row>
    <row r="17" spans="1:18" ht="13.5" customHeight="1">
      <c r="A17" s="1327"/>
      <c r="B17" s="1326"/>
      <c r="C17" s="1592"/>
      <c r="D17" s="1324"/>
      <c r="E17" s="1712"/>
      <c r="F17" s="1711"/>
      <c r="G17" s="1711"/>
      <c r="H17" s="1711"/>
      <c r="I17" s="1612"/>
      <c r="J17" s="1710"/>
      <c r="K17" s="1710"/>
      <c r="L17" s="1710"/>
      <c r="M17" s="1709"/>
      <c r="N17" s="1710"/>
      <c r="O17" s="1710"/>
      <c r="P17" s="1710"/>
      <c r="Q17" s="1709"/>
      <c r="R17" s="1310"/>
    </row>
    <row r="18" spans="1:18" ht="13.5" customHeight="1">
      <c r="A18" s="1327"/>
      <c r="B18" s="1326"/>
      <c r="C18" s="1592"/>
      <c r="D18" s="1324"/>
      <c r="E18" s="1712"/>
      <c r="F18" s="1711"/>
      <c r="G18" s="1711"/>
      <c r="H18" s="1711"/>
      <c r="I18" s="1612"/>
      <c r="J18" s="1710"/>
      <c r="K18" s="1710"/>
      <c r="L18" s="1710"/>
      <c r="M18" s="1709"/>
      <c r="N18" s="1710"/>
      <c r="O18" s="1710"/>
      <c r="P18" s="1710"/>
      <c r="Q18" s="1709"/>
      <c r="R18" s="1310"/>
    </row>
    <row r="19" spans="1:18" ht="13.5" customHeight="1">
      <c r="A19" s="1327"/>
      <c r="B19" s="1326"/>
      <c r="C19" s="1592"/>
      <c r="D19" s="1324"/>
      <c r="E19" s="1712"/>
      <c r="F19" s="1711"/>
      <c r="G19" s="1711"/>
      <c r="H19" s="1711"/>
      <c r="I19" s="1612"/>
      <c r="J19" s="1710"/>
      <c r="K19" s="1710"/>
      <c r="L19" s="1710"/>
      <c r="M19" s="1709"/>
      <c r="N19" s="1710"/>
      <c r="O19" s="1710"/>
      <c r="P19" s="1710"/>
      <c r="Q19" s="1709"/>
      <c r="R19" s="1310"/>
    </row>
    <row r="20" spans="1:18" ht="13.5" customHeight="1">
      <c r="A20" s="1327"/>
      <c r="B20" s="1326"/>
      <c r="C20" s="1592"/>
      <c r="D20" s="1324"/>
      <c r="E20" s="1712"/>
      <c r="F20" s="1711"/>
      <c r="G20" s="1711"/>
      <c r="H20" s="1711"/>
      <c r="I20" s="1612"/>
      <c r="J20" s="1710"/>
      <c r="K20" s="1710"/>
      <c r="L20" s="1710"/>
      <c r="M20" s="1709"/>
      <c r="N20" s="1710"/>
      <c r="O20" s="1710"/>
      <c r="P20" s="1710"/>
      <c r="Q20" s="1709"/>
      <c r="R20" s="1310"/>
    </row>
    <row r="21" spans="1:18" ht="13.5" customHeight="1">
      <c r="A21" s="1327"/>
      <c r="B21" s="1326"/>
      <c r="C21" s="1592"/>
      <c r="D21" s="1324"/>
      <c r="E21" s="1712"/>
      <c r="F21" s="1711"/>
      <c r="G21" s="1711"/>
      <c r="H21" s="1711"/>
      <c r="I21" s="1612"/>
      <c r="J21" s="1710"/>
      <c r="K21" s="1710"/>
      <c r="L21" s="1710"/>
      <c r="M21" s="1709"/>
      <c r="N21" s="1710"/>
      <c r="O21" s="1710"/>
      <c r="P21" s="1710"/>
      <c r="Q21" s="1709"/>
      <c r="R21" s="1310"/>
    </row>
    <row r="22" spans="1:18" ht="13.5" customHeight="1">
      <c r="A22" s="1327"/>
      <c r="B22" s="1326"/>
      <c r="C22" s="1592"/>
      <c r="D22" s="1324"/>
      <c r="E22" s="1712"/>
      <c r="F22" s="1711"/>
      <c r="G22" s="1711"/>
      <c r="H22" s="1711"/>
      <c r="I22" s="1612"/>
      <c r="J22" s="1710"/>
      <c r="K22" s="1710"/>
      <c r="L22" s="1710"/>
      <c r="M22" s="1709"/>
      <c r="N22" s="1710"/>
      <c r="O22" s="1710"/>
      <c r="P22" s="1710"/>
      <c r="Q22" s="1709"/>
      <c r="R22" s="1310"/>
    </row>
    <row r="23" spans="1:18" ht="13.5" customHeight="1">
      <c r="A23" s="1327"/>
      <c r="B23" s="1326"/>
      <c r="C23" s="1592"/>
      <c r="D23" s="1324"/>
      <c r="E23" s="1712"/>
      <c r="F23" s="1711"/>
      <c r="G23" s="1711"/>
      <c r="H23" s="1711"/>
      <c r="I23" s="1612"/>
      <c r="J23" s="1710"/>
      <c r="K23" s="1710"/>
      <c r="L23" s="1710"/>
      <c r="M23" s="1709"/>
      <c r="N23" s="1710"/>
      <c r="O23" s="1710"/>
      <c r="P23" s="1710"/>
      <c r="Q23" s="1709"/>
      <c r="R23" s="1310"/>
    </row>
    <row r="24" spans="1:18" ht="13.5" customHeight="1">
      <c r="A24" s="1327"/>
      <c r="B24" s="1326"/>
      <c r="C24" s="1592"/>
      <c r="D24" s="1324"/>
      <c r="E24" s="1712"/>
      <c r="F24" s="1711"/>
      <c r="G24" s="1711"/>
      <c r="H24" s="1711"/>
      <c r="I24" s="1612"/>
      <c r="J24" s="1710"/>
      <c r="K24" s="1710"/>
      <c r="L24" s="1710"/>
      <c r="M24" s="1709"/>
      <c r="N24" s="1710"/>
      <c r="O24" s="1710"/>
      <c r="P24" s="1710"/>
      <c r="Q24" s="1709"/>
      <c r="R24" s="1310"/>
    </row>
    <row r="25" spans="1:18" ht="13.5" customHeight="1">
      <c r="A25" s="1327"/>
      <c r="B25" s="1326"/>
      <c r="C25" s="1592"/>
      <c r="D25" s="1324"/>
      <c r="E25" s="1712"/>
      <c r="F25" s="1711"/>
      <c r="G25" s="1711"/>
      <c r="H25" s="1711"/>
      <c r="I25" s="1612"/>
      <c r="J25" s="1710"/>
      <c r="K25" s="1710"/>
      <c r="L25" s="1710"/>
      <c r="M25" s="1709"/>
      <c r="N25" s="1710"/>
      <c r="O25" s="1710"/>
      <c r="P25" s="1710"/>
      <c r="Q25" s="1709"/>
      <c r="R25" s="1310"/>
    </row>
    <row r="26" spans="1:18" ht="13.5" customHeight="1">
      <c r="A26" s="1327"/>
      <c r="B26" s="1326"/>
      <c r="C26" s="1592"/>
      <c r="D26" s="1324"/>
      <c r="E26" s="1712"/>
      <c r="F26" s="1711"/>
      <c r="G26" s="1711"/>
      <c r="H26" s="1711"/>
      <c r="I26" s="1612"/>
      <c r="J26" s="1710"/>
      <c r="K26" s="1710"/>
      <c r="L26" s="1710"/>
      <c r="M26" s="1709"/>
      <c r="N26" s="1710"/>
      <c r="O26" s="1710"/>
      <c r="P26" s="1710"/>
      <c r="Q26" s="1709"/>
      <c r="R26" s="1310"/>
    </row>
    <row r="27" spans="1:18" ht="13.5" customHeight="1">
      <c r="A27" s="1327"/>
      <c r="B27" s="1326"/>
      <c r="C27" s="1592"/>
      <c r="D27" s="1324"/>
      <c r="E27" s="1712"/>
      <c r="F27" s="1711"/>
      <c r="G27" s="1711"/>
      <c r="H27" s="1711"/>
      <c r="I27" s="1612"/>
      <c r="J27" s="1710"/>
      <c r="K27" s="1710"/>
      <c r="L27" s="1710"/>
      <c r="M27" s="1709"/>
      <c r="N27" s="1710"/>
      <c r="O27" s="1710"/>
      <c r="P27" s="1710"/>
      <c r="Q27" s="1709"/>
      <c r="R27" s="1310"/>
    </row>
    <row r="28" spans="1:18" ht="13.5" customHeight="1">
      <c r="A28" s="1327"/>
      <c r="B28" s="1326"/>
      <c r="C28" s="1592"/>
      <c r="D28" s="1324"/>
      <c r="E28" s="1712"/>
      <c r="F28" s="1711"/>
      <c r="G28" s="1711"/>
      <c r="H28" s="1711"/>
      <c r="I28" s="1612"/>
      <c r="J28" s="1710"/>
      <c r="K28" s="1710"/>
      <c r="L28" s="1710"/>
      <c r="M28" s="1709"/>
      <c r="N28" s="1710"/>
      <c r="O28" s="1710"/>
      <c r="P28" s="1710"/>
      <c r="Q28" s="1709"/>
      <c r="R28" s="1310"/>
    </row>
    <row r="29" spans="1:18" ht="13.5" customHeight="1">
      <c r="A29" s="1327"/>
      <c r="B29" s="1326"/>
      <c r="C29" s="1592"/>
      <c r="D29" s="1324"/>
      <c r="E29" s="1712"/>
      <c r="F29" s="1711"/>
      <c r="G29" s="1711"/>
      <c r="H29" s="1711"/>
      <c r="I29" s="1612"/>
      <c r="J29" s="1710"/>
      <c r="K29" s="1710"/>
      <c r="L29" s="1710"/>
      <c r="M29" s="1709"/>
      <c r="N29" s="1710"/>
      <c r="O29" s="1710"/>
      <c r="P29" s="1710"/>
      <c r="Q29" s="1709"/>
      <c r="R29" s="1310"/>
    </row>
    <row r="30" spans="1:18" ht="13.5" customHeight="1">
      <c r="A30" s="1327"/>
      <c r="B30" s="1326"/>
      <c r="C30" s="1592"/>
      <c r="D30" s="1324"/>
      <c r="E30" s="1712"/>
      <c r="F30" s="1711"/>
      <c r="G30" s="1711"/>
      <c r="H30" s="1711"/>
      <c r="I30" s="1612"/>
      <c r="J30" s="1710"/>
      <c r="K30" s="1710"/>
      <c r="L30" s="1710"/>
      <c r="M30" s="1709"/>
      <c r="N30" s="1710"/>
      <c r="O30" s="1710"/>
      <c r="P30" s="1710"/>
      <c r="Q30" s="1709"/>
      <c r="R30" s="1310"/>
    </row>
    <row r="31" spans="1:18" ht="13.5" customHeight="1">
      <c r="A31" s="1327"/>
      <c r="B31" s="1326"/>
      <c r="C31" s="1592"/>
      <c r="D31" s="1324"/>
      <c r="E31" s="1712"/>
      <c r="F31" s="1711"/>
      <c r="G31" s="1711"/>
      <c r="H31" s="1711"/>
      <c r="I31" s="1612"/>
      <c r="J31" s="1710"/>
      <c r="K31" s="1710"/>
      <c r="L31" s="1710"/>
      <c r="M31" s="1709"/>
      <c r="N31" s="1710"/>
      <c r="O31" s="1710"/>
      <c r="P31" s="1710"/>
      <c r="Q31" s="1709"/>
      <c r="R31" s="1310"/>
    </row>
    <row r="32" spans="1:18" ht="13.5" customHeight="1">
      <c r="A32" s="1327"/>
      <c r="B32" s="1326"/>
      <c r="C32" s="1592"/>
      <c r="D32" s="1324"/>
      <c r="E32" s="1712"/>
      <c r="F32" s="1711"/>
      <c r="G32" s="1711"/>
      <c r="H32" s="1711"/>
      <c r="I32" s="1612"/>
      <c r="J32" s="1710"/>
      <c r="K32" s="1710"/>
      <c r="L32" s="1710"/>
      <c r="M32" s="1709"/>
      <c r="N32" s="1710"/>
      <c r="O32" s="1710"/>
      <c r="P32" s="1710"/>
      <c r="Q32" s="1709"/>
      <c r="R32" s="1310"/>
    </row>
    <row r="33" spans="1:18" ht="13.5" customHeight="1">
      <c r="A33" s="1327"/>
      <c r="B33" s="1326"/>
      <c r="C33" s="1592"/>
      <c r="D33" s="1324"/>
      <c r="E33" s="1712"/>
      <c r="F33" s="1711"/>
      <c r="G33" s="1711"/>
      <c r="H33" s="1711"/>
      <c r="I33" s="1612"/>
      <c r="J33" s="1710"/>
      <c r="K33" s="1710"/>
      <c r="L33" s="1710"/>
      <c r="M33" s="1709"/>
      <c r="N33" s="1710"/>
      <c r="O33" s="1710"/>
      <c r="P33" s="1710"/>
      <c r="Q33" s="1709"/>
      <c r="R33" s="1310"/>
    </row>
    <row r="34" spans="1:18" ht="13.5" customHeight="1">
      <c r="A34" s="1327"/>
      <c r="B34" s="1326"/>
      <c r="C34" s="1592"/>
      <c r="D34" s="1324"/>
      <c r="E34" s="1712"/>
      <c r="F34" s="1711"/>
      <c r="G34" s="1711"/>
      <c r="H34" s="1711"/>
      <c r="I34" s="1612"/>
      <c r="J34" s="1710"/>
      <c r="K34" s="1710"/>
      <c r="L34" s="1710"/>
      <c r="M34" s="1709"/>
      <c r="N34" s="1710"/>
      <c r="O34" s="1710"/>
      <c r="P34" s="1710"/>
      <c r="Q34" s="1709"/>
      <c r="R34" s="1310"/>
    </row>
    <row r="35" spans="1:18" ht="13.5" customHeight="1">
      <c r="A35" s="1327"/>
      <c r="B35" s="1326"/>
      <c r="C35" s="1592"/>
      <c r="D35" s="1324"/>
      <c r="E35" s="1712"/>
      <c r="F35" s="1711"/>
      <c r="G35" s="1711"/>
      <c r="H35" s="1711"/>
      <c r="I35" s="1612"/>
      <c r="J35" s="1710"/>
      <c r="K35" s="1710"/>
      <c r="L35" s="1710"/>
      <c r="M35" s="1709"/>
      <c r="N35" s="1710"/>
      <c r="O35" s="1710"/>
      <c r="P35" s="1710"/>
      <c r="Q35" s="1709"/>
      <c r="R35" s="1310"/>
    </row>
    <row r="36" spans="1:18" ht="13.5" customHeight="1">
      <c r="A36" s="1327"/>
      <c r="B36" s="1326"/>
      <c r="C36" s="1592"/>
      <c r="D36" s="1324"/>
      <c r="E36" s="1712"/>
      <c r="F36" s="1711"/>
      <c r="G36" s="1711"/>
      <c r="H36" s="1711"/>
      <c r="I36" s="1612"/>
      <c r="J36" s="1710"/>
      <c r="K36" s="1710"/>
      <c r="L36" s="1710"/>
      <c r="M36" s="1709"/>
      <c r="N36" s="1710"/>
      <c r="O36" s="1710"/>
      <c r="P36" s="1710"/>
      <c r="Q36" s="1709"/>
      <c r="R36" s="1310"/>
    </row>
    <row r="37" spans="1:18" ht="13.5" customHeight="1">
      <c r="A37" s="1327"/>
      <c r="B37" s="1326"/>
      <c r="C37" s="1592"/>
      <c r="D37" s="1324"/>
      <c r="E37" s="1712"/>
      <c r="F37" s="1711"/>
      <c r="G37" s="1711"/>
      <c r="H37" s="1711"/>
      <c r="I37" s="1612"/>
      <c r="J37" s="1710"/>
      <c r="K37" s="1710"/>
      <c r="L37" s="1710"/>
      <c r="M37" s="1709"/>
      <c r="N37" s="1710"/>
      <c r="O37" s="1710"/>
      <c r="P37" s="1710"/>
      <c r="Q37" s="1709"/>
      <c r="R37" s="1310"/>
    </row>
    <row r="38" spans="1:18" ht="13.5" customHeight="1" thickBot="1">
      <c r="A38" s="1430"/>
      <c r="B38" s="1431"/>
      <c r="C38" s="1614"/>
      <c r="D38" s="1433"/>
      <c r="E38" s="1739"/>
      <c r="F38" s="1740"/>
      <c r="G38" s="1740"/>
      <c r="H38" s="1740"/>
      <c r="I38" s="1644"/>
      <c r="J38" s="1741"/>
      <c r="K38" s="1741"/>
      <c r="L38" s="1741"/>
      <c r="M38" s="1742"/>
      <c r="N38" s="1741"/>
      <c r="O38" s="1741"/>
      <c r="P38" s="1741"/>
      <c r="Q38" s="1742"/>
      <c r="R38" s="1447"/>
    </row>
    <row r="39" spans="1:18" ht="18.95" customHeight="1" thickTop="1">
      <c r="A39" s="1671" t="s">
        <v>956</v>
      </c>
      <c r="B39" s="1664"/>
      <c r="C39" s="1665"/>
      <c r="D39" s="1672">
        <v>269.24</v>
      </c>
      <c r="E39" s="1747"/>
      <c r="F39" s="1748"/>
      <c r="G39" s="1748"/>
      <c r="H39" s="1748"/>
      <c r="I39" s="1748"/>
      <c r="J39" s="1749">
        <v>4.4000000000000004</v>
      </c>
      <c r="K39" s="1750">
        <v>7.4</v>
      </c>
      <c r="L39" s="1751">
        <v>0</v>
      </c>
      <c r="M39" s="1751">
        <v>0</v>
      </c>
      <c r="N39" s="1747">
        <v>3.7</v>
      </c>
      <c r="O39" s="1751">
        <v>6.2</v>
      </c>
      <c r="P39" s="1751">
        <v>0</v>
      </c>
      <c r="Q39" s="1751">
        <v>0</v>
      </c>
      <c r="R39" s="1752"/>
    </row>
    <row r="40" spans="1:18" ht="13.5" customHeight="1">
      <c r="A40" s="1677" t="s">
        <v>978</v>
      </c>
      <c r="B40" s="1613"/>
      <c r="C40" s="1678"/>
      <c r="D40" s="1679">
        <v>269.24</v>
      </c>
      <c r="E40" s="1753"/>
      <c r="F40" s="1754"/>
      <c r="G40" s="1754"/>
      <c r="H40" s="1754"/>
      <c r="I40" s="1754"/>
      <c r="J40" s="1704">
        <v>16.3</v>
      </c>
      <c r="K40" s="1755"/>
      <c r="L40" s="1755"/>
      <c r="M40" s="1755"/>
      <c r="N40" s="1680">
        <v>13.7</v>
      </c>
      <c r="O40" s="1755"/>
      <c r="P40" s="1755"/>
      <c r="Q40" s="1755"/>
      <c r="R40" s="1756"/>
    </row>
    <row r="48" spans="1:18" s="1297" customFormat="1" ht="13.5" customHeight="1">
      <c r="C48" s="1304"/>
      <c r="D48" s="1304"/>
      <c r="E48" s="1304"/>
      <c r="M48" s="1301"/>
      <c r="Q48" s="1301"/>
    </row>
    <row r="49" spans="3:17" s="1297" customFormat="1" ht="13.5" customHeight="1">
      <c r="C49" s="1304"/>
      <c r="D49" s="1304"/>
      <c r="E49" s="1304"/>
      <c r="F49" s="1305"/>
      <c r="G49" s="1305"/>
      <c r="H49" s="1305"/>
      <c r="I49" s="1305"/>
      <c r="J49" s="1305"/>
      <c r="K49" s="1305"/>
      <c r="L49" s="1305"/>
      <c r="M49" s="1301"/>
      <c r="N49" s="1305"/>
      <c r="O49" s="1305"/>
      <c r="P49" s="1305"/>
      <c r="Q49" s="1301"/>
    </row>
    <row r="50" spans="3:17" s="1297" customFormat="1" ht="13.5" customHeight="1">
      <c r="C50" s="1304"/>
      <c r="D50" s="1304"/>
      <c r="E50" s="1304"/>
      <c r="F50" s="1303"/>
      <c r="G50" s="1303"/>
      <c r="H50" s="1303"/>
      <c r="I50" s="1303"/>
      <c r="J50" s="1303"/>
      <c r="K50" s="1303"/>
      <c r="L50" s="1303"/>
      <c r="M50" s="1301"/>
      <c r="N50" s="1303"/>
      <c r="O50" s="1303"/>
      <c r="P50" s="1303"/>
      <c r="Q50" s="1301"/>
    </row>
    <row r="51" spans="3:17" s="1297" customFormat="1" ht="13.5" customHeight="1">
      <c r="C51" s="1302"/>
      <c r="D51" s="1302"/>
      <c r="E51" s="1302"/>
      <c r="F51" s="1301"/>
      <c r="G51" s="1301"/>
      <c r="H51" s="1301"/>
      <c r="I51" s="1301"/>
      <c r="J51" s="1301"/>
      <c r="K51" s="1301"/>
      <c r="L51" s="1301"/>
      <c r="N51" s="1301"/>
      <c r="O51" s="1301"/>
      <c r="P51" s="1301"/>
    </row>
  </sheetData>
  <mergeCells count="18">
    <mergeCell ref="A7:C7"/>
    <mergeCell ref="A10:C10"/>
    <mergeCell ref="A39:C39"/>
    <mergeCell ref="A40:C40"/>
    <mergeCell ref="A4:A6"/>
    <mergeCell ref="B4:B6"/>
    <mergeCell ref="C4:C6"/>
    <mergeCell ref="D4:D6"/>
    <mergeCell ref="E4:I4"/>
    <mergeCell ref="J4:Q4"/>
    <mergeCell ref="R4:R6"/>
    <mergeCell ref="E5:E6"/>
    <mergeCell ref="F5:F6"/>
    <mergeCell ref="G5:G6"/>
    <mergeCell ref="H5:H6"/>
    <mergeCell ref="I5:I6"/>
    <mergeCell ref="J5:M5"/>
    <mergeCell ref="N5:Q5"/>
  </mergeCells>
  <phoneticPr fontId="4"/>
  <pageMargins left="0.39370078740157483" right="0.39370078740157483" top="0.78740157480314965" bottom="0.55118110236220474" header="0.59055118110236227" footer="0.31496062992125984"/>
  <pageSetup paperSize="9" scale="75" fitToHeight="0" orientation="landscape" horizontalDpi="1200" verticalDpi="1200" r:id="rId1"/>
  <headerFooter scaleWithDoc="0" alignWithMargins="0">
    <oddFooter>&amp;C&amp;"ＭＳ Ｐゴシック,標準"&amp;9( &amp;P / &amp;N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pageSetUpPr fitToPage="1"/>
  </sheetPr>
  <dimension ref="A1:R51"/>
  <sheetViews>
    <sheetView showGridLines="0" zoomScale="80" zoomScaleNormal="80" workbookViewId="0">
      <pane xSplit="4" ySplit="6" topLeftCell="E7" activePane="bottomRight" state="frozenSplit"/>
      <selection pane="topRight"/>
      <selection pane="bottomLeft"/>
      <selection pane="bottomRight"/>
    </sheetView>
  </sheetViews>
  <sheetFormatPr defaultColWidth="9.140625" defaultRowHeight="13.5" customHeight="1"/>
  <cols>
    <col min="1" max="1" width="5.42578125" style="1297" customWidth="1"/>
    <col min="2" max="2" width="7.5703125" style="1297" customWidth="1"/>
    <col min="3" max="3" width="33.7109375" style="1297" customWidth="1"/>
    <col min="4" max="4" width="10.7109375" style="1297" customWidth="1"/>
    <col min="5" max="5" width="13.5703125" style="1297" bestFit="1" customWidth="1"/>
    <col min="6" max="6" width="7.7109375" style="1297" customWidth="1"/>
    <col min="7" max="8" width="10.7109375" style="1297" customWidth="1"/>
    <col min="9" max="17" width="7.7109375" style="1297" customWidth="1"/>
    <col min="18" max="18" width="14.7109375" style="1297" customWidth="1"/>
    <col min="19" max="16384" width="9.140625" style="1293"/>
  </cols>
  <sheetData>
    <row r="1" spans="1:18" s="1726" customFormat="1" ht="21" customHeight="1">
      <c r="A1" s="1732" t="s">
        <v>980</v>
      </c>
      <c r="B1" s="1731"/>
      <c r="C1" s="1730"/>
      <c r="D1" s="1729"/>
      <c r="E1" s="1728"/>
      <c r="F1" s="1728"/>
      <c r="G1" s="1728"/>
      <c r="H1" s="1728"/>
      <c r="I1" s="1728"/>
      <c r="J1" s="1728"/>
      <c r="K1" s="1728"/>
      <c r="L1" s="1728"/>
      <c r="M1" s="1728"/>
      <c r="N1" s="1728"/>
      <c r="O1" s="1728"/>
      <c r="P1" s="1728"/>
      <c r="Q1" s="1728"/>
      <c r="R1" s="1727"/>
    </row>
    <row r="4" spans="1:18" ht="13.5" customHeight="1">
      <c r="A4" s="1401" t="s">
        <v>363</v>
      </c>
      <c r="B4" s="1400" t="s">
        <v>341</v>
      </c>
      <c r="C4" s="1561" t="s">
        <v>847</v>
      </c>
      <c r="D4" s="1725" t="s">
        <v>728</v>
      </c>
      <c r="E4" s="1392" t="s">
        <v>972</v>
      </c>
      <c r="F4" s="1391"/>
      <c r="G4" s="1391"/>
      <c r="H4" s="1391"/>
      <c r="I4" s="1395"/>
      <c r="J4" s="1392" t="s">
        <v>971</v>
      </c>
      <c r="K4" s="1391"/>
      <c r="L4" s="1391"/>
      <c r="M4" s="1391"/>
      <c r="N4" s="1391"/>
      <c r="O4" s="1391"/>
      <c r="P4" s="1391"/>
      <c r="Q4" s="1395"/>
      <c r="R4" s="1557" t="s">
        <v>843</v>
      </c>
    </row>
    <row r="5" spans="1:18" ht="13.5" customHeight="1">
      <c r="A5" s="1369"/>
      <c r="B5" s="1368"/>
      <c r="C5" s="1554"/>
      <c r="D5" s="1715"/>
      <c r="E5" s="1724" t="s">
        <v>970</v>
      </c>
      <c r="F5" s="1723" t="s">
        <v>969</v>
      </c>
      <c r="G5" s="1723" t="s">
        <v>968</v>
      </c>
      <c r="H5" s="1723" t="s">
        <v>967</v>
      </c>
      <c r="I5" s="1722" t="s">
        <v>966</v>
      </c>
      <c r="J5" s="1721" t="s">
        <v>38</v>
      </c>
      <c r="K5" s="1720"/>
      <c r="L5" s="1720"/>
      <c r="M5" s="1719"/>
      <c r="N5" s="1718" t="s">
        <v>979</v>
      </c>
      <c r="O5" s="1717"/>
      <c r="P5" s="1717"/>
      <c r="Q5" s="1716"/>
      <c r="R5" s="1549"/>
    </row>
    <row r="6" spans="1:18" ht="33.75">
      <c r="A6" s="1369"/>
      <c r="B6" s="1368"/>
      <c r="C6" s="1554"/>
      <c r="D6" s="1715"/>
      <c r="E6" s="1733"/>
      <c r="F6" s="1367"/>
      <c r="G6" s="1367"/>
      <c r="H6" s="1367"/>
      <c r="I6" s="1610"/>
      <c r="J6" s="1714" t="s">
        <v>964</v>
      </c>
      <c r="K6" s="1714" t="s">
        <v>963</v>
      </c>
      <c r="L6" s="1714" t="s">
        <v>962</v>
      </c>
      <c r="M6" s="1713" t="s">
        <v>961</v>
      </c>
      <c r="N6" s="1714" t="s">
        <v>964</v>
      </c>
      <c r="O6" s="1714" t="s">
        <v>963</v>
      </c>
      <c r="P6" s="1714" t="s">
        <v>962</v>
      </c>
      <c r="Q6" s="1713" t="s">
        <v>961</v>
      </c>
      <c r="R6" s="1549"/>
    </row>
    <row r="7" spans="1:18" ht="13.5" customHeight="1">
      <c r="A7" s="1626" t="s">
        <v>981</v>
      </c>
      <c r="B7" s="1627"/>
      <c r="C7" s="1628"/>
      <c r="D7" s="1621"/>
      <c r="E7" s="1734"/>
      <c r="F7" s="1735"/>
      <c r="G7" s="1735"/>
      <c r="H7" s="1735"/>
      <c r="I7" s="1620"/>
      <c r="J7" s="1736"/>
      <c r="K7" s="1736"/>
      <c r="L7" s="1736"/>
      <c r="M7" s="1737"/>
      <c r="N7" s="1736"/>
      <c r="O7" s="1736"/>
      <c r="P7" s="1736"/>
      <c r="Q7" s="1737"/>
      <c r="R7" s="1738"/>
    </row>
    <row r="8" spans="1:18" ht="13.5" customHeight="1">
      <c r="A8" s="1327">
        <v>2</v>
      </c>
      <c r="B8" s="1326">
        <v>201</v>
      </c>
      <c r="C8" s="1612" t="s">
        <v>332</v>
      </c>
      <c r="D8" s="1324">
        <v>121</v>
      </c>
      <c r="E8" s="1712" t="s">
        <v>982</v>
      </c>
      <c r="F8" s="1711">
        <v>80</v>
      </c>
      <c r="G8" s="1711">
        <v>2725</v>
      </c>
      <c r="H8" s="1711"/>
      <c r="I8" s="1612"/>
      <c r="J8" s="1710">
        <v>34</v>
      </c>
      <c r="K8" s="1710">
        <v>42.5</v>
      </c>
      <c r="L8" s="1710"/>
      <c r="M8" s="1709"/>
      <c r="N8" s="1710">
        <v>31.8</v>
      </c>
      <c r="O8" s="1710">
        <v>39.799999999999997</v>
      </c>
      <c r="P8" s="1710"/>
      <c r="Q8" s="1709"/>
      <c r="R8" s="1310"/>
    </row>
    <row r="9" spans="1:18" ht="13.5" customHeight="1" thickBot="1">
      <c r="A9" s="1430">
        <v>2</v>
      </c>
      <c r="B9" s="1431">
        <v>202</v>
      </c>
      <c r="C9" s="1614" t="s">
        <v>547</v>
      </c>
      <c r="D9" s="1433">
        <v>91</v>
      </c>
      <c r="E9" s="1739" t="s">
        <v>982</v>
      </c>
      <c r="F9" s="1740">
        <v>80</v>
      </c>
      <c r="G9" s="1740">
        <v>2725</v>
      </c>
      <c r="H9" s="1740"/>
      <c r="I9" s="1644"/>
      <c r="J9" s="1741">
        <v>25.6</v>
      </c>
      <c r="K9" s="1741">
        <v>32</v>
      </c>
      <c r="L9" s="1741"/>
      <c r="M9" s="1742"/>
      <c r="N9" s="1741">
        <v>23.9</v>
      </c>
      <c r="O9" s="1741">
        <v>29.9</v>
      </c>
      <c r="P9" s="1741"/>
      <c r="Q9" s="1742"/>
      <c r="R9" s="1447"/>
    </row>
    <row r="10" spans="1:18" ht="13.5" customHeight="1" thickTop="1">
      <c r="A10" s="1642" t="s">
        <v>936</v>
      </c>
      <c r="B10" s="1585"/>
      <c r="C10" s="1586"/>
      <c r="D10" s="1643">
        <v>212</v>
      </c>
      <c r="E10" s="1743"/>
      <c r="F10" s="1638"/>
      <c r="G10" s="1638"/>
      <c r="H10" s="1638"/>
      <c r="I10" s="1638"/>
      <c r="J10" s="1744">
        <v>59.6</v>
      </c>
      <c r="K10" s="1745">
        <v>74.5</v>
      </c>
      <c r="L10" s="1745">
        <v>0</v>
      </c>
      <c r="M10" s="1745">
        <v>0</v>
      </c>
      <c r="N10" s="1744">
        <v>55.7</v>
      </c>
      <c r="O10" s="1745">
        <v>69.699999999999989</v>
      </c>
      <c r="P10" s="1745">
        <v>0</v>
      </c>
      <c r="Q10" s="1745">
        <v>0</v>
      </c>
      <c r="R10" s="1746"/>
    </row>
    <row r="11" spans="1:18" ht="13.5" customHeight="1">
      <c r="A11" s="1327"/>
      <c r="B11" s="1326"/>
      <c r="C11" s="1612"/>
      <c r="D11" s="1324"/>
      <c r="E11" s="1712"/>
      <c r="F11" s="1711"/>
      <c r="G11" s="1711"/>
      <c r="H11" s="1711"/>
      <c r="I11" s="1612"/>
      <c r="J11" s="1710"/>
      <c r="K11" s="1710"/>
      <c r="L11" s="1710"/>
      <c r="M11" s="1709"/>
      <c r="N11" s="1710"/>
      <c r="O11" s="1710"/>
      <c r="P11" s="1710"/>
      <c r="Q11" s="1709"/>
      <c r="R11" s="1310"/>
    </row>
    <row r="12" spans="1:18" ht="13.5" customHeight="1">
      <c r="A12" s="1327"/>
      <c r="B12" s="1326"/>
      <c r="C12" s="1592"/>
      <c r="D12" s="1324"/>
      <c r="E12" s="1712"/>
      <c r="F12" s="1711"/>
      <c r="G12" s="1711"/>
      <c r="H12" s="1711"/>
      <c r="I12" s="1612"/>
      <c r="J12" s="1710"/>
      <c r="K12" s="1710"/>
      <c r="L12" s="1710"/>
      <c r="M12" s="1709"/>
      <c r="N12" s="1710"/>
      <c r="O12" s="1710"/>
      <c r="P12" s="1710"/>
      <c r="Q12" s="1709"/>
      <c r="R12" s="1310"/>
    </row>
    <row r="13" spans="1:18" ht="13.5" customHeight="1">
      <c r="A13" s="1327"/>
      <c r="B13" s="1326"/>
      <c r="C13" s="1592"/>
      <c r="D13" s="1324"/>
      <c r="E13" s="1712"/>
      <c r="F13" s="1711"/>
      <c r="G13" s="1711"/>
      <c r="H13" s="1711"/>
      <c r="I13" s="1612"/>
      <c r="J13" s="1710"/>
      <c r="K13" s="1710"/>
      <c r="L13" s="1710"/>
      <c r="M13" s="1709"/>
      <c r="N13" s="1710"/>
      <c r="O13" s="1710"/>
      <c r="P13" s="1710"/>
      <c r="Q13" s="1709"/>
      <c r="R13" s="1310"/>
    </row>
    <row r="14" spans="1:18" ht="13.5" customHeight="1">
      <c r="A14" s="1327"/>
      <c r="B14" s="1326"/>
      <c r="C14" s="1592"/>
      <c r="D14" s="1324"/>
      <c r="E14" s="1712"/>
      <c r="F14" s="1711"/>
      <c r="G14" s="1711"/>
      <c r="H14" s="1711"/>
      <c r="I14" s="1612"/>
      <c r="J14" s="1710"/>
      <c r="K14" s="1710"/>
      <c r="L14" s="1710"/>
      <c r="M14" s="1709"/>
      <c r="N14" s="1710"/>
      <c r="O14" s="1710"/>
      <c r="P14" s="1710"/>
      <c r="Q14" s="1709"/>
      <c r="R14" s="1310"/>
    </row>
    <row r="15" spans="1:18" ht="13.5" customHeight="1">
      <c r="A15" s="1327"/>
      <c r="B15" s="1326"/>
      <c r="C15" s="1592"/>
      <c r="D15" s="1324"/>
      <c r="E15" s="1712"/>
      <c r="F15" s="1711"/>
      <c r="G15" s="1711"/>
      <c r="H15" s="1711"/>
      <c r="I15" s="1612"/>
      <c r="J15" s="1710"/>
      <c r="K15" s="1710"/>
      <c r="L15" s="1710"/>
      <c r="M15" s="1709"/>
      <c r="N15" s="1710"/>
      <c r="O15" s="1710"/>
      <c r="P15" s="1710"/>
      <c r="Q15" s="1709"/>
      <c r="R15" s="1310"/>
    </row>
    <row r="16" spans="1:18" ht="13.5" customHeight="1">
      <c r="A16" s="1327"/>
      <c r="B16" s="1326"/>
      <c r="C16" s="1592"/>
      <c r="D16" s="1324"/>
      <c r="E16" s="1712"/>
      <c r="F16" s="1711"/>
      <c r="G16" s="1711"/>
      <c r="H16" s="1711"/>
      <c r="I16" s="1612"/>
      <c r="J16" s="1710"/>
      <c r="K16" s="1710"/>
      <c r="L16" s="1710"/>
      <c r="M16" s="1709"/>
      <c r="N16" s="1710"/>
      <c r="O16" s="1710"/>
      <c r="P16" s="1710"/>
      <c r="Q16" s="1709"/>
      <c r="R16" s="1310"/>
    </row>
    <row r="17" spans="1:18" ht="13.5" customHeight="1">
      <c r="A17" s="1327"/>
      <c r="B17" s="1326"/>
      <c r="C17" s="1592"/>
      <c r="D17" s="1324"/>
      <c r="E17" s="1712"/>
      <c r="F17" s="1711"/>
      <c r="G17" s="1711"/>
      <c r="H17" s="1711"/>
      <c r="I17" s="1612"/>
      <c r="J17" s="1710"/>
      <c r="K17" s="1710"/>
      <c r="L17" s="1710"/>
      <c r="M17" s="1709"/>
      <c r="N17" s="1710"/>
      <c r="O17" s="1710"/>
      <c r="P17" s="1710"/>
      <c r="Q17" s="1709"/>
      <c r="R17" s="1310"/>
    </row>
    <row r="18" spans="1:18" ht="13.5" customHeight="1">
      <c r="A18" s="1327"/>
      <c r="B18" s="1326"/>
      <c r="C18" s="1592"/>
      <c r="D18" s="1324"/>
      <c r="E18" s="1712"/>
      <c r="F18" s="1711"/>
      <c r="G18" s="1711"/>
      <c r="H18" s="1711"/>
      <c r="I18" s="1612"/>
      <c r="J18" s="1710"/>
      <c r="K18" s="1710"/>
      <c r="L18" s="1710"/>
      <c r="M18" s="1709"/>
      <c r="N18" s="1710"/>
      <c r="O18" s="1710"/>
      <c r="P18" s="1710"/>
      <c r="Q18" s="1709"/>
      <c r="R18" s="1310"/>
    </row>
    <row r="19" spans="1:18" ht="13.5" customHeight="1">
      <c r="A19" s="1327"/>
      <c r="B19" s="1326"/>
      <c r="C19" s="1592"/>
      <c r="D19" s="1324"/>
      <c r="E19" s="1712"/>
      <c r="F19" s="1711"/>
      <c r="G19" s="1711"/>
      <c r="H19" s="1711"/>
      <c r="I19" s="1612"/>
      <c r="J19" s="1710"/>
      <c r="K19" s="1710"/>
      <c r="L19" s="1710"/>
      <c r="M19" s="1709"/>
      <c r="N19" s="1710"/>
      <c r="O19" s="1710"/>
      <c r="P19" s="1710"/>
      <c r="Q19" s="1709"/>
      <c r="R19" s="1310"/>
    </row>
    <row r="20" spans="1:18" ht="13.5" customHeight="1">
      <c r="A20" s="1327"/>
      <c r="B20" s="1326"/>
      <c r="C20" s="1592"/>
      <c r="D20" s="1324"/>
      <c r="E20" s="1712"/>
      <c r="F20" s="1711"/>
      <c r="G20" s="1711"/>
      <c r="H20" s="1711"/>
      <c r="I20" s="1612"/>
      <c r="J20" s="1710"/>
      <c r="K20" s="1710"/>
      <c r="L20" s="1710"/>
      <c r="M20" s="1709"/>
      <c r="N20" s="1710"/>
      <c r="O20" s="1710"/>
      <c r="P20" s="1710"/>
      <c r="Q20" s="1709"/>
      <c r="R20" s="1310"/>
    </row>
    <row r="21" spans="1:18" ht="13.5" customHeight="1">
      <c r="A21" s="1327"/>
      <c r="B21" s="1326"/>
      <c r="C21" s="1592"/>
      <c r="D21" s="1324"/>
      <c r="E21" s="1712"/>
      <c r="F21" s="1711"/>
      <c r="G21" s="1711"/>
      <c r="H21" s="1711"/>
      <c r="I21" s="1612"/>
      <c r="J21" s="1710"/>
      <c r="K21" s="1710"/>
      <c r="L21" s="1710"/>
      <c r="M21" s="1709"/>
      <c r="N21" s="1710"/>
      <c r="O21" s="1710"/>
      <c r="P21" s="1710"/>
      <c r="Q21" s="1709"/>
      <c r="R21" s="1310"/>
    </row>
    <row r="22" spans="1:18" ht="13.5" customHeight="1">
      <c r="A22" s="1327"/>
      <c r="B22" s="1326"/>
      <c r="C22" s="1592"/>
      <c r="D22" s="1324"/>
      <c r="E22" s="1712"/>
      <c r="F22" s="1711"/>
      <c r="G22" s="1711"/>
      <c r="H22" s="1711"/>
      <c r="I22" s="1612"/>
      <c r="J22" s="1710"/>
      <c r="K22" s="1710"/>
      <c r="L22" s="1710"/>
      <c r="M22" s="1709"/>
      <c r="N22" s="1710"/>
      <c r="O22" s="1710"/>
      <c r="P22" s="1710"/>
      <c r="Q22" s="1709"/>
      <c r="R22" s="1310"/>
    </row>
    <row r="23" spans="1:18" ht="13.5" customHeight="1">
      <c r="A23" s="1327"/>
      <c r="B23" s="1326"/>
      <c r="C23" s="1592"/>
      <c r="D23" s="1324"/>
      <c r="E23" s="1712"/>
      <c r="F23" s="1711"/>
      <c r="G23" s="1711"/>
      <c r="H23" s="1711"/>
      <c r="I23" s="1612"/>
      <c r="J23" s="1710"/>
      <c r="K23" s="1710"/>
      <c r="L23" s="1710"/>
      <c r="M23" s="1709"/>
      <c r="N23" s="1710"/>
      <c r="O23" s="1710"/>
      <c r="P23" s="1710"/>
      <c r="Q23" s="1709"/>
      <c r="R23" s="1310"/>
    </row>
    <row r="24" spans="1:18" ht="13.5" customHeight="1">
      <c r="A24" s="1327"/>
      <c r="B24" s="1326"/>
      <c r="C24" s="1592"/>
      <c r="D24" s="1324"/>
      <c r="E24" s="1712"/>
      <c r="F24" s="1711"/>
      <c r="G24" s="1711"/>
      <c r="H24" s="1711"/>
      <c r="I24" s="1612"/>
      <c r="J24" s="1710"/>
      <c r="K24" s="1710"/>
      <c r="L24" s="1710"/>
      <c r="M24" s="1709"/>
      <c r="N24" s="1710"/>
      <c r="O24" s="1710"/>
      <c r="P24" s="1710"/>
      <c r="Q24" s="1709"/>
      <c r="R24" s="1310"/>
    </row>
    <row r="25" spans="1:18" ht="13.5" customHeight="1">
      <c r="A25" s="1327"/>
      <c r="B25" s="1326"/>
      <c r="C25" s="1592"/>
      <c r="D25" s="1324"/>
      <c r="E25" s="1712"/>
      <c r="F25" s="1711"/>
      <c r="G25" s="1711"/>
      <c r="H25" s="1711"/>
      <c r="I25" s="1612"/>
      <c r="J25" s="1710"/>
      <c r="K25" s="1710"/>
      <c r="L25" s="1710"/>
      <c r="M25" s="1709"/>
      <c r="N25" s="1710"/>
      <c r="O25" s="1710"/>
      <c r="P25" s="1710"/>
      <c r="Q25" s="1709"/>
      <c r="R25" s="1310"/>
    </row>
    <row r="26" spans="1:18" ht="13.5" customHeight="1">
      <c r="A26" s="1327"/>
      <c r="B26" s="1326"/>
      <c r="C26" s="1592"/>
      <c r="D26" s="1324"/>
      <c r="E26" s="1712"/>
      <c r="F26" s="1711"/>
      <c r="G26" s="1711"/>
      <c r="H26" s="1711"/>
      <c r="I26" s="1612"/>
      <c r="J26" s="1710"/>
      <c r="K26" s="1710"/>
      <c r="L26" s="1710"/>
      <c r="M26" s="1709"/>
      <c r="N26" s="1710"/>
      <c r="O26" s="1710"/>
      <c r="P26" s="1710"/>
      <c r="Q26" s="1709"/>
      <c r="R26" s="1310"/>
    </row>
    <row r="27" spans="1:18" ht="13.5" customHeight="1">
      <c r="A27" s="1327"/>
      <c r="B27" s="1326"/>
      <c r="C27" s="1592"/>
      <c r="D27" s="1324"/>
      <c r="E27" s="1712"/>
      <c r="F27" s="1711"/>
      <c r="G27" s="1711"/>
      <c r="H27" s="1711"/>
      <c r="I27" s="1612"/>
      <c r="J27" s="1710"/>
      <c r="K27" s="1710"/>
      <c r="L27" s="1710"/>
      <c r="M27" s="1709"/>
      <c r="N27" s="1710"/>
      <c r="O27" s="1710"/>
      <c r="P27" s="1710"/>
      <c r="Q27" s="1709"/>
      <c r="R27" s="1310"/>
    </row>
    <row r="28" spans="1:18" ht="13.5" customHeight="1">
      <c r="A28" s="1327"/>
      <c r="B28" s="1326"/>
      <c r="C28" s="1592"/>
      <c r="D28" s="1324"/>
      <c r="E28" s="1712"/>
      <c r="F28" s="1711"/>
      <c r="G28" s="1711"/>
      <c r="H28" s="1711"/>
      <c r="I28" s="1612"/>
      <c r="J28" s="1710"/>
      <c r="K28" s="1710"/>
      <c r="L28" s="1710"/>
      <c r="M28" s="1709"/>
      <c r="N28" s="1710"/>
      <c r="O28" s="1710"/>
      <c r="P28" s="1710"/>
      <c r="Q28" s="1709"/>
      <c r="R28" s="1310"/>
    </row>
    <row r="29" spans="1:18" ht="13.5" customHeight="1">
      <c r="A29" s="1327"/>
      <c r="B29" s="1326"/>
      <c r="C29" s="1592"/>
      <c r="D29" s="1324"/>
      <c r="E29" s="1712"/>
      <c r="F29" s="1711"/>
      <c r="G29" s="1711"/>
      <c r="H29" s="1711"/>
      <c r="I29" s="1612"/>
      <c r="J29" s="1710"/>
      <c r="K29" s="1710"/>
      <c r="L29" s="1710"/>
      <c r="M29" s="1709"/>
      <c r="N29" s="1710"/>
      <c r="O29" s="1710"/>
      <c r="P29" s="1710"/>
      <c r="Q29" s="1709"/>
      <c r="R29" s="1310"/>
    </row>
    <row r="30" spans="1:18" ht="13.5" customHeight="1">
      <c r="A30" s="1327"/>
      <c r="B30" s="1326"/>
      <c r="C30" s="1592"/>
      <c r="D30" s="1324"/>
      <c r="E30" s="1712"/>
      <c r="F30" s="1711"/>
      <c r="G30" s="1711"/>
      <c r="H30" s="1711"/>
      <c r="I30" s="1612"/>
      <c r="J30" s="1710"/>
      <c r="K30" s="1710"/>
      <c r="L30" s="1710"/>
      <c r="M30" s="1709"/>
      <c r="N30" s="1710"/>
      <c r="O30" s="1710"/>
      <c r="P30" s="1710"/>
      <c r="Q30" s="1709"/>
      <c r="R30" s="1310"/>
    </row>
    <row r="31" spans="1:18" ht="13.5" customHeight="1">
      <c r="A31" s="1327"/>
      <c r="B31" s="1326"/>
      <c r="C31" s="1592"/>
      <c r="D31" s="1324"/>
      <c r="E31" s="1712"/>
      <c r="F31" s="1711"/>
      <c r="G31" s="1711"/>
      <c r="H31" s="1711"/>
      <c r="I31" s="1612"/>
      <c r="J31" s="1710"/>
      <c r="K31" s="1710"/>
      <c r="L31" s="1710"/>
      <c r="M31" s="1709"/>
      <c r="N31" s="1710"/>
      <c r="O31" s="1710"/>
      <c r="P31" s="1710"/>
      <c r="Q31" s="1709"/>
      <c r="R31" s="1310"/>
    </row>
    <row r="32" spans="1:18" ht="13.5" customHeight="1">
      <c r="A32" s="1327"/>
      <c r="B32" s="1326"/>
      <c r="C32" s="1592"/>
      <c r="D32" s="1324"/>
      <c r="E32" s="1712"/>
      <c r="F32" s="1711"/>
      <c r="G32" s="1711"/>
      <c r="H32" s="1711"/>
      <c r="I32" s="1612"/>
      <c r="J32" s="1710"/>
      <c r="K32" s="1710"/>
      <c r="L32" s="1710"/>
      <c r="M32" s="1709"/>
      <c r="N32" s="1710"/>
      <c r="O32" s="1710"/>
      <c r="P32" s="1710"/>
      <c r="Q32" s="1709"/>
      <c r="R32" s="1310"/>
    </row>
    <row r="33" spans="1:18" ht="13.5" customHeight="1">
      <c r="A33" s="1327"/>
      <c r="B33" s="1326"/>
      <c r="C33" s="1592"/>
      <c r="D33" s="1324"/>
      <c r="E33" s="1712"/>
      <c r="F33" s="1711"/>
      <c r="G33" s="1711"/>
      <c r="H33" s="1711"/>
      <c r="I33" s="1612"/>
      <c r="J33" s="1710"/>
      <c r="K33" s="1710"/>
      <c r="L33" s="1710"/>
      <c r="M33" s="1709"/>
      <c r="N33" s="1710"/>
      <c r="O33" s="1710"/>
      <c r="P33" s="1710"/>
      <c r="Q33" s="1709"/>
      <c r="R33" s="1310"/>
    </row>
    <row r="34" spans="1:18" ht="13.5" customHeight="1">
      <c r="A34" s="1327"/>
      <c r="B34" s="1326"/>
      <c r="C34" s="1592"/>
      <c r="D34" s="1324"/>
      <c r="E34" s="1712"/>
      <c r="F34" s="1711"/>
      <c r="G34" s="1711"/>
      <c r="H34" s="1711"/>
      <c r="I34" s="1612"/>
      <c r="J34" s="1710"/>
      <c r="K34" s="1710"/>
      <c r="L34" s="1710"/>
      <c r="M34" s="1709"/>
      <c r="N34" s="1710"/>
      <c r="O34" s="1710"/>
      <c r="P34" s="1710"/>
      <c r="Q34" s="1709"/>
      <c r="R34" s="1310"/>
    </row>
    <row r="35" spans="1:18" ht="13.5" customHeight="1">
      <c r="A35" s="1327"/>
      <c r="B35" s="1326"/>
      <c r="C35" s="1592"/>
      <c r="D35" s="1324"/>
      <c r="E35" s="1712"/>
      <c r="F35" s="1711"/>
      <c r="G35" s="1711"/>
      <c r="H35" s="1711"/>
      <c r="I35" s="1612"/>
      <c r="J35" s="1710"/>
      <c r="K35" s="1710"/>
      <c r="L35" s="1710"/>
      <c r="M35" s="1709"/>
      <c r="N35" s="1710"/>
      <c r="O35" s="1710"/>
      <c r="P35" s="1710"/>
      <c r="Q35" s="1709"/>
      <c r="R35" s="1310"/>
    </row>
    <row r="36" spans="1:18" ht="13.5" customHeight="1">
      <c r="A36" s="1327"/>
      <c r="B36" s="1326"/>
      <c r="C36" s="1592"/>
      <c r="D36" s="1324"/>
      <c r="E36" s="1712"/>
      <c r="F36" s="1711"/>
      <c r="G36" s="1711"/>
      <c r="H36" s="1711"/>
      <c r="I36" s="1612"/>
      <c r="J36" s="1710"/>
      <c r="K36" s="1710"/>
      <c r="L36" s="1710"/>
      <c r="M36" s="1709"/>
      <c r="N36" s="1710"/>
      <c r="O36" s="1710"/>
      <c r="P36" s="1710"/>
      <c r="Q36" s="1709"/>
      <c r="R36" s="1310"/>
    </row>
    <row r="37" spans="1:18" ht="13.5" customHeight="1">
      <c r="A37" s="1327"/>
      <c r="B37" s="1326"/>
      <c r="C37" s="1592"/>
      <c r="D37" s="1324"/>
      <c r="E37" s="1712"/>
      <c r="F37" s="1711"/>
      <c r="G37" s="1711"/>
      <c r="H37" s="1711"/>
      <c r="I37" s="1612"/>
      <c r="J37" s="1710"/>
      <c r="K37" s="1710"/>
      <c r="L37" s="1710"/>
      <c r="M37" s="1709"/>
      <c r="N37" s="1710"/>
      <c r="O37" s="1710"/>
      <c r="P37" s="1710"/>
      <c r="Q37" s="1709"/>
      <c r="R37" s="1310"/>
    </row>
    <row r="38" spans="1:18" ht="13.5" customHeight="1" thickBot="1">
      <c r="A38" s="1430"/>
      <c r="B38" s="1431"/>
      <c r="C38" s="1614"/>
      <c r="D38" s="1433"/>
      <c r="E38" s="1739"/>
      <c r="F38" s="1740"/>
      <c r="G38" s="1740"/>
      <c r="H38" s="1740"/>
      <c r="I38" s="1644"/>
      <c r="J38" s="1741"/>
      <c r="K38" s="1741"/>
      <c r="L38" s="1741"/>
      <c r="M38" s="1742"/>
      <c r="N38" s="1741"/>
      <c r="O38" s="1741"/>
      <c r="P38" s="1741"/>
      <c r="Q38" s="1742"/>
      <c r="R38" s="1447"/>
    </row>
    <row r="39" spans="1:18" ht="18.95" customHeight="1" thickTop="1">
      <c r="A39" s="1671" t="s">
        <v>956</v>
      </c>
      <c r="B39" s="1664"/>
      <c r="C39" s="1665"/>
      <c r="D39" s="1672">
        <v>212</v>
      </c>
      <c r="E39" s="1747"/>
      <c r="F39" s="1748"/>
      <c r="G39" s="1748"/>
      <c r="H39" s="1748"/>
      <c r="I39" s="1748"/>
      <c r="J39" s="1749">
        <v>59.6</v>
      </c>
      <c r="K39" s="1750">
        <v>74.5</v>
      </c>
      <c r="L39" s="1751">
        <v>0</v>
      </c>
      <c r="M39" s="1751">
        <v>0</v>
      </c>
      <c r="N39" s="1747">
        <v>55.7</v>
      </c>
      <c r="O39" s="1751">
        <v>69.699999999999989</v>
      </c>
      <c r="P39" s="1751">
        <v>0</v>
      </c>
      <c r="Q39" s="1751">
        <v>0</v>
      </c>
      <c r="R39" s="1752"/>
    </row>
    <row r="40" spans="1:18" ht="13.5" customHeight="1">
      <c r="A40" s="1677" t="s">
        <v>978</v>
      </c>
      <c r="B40" s="1613"/>
      <c r="C40" s="1678"/>
      <c r="D40" s="1679">
        <v>212</v>
      </c>
      <c r="E40" s="1753"/>
      <c r="F40" s="1754"/>
      <c r="G40" s="1754"/>
      <c r="H40" s="1754"/>
      <c r="I40" s="1754"/>
      <c r="J40" s="1704">
        <v>281.10000000000002</v>
      </c>
      <c r="K40" s="1755"/>
      <c r="L40" s="1755"/>
      <c r="M40" s="1755"/>
      <c r="N40" s="1680">
        <v>262.7</v>
      </c>
      <c r="O40" s="1755"/>
      <c r="P40" s="1755"/>
      <c r="Q40" s="1755"/>
      <c r="R40" s="1756"/>
    </row>
    <row r="48" spans="1:18" s="1297" customFormat="1" ht="13.5" customHeight="1">
      <c r="C48" s="1304"/>
      <c r="D48" s="1304"/>
      <c r="E48" s="1304"/>
      <c r="M48" s="1301"/>
      <c r="Q48" s="1301"/>
    </row>
    <row r="49" spans="3:17" s="1297" customFormat="1" ht="13.5" customHeight="1">
      <c r="C49" s="1304"/>
      <c r="D49" s="1304"/>
      <c r="E49" s="1304"/>
      <c r="F49" s="1305"/>
      <c r="G49" s="1305"/>
      <c r="H49" s="1305"/>
      <c r="I49" s="1305"/>
      <c r="J49" s="1305"/>
      <c r="K49" s="1305"/>
      <c r="L49" s="1305"/>
      <c r="M49" s="1301"/>
      <c r="N49" s="1305"/>
      <c r="O49" s="1305"/>
      <c r="P49" s="1305"/>
      <c r="Q49" s="1301"/>
    </row>
    <row r="50" spans="3:17" s="1297" customFormat="1" ht="13.5" customHeight="1">
      <c r="C50" s="1304"/>
      <c r="D50" s="1304"/>
      <c r="E50" s="1304"/>
      <c r="F50" s="1303"/>
      <c r="G50" s="1303"/>
      <c r="H50" s="1303"/>
      <c r="I50" s="1303"/>
      <c r="J50" s="1303"/>
      <c r="K50" s="1303"/>
      <c r="L50" s="1303"/>
      <c r="M50" s="1301"/>
      <c r="N50" s="1303"/>
      <c r="O50" s="1303"/>
      <c r="P50" s="1303"/>
      <c r="Q50" s="1301"/>
    </row>
    <row r="51" spans="3:17" s="1297" customFormat="1" ht="13.5" customHeight="1">
      <c r="C51" s="1302"/>
      <c r="D51" s="1302"/>
      <c r="E51" s="1302"/>
      <c r="F51" s="1301"/>
      <c r="G51" s="1301"/>
      <c r="H51" s="1301"/>
      <c r="I51" s="1301"/>
      <c r="J51" s="1301"/>
      <c r="K51" s="1301"/>
      <c r="L51" s="1301"/>
      <c r="N51" s="1301"/>
      <c r="O51" s="1301"/>
      <c r="P51" s="1301"/>
    </row>
  </sheetData>
  <mergeCells count="18">
    <mergeCell ref="A7:C7"/>
    <mergeCell ref="A10:C10"/>
    <mergeCell ref="A39:C39"/>
    <mergeCell ref="A40:C40"/>
    <mergeCell ref="A4:A6"/>
    <mergeCell ref="B4:B6"/>
    <mergeCell ref="C4:C6"/>
    <mergeCell ref="D4:D6"/>
    <mergeCell ref="E4:I4"/>
    <mergeCell ref="J4:Q4"/>
    <mergeCell ref="R4:R6"/>
    <mergeCell ref="E5:E6"/>
    <mergeCell ref="F5:F6"/>
    <mergeCell ref="G5:G6"/>
    <mergeCell ref="H5:H6"/>
    <mergeCell ref="I5:I6"/>
    <mergeCell ref="J5:M5"/>
    <mergeCell ref="N5:Q5"/>
  </mergeCells>
  <phoneticPr fontId="4"/>
  <pageMargins left="0.39370078740157483" right="0.39370078740157483" top="0.78740157480314965" bottom="0.55118110236220474" header="0.59055118110236227" footer="0.31496062992125984"/>
  <pageSetup paperSize="9" scale="75" fitToHeight="0" orientation="landscape" horizontalDpi="1200" verticalDpi="1200" r:id="rId1"/>
  <headerFooter scaleWithDoc="0" alignWithMargins="0">
    <oddFooter>&amp;C&amp;"ＭＳ Ｐゴシック,標準"&amp;9( &amp;P /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B54"/>
  <sheetViews>
    <sheetView showGridLines="0" zoomScale="80" zoomScaleNormal="80" workbookViewId="0"/>
  </sheetViews>
  <sheetFormatPr defaultColWidth="7.5703125" defaultRowHeight="15.95" customHeight="1"/>
  <cols>
    <col min="1" max="1" width="17.28515625" style="111" customWidth="1"/>
    <col min="2" max="6" width="7.7109375" style="54" customWidth="1"/>
    <col min="7" max="7" width="7.7109375" style="72" customWidth="1"/>
    <col min="8" max="12" width="7.7109375" style="54" customWidth="1"/>
    <col min="13" max="13" width="7.7109375" style="72" customWidth="1"/>
    <col min="14" max="18" width="7.7109375" style="54" customWidth="1"/>
    <col min="19" max="19" width="7.7109375" style="72" customWidth="1"/>
    <col min="20" max="23" width="7.7109375" style="54" customWidth="1"/>
    <col min="24" max="24" width="7.7109375" style="72" customWidth="1"/>
    <col min="25" max="25" width="7.7109375" style="54" customWidth="1"/>
    <col min="26" max="16384" width="7.5703125" style="54"/>
  </cols>
  <sheetData>
    <row r="1" spans="1:25" s="53" customFormat="1" ht="27.95" customHeight="1">
      <c r="A1" s="10" t="s">
        <v>27</v>
      </c>
      <c r="B1" s="50"/>
      <c r="C1" s="50"/>
      <c r="D1" s="50"/>
      <c r="E1" s="50"/>
      <c r="F1" s="50"/>
      <c r="G1" s="51"/>
      <c r="H1" s="50"/>
      <c r="I1" s="50"/>
      <c r="J1" s="50"/>
      <c r="K1" s="50"/>
      <c r="L1" s="50"/>
      <c r="M1" s="51"/>
      <c r="N1" s="50"/>
      <c r="O1" s="50"/>
      <c r="P1" s="50"/>
      <c r="Q1" s="50"/>
      <c r="R1" s="50"/>
      <c r="S1" s="51"/>
      <c r="T1" s="50"/>
      <c r="U1" s="50"/>
      <c r="V1" s="50"/>
      <c r="W1" s="50"/>
      <c r="X1" s="51"/>
      <c r="Y1" s="52"/>
    </row>
    <row r="2" spans="1:25" ht="8.1" customHeight="1">
      <c r="A2" s="54"/>
      <c r="G2" s="54"/>
      <c r="M2" s="54"/>
      <c r="S2" s="54"/>
      <c r="X2" s="54"/>
    </row>
    <row r="3" spans="1:25" ht="15.95" customHeight="1">
      <c r="A3" s="55" t="s">
        <v>28</v>
      </c>
      <c r="B3" s="55" t="s">
        <v>64</v>
      </c>
      <c r="C3" s="55"/>
      <c r="D3" s="56"/>
      <c r="E3" s="56"/>
      <c r="F3" s="56"/>
      <c r="G3" s="56"/>
      <c r="H3" s="56"/>
      <c r="I3" s="56"/>
      <c r="J3" s="56"/>
      <c r="K3" s="56"/>
      <c r="L3" s="56"/>
      <c r="M3" s="56"/>
      <c r="N3" s="56"/>
      <c r="O3" s="56"/>
      <c r="P3" s="56"/>
      <c r="Q3" s="56"/>
      <c r="R3" s="56"/>
      <c r="S3" s="56"/>
      <c r="T3" s="56"/>
      <c r="U3" s="56"/>
      <c r="V3" s="56"/>
      <c r="W3" s="56"/>
      <c r="X3" s="57"/>
      <c r="Y3" s="57"/>
    </row>
    <row r="4" spans="1:25" ht="15.95" customHeight="1" thickBot="1">
      <c r="A4" s="54"/>
      <c r="G4" s="54"/>
      <c r="M4" s="54"/>
      <c r="S4" s="54"/>
      <c r="X4" s="54"/>
    </row>
    <row r="5" spans="1:25" ht="15.95" customHeight="1">
      <c r="A5" s="58" t="s">
        <v>29</v>
      </c>
      <c r="B5" s="59"/>
      <c r="C5" s="60"/>
      <c r="G5" s="54"/>
      <c r="M5" s="54"/>
      <c r="S5" s="54"/>
      <c r="X5" s="54"/>
    </row>
    <row r="6" spans="1:25" ht="15.95" customHeight="1" thickBot="1">
      <c r="A6" s="54"/>
      <c r="G6" s="54"/>
      <c r="M6" s="54"/>
      <c r="S6" s="54"/>
      <c r="X6" s="54"/>
    </row>
    <row r="7" spans="1:25" ht="15.95" customHeight="1">
      <c r="A7" s="37" t="s">
        <v>30</v>
      </c>
      <c r="B7" s="61"/>
      <c r="C7" s="61"/>
      <c r="D7" s="61"/>
      <c r="E7" s="62"/>
      <c r="F7" s="61"/>
      <c r="G7" s="61"/>
      <c r="H7" s="61"/>
      <c r="I7" s="61"/>
      <c r="J7" s="61"/>
      <c r="K7" s="62"/>
      <c r="L7" s="61"/>
      <c r="M7" s="61"/>
      <c r="N7" s="61"/>
      <c r="O7" s="61"/>
      <c r="P7" s="61"/>
      <c r="Q7" s="62"/>
      <c r="R7" s="61"/>
      <c r="S7" s="61"/>
      <c r="T7" s="61"/>
      <c r="U7" s="61"/>
      <c r="V7" s="62"/>
      <c r="X7" s="54"/>
      <c r="Y7" s="63" t="s">
        <v>31</v>
      </c>
    </row>
    <row r="8" spans="1:25" ht="15.95" customHeight="1">
      <c r="A8" s="64"/>
      <c r="B8" s="65">
        <v>1</v>
      </c>
      <c r="C8" s="66">
        <v>2</v>
      </c>
      <c r="D8" s="66">
        <v>3</v>
      </c>
      <c r="E8" s="66">
        <v>4</v>
      </c>
      <c r="F8" s="66">
        <v>5</v>
      </c>
      <c r="G8" s="66">
        <v>6</v>
      </c>
      <c r="H8" s="66">
        <v>7</v>
      </c>
      <c r="I8" s="66">
        <v>8</v>
      </c>
      <c r="J8" s="66">
        <v>9</v>
      </c>
      <c r="K8" s="66">
        <v>10</v>
      </c>
      <c r="L8" s="66">
        <v>11</v>
      </c>
      <c r="M8" s="66">
        <v>12</v>
      </c>
      <c r="N8" s="66">
        <v>13</v>
      </c>
      <c r="O8" s="66">
        <v>14</v>
      </c>
      <c r="P8" s="66">
        <v>15</v>
      </c>
      <c r="Q8" s="66">
        <v>16</v>
      </c>
      <c r="R8" s="66">
        <v>17</v>
      </c>
      <c r="S8" s="66">
        <v>18</v>
      </c>
      <c r="T8" s="66">
        <v>19</v>
      </c>
      <c r="U8" s="66">
        <v>20</v>
      </c>
      <c r="V8" s="66">
        <v>21</v>
      </c>
      <c r="W8" s="66">
        <v>22</v>
      </c>
      <c r="X8" s="66">
        <v>23</v>
      </c>
      <c r="Y8" s="67">
        <v>24</v>
      </c>
    </row>
    <row r="9" spans="1:25" ht="15.95" customHeight="1">
      <c r="A9" s="68" t="s">
        <v>32</v>
      </c>
      <c r="B9" s="69">
        <v>24</v>
      </c>
      <c r="C9" s="70">
        <v>23.8</v>
      </c>
      <c r="D9" s="70">
        <v>23.5</v>
      </c>
      <c r="E9" s="70">
        <v>23.2</v>
      </c>
      <c r="F9" s="70">
        <v>23.1</v>
      </c>
      <c r="G9" s="70">
        <v>23.5</v>
      </c>
      <c r="H9" s="70">
        <v>24.7</v>
      </c>
      <c r="I9" s="70">
        <v>26</v>
      </c>
      <c r="J9" s="70">
        <v>27.6</v>
      </c>
      <c r="K9" s="70">
        <v>29</v>
      </c>
      <c r="L9" s="70">
        <v>30.1</v>
      </c>
      <c r="M9" s="70">
        <v>30.8</v>
      </c>
      <c r="N9" s="70">
        <v>31.6</v>
      </c>
      <c r="O9" s="70">
        <v>31.7</v>
      </c>
      <c r="P9" s="140">
        <v>31.6</v>
      </c>
      <c r="Q9" s="70">
        <v>31</v>
      </c>
      <c r="R9" s="70">
        <v>29.8</v>
      </c>
      <c r="S9" s="70">
        <v>28.6</v>
      </c>
      <c r="T9" s="70">
        <v>27.5</v>
      </c>
      <c r="U9" s="70">
        <v>26.5</v>
      </c>
      <c r="V9" s="70">
        <v>25.9</v>
      </c>
      <c r="W9" s="70">
        <v>25.3</v>
      </c>
      <c r="X9" s="70">
        <v>24.8</v>
      </c>
      <c r="Y9" s="71">
        <v>24.4</v>
      </c>
    </row>
    <row r="10" spans="1:25" ht="15.95" customHeight="1">
      <c r="A10" s="68" t="s">
        <v>33</v>
      </c>
      <c r="B10" s="69">
        <v>17.7</v>
      </c>
      <c r="C10" s="70">
        <v>17.600000000000001</v>
      </c>
      <c r="D10" s="70">
        <v>17.3</v>
      </c>
      <c r="E10" s="70">
        <v>17.100000000000001</v>
      </c>
      <c r="F10" s="70">
        <v>17</v>
      </c>
      <c r="G10" s="70">
        <v>17.100000000000001</v>
      </c>
      <c r="H10" s="70">
        <v>17.600000000000001</v>
      </c>
      <c r="I10" s="70">
        <v>17.8</v>
      </c>
      <c r="J10" s="70">
        <v>17.5</v>
      </c>
      <c r="K10" s="70">
        <v>17.5</v>
      </c>
      <c r="L10" s="70">
        <v>17.600000000000001</v>
      </c>
      <c r="M10" s="70">
        <v>17.399999999999999</v>
      </c>
      <c r="N10" s="70">
        <v>17.399999999999999</v>
      </c>
      <c r="O10" s="70">
        <v>17.3</v>
      </c>
      <c r="P10" s="140">
        <v>17.600000000000001</v>
      </c>
      <c r="Q10" s="70">
        <v>17.600000000000001</v>
      </c>
      <c r="R10" s="70">
        <v>17.600000000000001</v>
      </c>
      <c r="S10" s="70">
        <v>17.8</v>
      </c>
      <c r="T10" s="70">
        <v>17.899999999999999</v>
      </c>
      <c r="U10" s="70">
        <v>17.899999999999999</v>
      </c>
      <c r="V10" s="70">
        <v>18</v>
      </c>
      <c r="W10" s="70">
        <v>17.899999999999999</v>
      </c>
      <c r="X10" s="70">
        <v>17.899999999999999</v>
      </c>
      <c r="Y10" s="71">
        <v>17.8</v>
      </c>
    </row>
    <row r="11" spans="1:25" ht="15.95" customHeight="1">
      <c r="A11" s="68" t="s">
        <v>34</v>
      </c>
      <c r="B11" s="69">
        <v>69.2</v>
      </c>
      <c r="C11" s="70">
        <v>68.7</v>
      </c>
      <c r="D11" s="70">
        <v>67.599999999999994</v>
      </c>
      <c r="E11" s="70">
        <v>66.8</v>
      </c>
      <c r="F11" s="70">
        <v>66.5</v>
      </c>
      <c r="G11" s="70">
        <v>67.099999999999994</v>
      </c>
      <c r="H11" s="70">
        <v>69.7</v>
      </c>
      <c r="I11" s="70">
        <v>71.5</v>
      </c>
      <c r="J11" s="70">
        <v>72.400000000000006</v>
      </c>
      <c r="K11" s="70">
        <v>73.900000000000006</v>
      </c>
      <c r="L11" s="70">
        <v>75.3</v>
      </c>
      <c r="M11" s="70">
        <v>75.5</v>
      </c>
      <c r="N11" s="70">
        <v>76.3</v>
      </c>
      <c r="O11" s="70">
        <v>76.099999999999994</v>
      </c>
      <c r="P11" s="140">
        <v>76.8</v>
      </c>
      <c r="Q11" s="70">
        <v>76.2</v>
      </c>
      <c r="R11" s="70">
        <v>74.900000000000006</v>
      </c>
      <c r="S11" s="70">
        <v>74.2</v>
      </c>
      <c r="T11" s="70">
        <v>73.3</v>
      </c>
      <c r="U11" s="70">
        <v>72.3</v>
      </c>
      <c r="V11" s="70">
        <v>71.900000000000006</v>
      </c>
      <c r="W11" s="70">
        <v>71</v>
      </c>
      <c r="X11" s="70">
        <v>70.5</v>
      </c>
      <c r="Y11" s="71">
        <v>69.8</v>
      </c>
    </row>
    <row r="12" spans="1:25" ht="15.95" customHeight="1" thickBot="1">
      <c r="A12" s="54"/>
    </row>
    <row r="13" spans="1:25" ht="15.95" customHeight="1">
      <c r="A13" s="38" t="s">
        <v>35</v>
      </c>
      <c r="B13" s="61"/>
      <c r="C13" s="61"/>
      <c r="D13" s="61"/>
      <c r="E13" s="62"/>
      <c r="F13" s="61"/>
      <c r="G13" s="61"/>
      <c r="H13" s="61"/>
      <c r="I13" s="61"/>
      <c r="J13" s="61"/>
      <c r="K13" s="62"/>
      <c r="L13" s="61"/>
      <c r="M13" s="61"/>
      <c r="N13" s="61"/>
      <c r="O13" s="61"/>
      <c r="P13" s="61"/>
      <c r="Q13" s="62"/>
      <c r="R13" s="61"/>
      <c r="S13" s="61"/>
      <c r="T13" s="61"/>
      <c r="U13" s="61"/>
      <c r="V13" s="62"/>
      <c r="X13" s="54"/>
      <c r="Y13" s="63" t="s">
        <v>31</v>
      </c>
    </row>
    <row r="14" spans="1:25" ht="15.95" customHeight="1">
      <c r="A14" s="64"/>
      <c r="B14" s="65">
        <v>1</v>
      </c>
      <c r="C14" s="66">
        <v>2</v>
      </c>
      <c r="D14" s="66">
        <v>3</v>
      </c>
      <c r="E14" s="66">
        <v>4</v>
      </c>
      <c r="F14" s="66">
        <v>5</v>
      </c>
      <c r="G14" s="66">
        <v>6</v>
      </c>
      <c r="H14" s="66">
        <v>7</v>
      </c>
      <c r="I14" s="66">
        <v>8</v>
      </c>
      <c r="J14" s="66">
        <v>9</v>
      </c>
      <c r="K14" s="66">
        <v>10</v>
      </c>
      <c r="L14" s="66">
        <v>11</v>
      </c>
      <c r="M14" s="66">
        <v>12</v>
      </c>
      <c r="N14" s="66">
        <v>13</v>
      </c>
      <c r="O14" s="66">
        <v>14</v>
      </c>
      <c r="P14" s="66">
        <v>15</v>
      </c>
      <c r="Q14" s="66">
        <v>16</v>
      </c>
      <c r="R14" s="66">
        <v>17</v>
      </c>
      <c r="S14" s="66">
        <v>18</v>
      </c>
      <c r="T14" s="66">
        <v>19</v>
      </c>
      <c r="U14" s="66">
        <v>20</v>
      </c>
      <c r="V14" s="66">
        <v>21</v>
      </c>
      <c r="W14" s="66">
        <v>22</v>
      </c>
      <c r="X14" s="66">
        <v>23</v>
      </c>
      <c r="Y14" s="67">
        <v>24</v>
      </c>
    </row>
    <row r="15" spans="1:25" ht="15.95" customHeight="1">
      <c r="A15" s="68" t="s">
        <v>32</v>
      </c>
      <c r="B15" s="69">
        <v>23.5</v>
      </c>
      <c r="C15" s="70">
        <v>23.2</v>
      </c>
      <c r="D15" s="70">
        <v>22.9</v>
      </c>
      <c r="E15" s="70">
        <v>22.6</v>
      </c>
      <c r="F15" s="70">
        <v>22.3</v>
      </c>
      <c r="G15" s="70">
        <v>23.1</v>
      </c>
      <c r="H15" s="70">
        <v>25</v>
      </c>
      <c r="I15" s="70">
        <v>26.8</v>
      </c>
      <c r="J15" s="70">
        <v>28.6</v>
      </c>
      <c r="K15" s="70">
        <v>30.1</v>
      </c>
      <c r="L15" s="140">
        <v>30.9</v>
      </c>
      <c r="M15" s="70">
        <v>31.6</v>
      </c>
      <c r="N15" s="70">
        <v>32.200000000000003</v>
      </c>
      <c r="O15" s="70">
        <v>32.5</v>
      </c>
      <c r="P15" s="70">
        <v>32.200000000000003</v>
      </c>
      <c r="Q15" s="70">
        <v>31.9</v>
      </c>
      <c r="R15" s="70">
        <v>30.9</v>
      </c>
      <c r="S15" s="70">
        <v>29.4</v>
      </c>
      <c r="T15" s="70">
        <v>27.6</v>
      </c>
      <c r="U15" s="70">
        <v>26.3</v>
      </c>
      <c r="V15" s="70">
        <v>25.6</v>
      </c>
      <c r="W15" s="70">
        <v>25</v>
      </c>
      <c r="X15" s="70">
        <v>24.3</v>
      </c>
      <c r="Y15" s="71">
        <v>23.8</v>
      </c>
    </row>
    <row r="16" spans="1:25" ht="15.95" customHeight="1">
      <c r="A16" s="68" t="s">
        <v>33</v>
      </c>
      <c r="B16" s="69">
        <v>16.3</v>
      </c>
      <c r="C16" s="70">
        <v>16</v>
      </c>
      <c r="D16" s="70">
        <v>15.7</v>
      </c>
      <c r="E16" s="70">
        <v>15.5</v>
      </c>
      <c r="F16" s="70">
        <v>15.4</v>
      </c>
      <c r="G16" s="70">
        <v>15.7</v>
      </c>
      <c r="H16" s="70">
        <v>16</v>
      </c>
      <c r="I16" s="70">
        <v>16.3</v>
      </c>
      <c r="J16" s="70">
        <v>16</v>
      </c>
      <c r="K16" s="70">
        <v>16</v>
      </c>
      <c r="L16" s="140">
        <v>15.8</v>
      </c>
      <c r="M16" s="70">
        <v>15.4</v>
      </c>
      <c r="N16" s="70">
        <v>15.2</v>
      </c>
      <c r="O16" s="70">
        <v>15</v>
      </c>
      <c r="P16" s="70">
        <v>15.2</v>
      </c>
      <c r="Q16" s="70">
        <v>15</v>
      </c>
      <c r="R16" s="70">
        <v>15.4</v>
      </c>
      <c r="S16" s="70">
        <v>15.9</v>
      </c>
      <c r="T16" s="70">
        <v>16.3</v>
      </c>
      <c r="U16" s="70">
        <v>16.600000000000001</v>
      </c>
      <c r="V16" s="70">
        <v>16.7</v>
      </c>
      <c r="W16" s="70">
        <v>16.8</v>
      </c>
      <c r="X16" s="70">
        <v>16.7</v>
      </c>
      <c r="Y16" s="71">
        <v>16.5</v>
      </c>
    </row>
    <row r="17" spans="1:25" ht="15.95" customHeight="1">
      <c r="A17" s="68" t="s">
        <v>34</v>
      </c>
      <c r="B17" s="69">
        <v>65.099999999999994</v>
      </c>
      <c r="C17" s="70">
        <v>64</v>
      </c>
      <c r="D17" s="70">
        <v>63</v>
      </c>
      <c r="E17" s="70">
        <v>62.1</v>
      </c>
      <c r="F17" s="70">
        <v>61.6</v>
      </c>
      <c r="G17" s="70">
        <v>63.2</v>
      </c>
      <c r="H17" s="70">
        <v>65.900000000000006</v>
      </c>
      <c r="I17" s="70">
        <v>68.5</v>
      </c>
      <c r="J17" s="70">
        <v>69.599999999999994</v>
      </c>
      <c r="K17" s="70">
        <v>71.2</v>
      </c>
      <c r="L17" s="140">
        <v>71.5</v>
      </c>
      <c r="M17" s="70">
        <v>71.2</v>
      </c>
      <c r="N17" s="70">
        <v>71.3</v>
      </c>
      <c r="O17" s="70">
        <v>71.099999999999994</v>
      </c>
      <c r="P17" s="70">
        <v>71.3</v>
      </c>
      <c r="Q17" s="70">
        <v>70.5</v>
      </c>
      <c r="R17" s="70">
        <v>70.5</v>
      </c>
      <c r="S17" s="70">
        <v>70.2</v>
      </c>
      <c r="T17" s="70">
        <v>69.3</v>
      </c>
      <c r="U17" s="70">
        <v>68.8</v>
      </c>
      <c r="V17" s="70">
        <v>68.3</v>
      </c>
      <c r="W17" s="70">
        <v>67.900000000000006</v>
      </c>
      <c r="X17" s="70">
        <v>66.900000000000006</v>
      </c>
      <c r="Y17" s="71">
        <v>65.900000000000006</v>
      </c>
    </row>
    <row r="18" spans="1:25" ht="15.95" customHeight="1" thickBot="1">
      <c r="A18" s="54"/>
    </row>
    <row r="19" spans="1:25" ht="15.95" customHeight="1">
      <c r="A19" s="39" t="s">
        <v>36</v>
      </c>
      <c r="B19" s="61"/>
      <c r="C19" s="61"/>
      <c r="D19" s="61"/>
      <c r="E19" s="62"/>
      <c r="F19" s="61"/>
      <c r="G19" s="61"/>
      <c r="H19" s="61"/>
      <c r="I19" s="61"/>
      <c r="J19" s="61"/>
      <c r="K19" s="62"/>
      <c r="L19" s="61"/>
      <c r="M19" s="61"/>
      <c r="N19" s="61"/>
      <c r="O19" s="61"/>
      <c r="P19" s="61"/>
      <c r="Q19" s="62"/>
      <c r="R19" s="61"/>
      <c r="S19" s="61"/>
      <c r="T19" s="61"/>
      <c r="U19" s="61"/>
      <c r="V19" s="62"/>
      <c r="X19" s="54"/>
      <c r="Y19" s="63" t="s">
        <v>31</v>
      </c>
    </row>
    <row r="20" spans="1:25" ht="15.95" customHeight="1">
      <c r="A20" s="64"/>
      <c r="B20" s="65">
        <v>1</v>
      </c>
      <c r="C20" s="66">
        <v>2</v>
      </c>
      <c r="D20" s="66">
        <v>3</v>
      </c>
      <c r="E20" s="66">
        <v>4</v>
      </c>
      <c r="F20" s="66">
        <v>5</v>
      </c>
      <c r="G20" s="66">
        <v>6</v>
      </c>
      <c r="H20" s="66">
        <v>7</v>
      </c>
      <c r="I20" s="66">
        <v>8</v>
      </c>
      <c r="J20" s="66">
        <v>9</v>
      </c>
      <c r="K20" s="66">
        <v>10</v>
      </c>
      <c r="L20" s="66">
        <v>11</v>
      </c>
      <c r="M20" s="66">
        <v>12</v>
      </c>
      <c r="N20" s="66">
        <v>13</v>
      </c>
      <c r="O20" s="66">
        <v>14</v>
      </c>
      <c r="P20" s="66">
        <v>15</v>
      </c>
      <c r="Q20" s="66">
        <v>16</v>
      </c>
      <c r="R20" s="66">
        <v>17</v>
      </c>
      <c r="S20" s="66">
        <v>18</v>
      </c>
      <c r="T20" s="66">
        <v>19</v>
      </c>
      <c r="U20" s="66">
        <v>20</v>
      </c>
      <c r="V20" s="66">
        <v>21</v>
      </c>
      <c r="W20" s="66">
        <v>22</v>
      </c>
      <c r="X20" s="66">
        <v>23</v>
      </c>
      <c r="Y20" s="67">
        <v>24</v>
      </c>
    </row>
    <row r="21" spans="1:25" ht="15.95" customHeight="1">
      <c r="A21" s="68" t="s">
        <v>32</v>
      </c>
      <c r="B21" s="69">
        <v>18.7</v>
      </c>
      <c r="C21" s="70">
        <v>18.5</v>
      </c>
      <c r="D21" s="70">
        <v>18.3</v>
      </c>
      <c r="E21" s="70">
        <v>18.100000000000001</v>
      </c>
      <c r="F21" s="70">
        <v>17.899999999999999</v>
      </c>
      <c r="G21" s="70">
        <v>18.2</v>
      </c>
      <c r="H21" s="70">
        <v>19.7</v>
      </c>
      <c r="I21" s="70">
        <v>21.7</v>
      </c>
      <c r="J21" s="70">
        <v>23.4</v>
      </c>
      <c r="K21" s="70">
        <v>24.7</v>
      </c>
      <c r="L21" s="70">
        <v>25.7</v>
      </c>
      <c r="M21" s="70">
        <v>26.6</v>
      </c>
      <c r="N21" s="70">
        <v>27</v>
      </c>
      <c r="O21" s="70">
        <v>26.9</v>
      </c>
      <c r="P21" s="140">
        <v>26.7</v>
      </c>
      <c r="Q21" s="70">
        <v>25.8</v>
      </c>
      <c r="R21" s="70">
        <v>24.3</v>
      </c>
      <c r="S21" s="70">
        <v>22.5</v>
      </c>
      <c r="T21" s="70">
        <v>21.3</v>
      </c>
      <c r="U21" s="70">
        <v>20.6</v>
      </c>
      <c r="V21" s="70">
        <v>20.2</v>
      </c>
      <c r="W21" s="70">
        <v>19.7</v>
      </c>
      <c r="X21" s="70">
        <v>19.399999999999999</v>
      </c>
      <c r="Y21" s="71">
        <v>19.100000000000001</v>
      </c>
    </row>
    <row r="22" spans="1:25" ht="15.95" customHeight="1">
      <c r="A22" s="68" t="s">
        <v>33</v>
      </c>
      <c r="B22" s="69">
        <v>12.7</v>
      </c>
      <c r="C22" s="70">
        <v>12.5</v>
      </c>
      <c r="D22" s="70">
        <v>12.3</v>
      </c>
      <c r="E22" s="70">
        <v>12.1</v>
      </c>
      <c r="F22" s="70">
        <v>11.9</v>
      </c>
      <c r="G22" s="70">
        <v>11.6</v>
      </c>
      <c r="H22" s="70">
        <v>11.7</v>
      </c>
      <c r="I22" s="70">
        <v>11.8</v>
      </c>
      <c r="J22" s="70">
        <v>11.8</v>
      </c>
      <c r="K22" s="70">
        <v>11.5</v>
      </c>
      <c r="L22" s="70">
        <v>11.1</v>
      </c>
      <c r="M22" s="70">
        <v>11</v>
      </c>
      <c r="N22" s="70">
        <v>10.8</v>
      </c>
      <c r="O22" s="70">
        <v>11.2</v>
      </c>
      <c r="P22" s="140">
        <v>11.4</v>
      </c>
      <c r="Q22" s="70">
        <v>11.2</v>
      </c>
      <c r="R22" s="70">
        <v>12</v>
      </c>
      <c r="S22" s="70">
        <v>12.4</v>
      </c>
      <c r="T22" s="70">
        <v>12.7</v>
      </c>
      <c r="U22" s="70">
        <v>13</v>
      </c>
      <c r="V22" s="70">
        <v>13.2</v>
      </c>
      <c r="W22" s="70">
        <v>13.2</v>
      </c>
      <c r="X22" s="70">
        <v>13.1</v>
      </c>
      <c r="Y22" s="71">
        <v>12.9</v>
      </c>
    </row>
    <row r="23" spans="1:25" ht="15.95" customHeight="1">
      <c r="A23" s="68" t="s">
        <v>34</v>
      </c>
      <c r="B23" s="69">
        <v>51</v>
      </c>
      <c r="C23" s="70">
        <v>50.3</v>
      </c>
      <c r="D23" s="70">
        <v>49.6</v>
      </c>
      <c r="E23" s="70">
        <v>48.9</v>
      </c>
      <c r="F23" s="70">
        <v>48.2</v>
      </c>
      <c r="G23" s="70">
        <v>47.7</v>
      </c>
      <c r="H23" s="70">
        <v>49.5</v>
      </c>
      <c r="I23" s="70">
        <v>51.8</v>
      </c>
      <c r="J23" s="70">
        <v>53.6</v>
      </c>
      <c r="K23" s="70">
        <v>54.1</v>
      </c>
      <c r="L23" s="70">
        <v>54.1</v>
      </c>
      <c r="M23" s="70">
        <v>54.8</v>
      </c>
      <c r="N23" s="70">
        <v>54.7</v>
      </c>
      <c r="O23" s="70">
        <v>55.6</v>
      </c>
      <c r="P23" s="140">
        <v>55.9</v>
      </c>
      <c r="Q23" s="70">
        <v>54.5</v>
      </c>
      <c r="R23" s="70">
        <v>55</v>
      </c>
      <c r="S23" s="70">
        <v>54.2</v>
      </c>
      <c r="T23" s="70">
        <v>53.7</v>
      </c>
      <c r="U23" s="70">
        <v>53.7</v>
      </c>
      <c r="V23" s="70">
        <v>53.8</v>
      </c>
      <c r="W23" s="70">
        <v>53.3</v>
      </c>
      <c r="X23" s="70">
        <v>52.7</v>
      </c>
      <c r="Y23" s="71">
        <v>51.9</v>
      </c>
    </row>
    <row r="24" spans="1:25" ht="15.95" customHeight="1" thickBot="1">
      <c r="A24" s="73"/>
    </row>
    <row r="25" spans="1:25" ht="15.95" customHeight="1">
      <c r="A25" s="74" t="s">
        <v>37</v>
      </c>
      <c r="B25" s="75"/>
      <c r="C25" s="76"/>
    </row>
    <row r="26" spans="1:25" ht="15.95" customHeight="1" thickBot="1">
      <c r="A26" s="54"/>
    </row>
    <row r="27" spans="1:25" ht="15.95" customHeight="1">
      <c r="A27" s="77" t="s">
        <v>38</v>
      </c>
      <c r="B27" s="61"/>
      <c r="C27" s="61"/>
      <c r="D27" s="61"/>
      <c r="E27" s="62"/>
      <c r="F27" s="61"/>
      <c r="G27" s="61"/>
      <c r="H27" s="61"/>
      <c r="I27" s="61"/>
      <c r="J27" s="61"/>
      <c r="K27" s="62"/>
      <c r="L27" s="61"/>
      <c r="M27" s="61"/>
      <c r="N27" s="61"/>
      <c r="O27" s="61"/>
      <c r="P27" s="61"/>
      <c r="Q27" s="62"/>
      <c r="R27" s="61"/>
      <c r="S27" s="61"/>
      <c r="T27" s="61"/>
      <c r="U27" s="61"/>
      <c r="V27" s="62"/>
      <c r="X27" s="54"/>
    </row>
    <row r="28" spans="1:25" ht="15.95" customHeight="1">
      <c r="A28" s="78"/>
      <c r="B28" s="79" t="s">
        <v>39</v>
      </c>
      <c r="C28" s="80"/>
      <c r="D28" s="80"/>
      <c r="E28" s="81"/>
      <c r="F28" s="79" t="s">
        <v>40</v>
      </c>
      <c r="G28" s="80"/>
      <c r="H28" s="80"/>
      <c r="I28" s="80"/>
      <c r="J28" s="80"/>
      <c r="K28" s="81"/>
      <c r="L28" s="79" t="s">
        <v>41</v>
      </c>
      <c r="M28" s="80"/>
      <c r="N28" s="80"/>
      <c r="O28" s="81"/>
      <c r="S28" s="54"/>
      <c r="X28" s="54"/>
    </row>
    <row r="29" spans="1:25" ht="15.95" customHeight="1">
      <c r="A29" s="82"/>
      <c r="B29" s="83" t="s">
        <v>42</v>
      </c>
      <c r="C29" s="84"/>
      <c r="D29" s="83" t="s">
        <v>43</v>
      </c>
      <c r="E29" s="84"/>
      <c r="F29" s="83" t="s">
        <v>44</v>
      </c>
      <c r="G29" s="85"/>
      <c r="H29" s="83" t="s">
        <v>45</v>
      </c>
      <c r="I29" s="84"/>
      <c r="J29" s="85" t="s">
        <v>46</v>
      </c>
      <c r="K29" s="84"/>
      <c r="L29" s="83" t="s">
        <v>42</v>
      </c>
      <c r="M29" s="84"/>
      <c r="N29" s="83" t="s">
        <v>43</v>
      </c>
      <c r="O29" s="84"/>
      <c r="Q29" s="86"/>
      <c r="S29" s="54"/>
      <c r="X29" s="54"/>
    </row>
    <row r="30" spans="1:25" ht="15.95" customHeight="1">
      <c r="A30" s="87"/>
      <c r="B30" s="88" t="s">
        <v>47</v>
      </c>
      <c r="C30" s="89" t="s">
        <v>48</v>
      </c>
      <c r="D30" s="90" t="s">
        <v>47</v>
      </c>
      <c r="E30" s="91" t="s">
        <v>48</v>
      </c>
      <c r="F30" s="88" t="s">
        <v>42</v>
      </c>
      <c r="G30" s="92" t="s">
        <v>43</v>
      </c>
      <c r="H30" s="88" t="s">
        <v>42</v>
      </c>
      <c r="I30" s="93" t="s">
        <v>43</v>
      </c>
      <c r="J30" s="94" t="s">
        <v>42</v>
      </c>
      <c r="K30" s="95" t="s">
        <v>43</v>
      </c>
      <c r="L30" s="88" t="s">
        <v>47</v>
      </c>
      <c r="M30" s="96" t="s">
        <v>48</v>
      </c>
      <c r="N30" s="90" t="s">
        <v>47</v>
      </c>
      <c r="O30" s="97" t="s">
        <v>48</v>
      </c>
      <c r="Q30" s="98"/>
      <c r="S30" s="54"/>
      <c r="X30" s="54"/>
    </row>
    <row r="31" spans="1:25" ht="15.95" customHeight="1">
      <c r="A31" s="68" t="s">
        <v>32</v>
      </c>
      <c r="B31" s="99">
        <v>9</v>
      </c>
      <c r="C31" s="100">
        <v>-3.5</v>
      </c>
      <c r="D31" s="101">
        <v>6</v>
      </c>
      <c r="E31" s="100">
        <v>-6.9</v>
      </c>
      <c r="F31" s="102">
        <v>-3.5</v>
      </c>
      <c r="G31" s="100">
        <v>-6.9</v>
      </c>
      <c r="H31" s="100">
        <v>-3.5</v>
      </c>
      <c r="I31" s="100">
        <v>-6.9</v>
      </c>
      <c r="J31" s="100">
        <v>-3.5</v>
      </c>
      <c r="K31" s="100">
        <v>-6.9</v>
      </c>
      <c r="L31" s="103">
        <v>9</v>
      </c>
      <c r="M31" s="100">
        <v>-3.5</v>
      </c>
      <c r="N31" s="101">
        <v>6</v>
      </c>
      <c r="O31" s="104">
        <v>-6.9</v>
      </c>
      <c r="Q31" s="98"/>
      <c r="S31" s="54"/>
      <c r="X31" s="54"/>
    </row>
    <row r="32" spans="1:25" ht="15.95" customHeight="1">
      <c r="A32" s="68" t="s">
        <v>33</v>
      </c>
      <c r="B32" s="105"/>
      <c r="C32" s="106">
        <v>1.5</v>
      </c>
      <c r="D32" s="101"/>
      <c r="E32" s="106">
        <v>1.5</v>
      </c>
      <c r="F32" s="107"/>
      <c r="G32" s="107"/>
      <c r="H32" s="107"/>
      <c r="I32" s="107"/>
      <c r="J32" s="108"/>
      <c r="K32" s="107"/>
      <c r="L32" s="101"/>
      <c r="M32" s="106">
        <v>1.5</v>
      </c>
      <c r="N32" s="101"/>
      <c r="O32" s="104">
        <v>1.5</v>
      </c>
      <c r="S32" s="54"/>
      <c r="X32" s="54"/>
    </row>
    <row r="33" spans="1:28" ht="15.95" customHeight="1">
      <c r="A33" s="68" t="s">
        <v>34</v>
      </c>
      <c r="B33" s="109"/>
      <c r="C33" s="106">
        <v>0.2</v>
      </c>
      <c r="D33" s="110"/>
      <c r="E33" s="106">
        <v>-3.2</v>
      </c>
      <c r="F33" s="107"/>
      <c r="G33" s="107"/>
      <c r="H33" s="107"/>
      <c r="I33" s="107"/>
      <c r="J33" s="108"/>
      <c r="K33" s="107"/>
      <c r="L33" s="110"/>
      <c r="M33" s="106">
        <v>0.2</v>
      </c>
      <c r="N33" s="110"/>
      <c r="O33" s="104">
        <v>-3.2</v>
      </c>
      <c r="S33" s="54"/>
      <c r="X33" s="54"/>
    </row>
    <row r="34" spans="1:28" ht="15.95" customHeight="1" thickBot="1">
      <c r="G34" s="54"/>
      <c r="I34" s="72"/>
      <c r="M34" s="54"/>
      <c r="Q34" s="72"/>
      <c r="S34" s="54"/>
      <c r="W34" s="72"/>
      <c r="X34" s="54"/>
      <c r="AB34" s="72"/>
    </row>
    <row r="35" spans="1:28" ht="15.95" customHeight="1">
      <c r="A35" s="112" t="s">
        <v>49</v>
      </c>
      <c r="B35" s="61"/>
      <c r="C35" s="61"/>
      <c r="D35" s="61"/>
      <c r="E35" s="61"/>
      <c r="F35" s="61"/>
      <c r="G35" s="62"/>
      <c r="H35" s="61"/>
      <c r="I35" s="61"/>
      <c r="J35" s="61"/>
      <c r="K35" s="61"/>
      <c r="L35" s="61"/>
      <c r="M35" s="61"/>
      <c r="N35" s="61"/>
      <c r="O35" s="62"/>
      <c r="P35" s="61"/>
      <c r="Q35" s="61"/>
      <c r="R35" s="61"/>
      <c r="S35" s="61"/>
      <c r="T35" s="61"/>
      <c r="U35" s="62"/>
      <c r="V35" s="61"/>
      <c r="W35" s="61"/>
      <c r="X35" s="61"/>
      <c r="Y35" s="61"/>
      <c r="Z35" s="62"/>
    </row>
    <row r="36" spans="1:28" ht="15.95" customHeight="1">
      <c r="A36" s="78"/>
      <c r="B36" s="79" t="s">
        <v>39</v>
      </c>
      <c r="C36" s="80"/>
      <c r="D36" s="80"/>
      <c r="E36" s="81"/>
      <c r="F36" s="79" t="s">
        <v>40</v>
      </c>
      <c r="G36" s="80"/>
      <c r="H36" s="80"/>
      <c r="I36" s="80"/>
      <c r="J36" s="80"/>
      <c r="K36" s="81"/>
      <c r="L36" s="79" t="s">
        <v>41</v>
      </c>
      <c r="M36" s="80"/>
      <c r="N36" s="80"/>
      <c r="O36" s="81"/>
      <c r="S36" s="54"/>
      <c r="X36" s="54"/>
    </row>
    <row r="37" spans="1:28" ht="15.95" customHeight="1">
      <c r="A37" s="82"/>
      <c r="B37" s="83" t="s">
        <v>42</v>
      </c>
      <c r="C37" s="84"/>
      <c r="D37" s="83" t="s">
        <v>43</v>
      </c>
      <c r="E37" s="84"/>
      <c r="F37" s="83" t="s">
        <v>44</v>
      </c>
      <c r="G37" s="85"/>
      <c r="H37" s="83" t="s">
        <v>45</v>
      </c>
      <c r="I37" s="84"/>
      <c r="J37" s="85" t="s">
        <v>46</v>
      </c>
      <c r="K37" s="84"/>
      <c r="L37" s="83" t="s">
        <v>42</v>
      </c>
      <c r="M37" s="84"/>
      <c r="N37" s="83" t="s">
        <v>43</v>
      </c>
      <c r="O37" s="84"/>
      <c r="S37" s="54"/>
      <c r="X37" s="54"/>
    </row>
    <row r="38" spans="1:28" ht="15.95" customHeight="1">
      <c r="A38" s="87"/>
      <c r="B38" s="88" t="s">
        <v>47</v>
      </c>
      <c r="C38" s="89" t="s">
        <v>48</v>
      </c>
      <c r="D38" s="90" t="s">
        <v>47</v>
      </c>
      <c r="E38" s="91" t="s">
        <v>48</v>
      </c>
      <c r="F38" s="88" t="s">
        <v>42</v>
      </c>
      <c r="G38" s="92" t="s">
        <v>43</v>
      </c>
      <c r="H38" s="88" t="s">
        <v>42</v>
      </c>
      <c r="I38" s="93" t="s">
        <v>43</v>
      </c>
      <c r="J38" s="94" t="s">
        <v>42</v>
      </c>
      <c r="K38" s="95" t="s">
        <v>43</v>
      </c>
      <c r="L38" s="88" t="s">
        <v>47</v>
      </c>
      <c r="M38" s="96" t="s">
        <v>48</v>
      </c>
      <c r="N38" s="90" t="s">
        <v>47</v>
      </c>
      <c r="O38" s="97" t="s">
        <v>48</v>
      </c>
      <c r="S38" s="54"/>
      <c r="X38" s="54"/>
    </row>
    <row r="39" spans="1:28" ht="15.95" customHeight="1">
      <c r="A39" s="68" t="s">
        <v>32</v>
      </c>
      <c r="B39" s="99">
        <v>9</v>
      </c>
      <c r="C39" s="100">
        <v>-3.9</v>
      </c>
      <c r="D39" s="101">
        <v>4</v>
      </c>
      <c r="E39" s="100">
        <v>-5.8</v>
      </c>
      <c r="F39" s="102">
        <v>-3.9</v>
      </c>
      <c r="G39" s="100">
        <v>-5.8</v>
      </c>
      <c r="H39" s="100">
        <v>-3.9</v>
      </c>
      <c r="I39" s="100">
        <v>-5.8</v>
      </c>
      <c r="J39" s="100">
        <v>-3.9</v>
      </c>
      <c r="K39" s="100">
        <v>-5.8</v>
      </c>
      <c r="L39" s="103">
        <v>9</v>
      </c>
      <c r="M39" s="100">
        <v>-3.9</v>
      </c>
      <c r="N39" s="101">
        <v>4</v>
      </c>
      <c r="O39" s="104">
        <v>-5.8</v>
      </c>
      <c r="S39" s="54"/>
      <c r="X39" s="54"/>
    </row>
    <row r="40" spans="1:28" ht="15.95" customHeight="1">
      <c r="A40" s="68" t="s">
        <v>33</v>
      </c>
      <c r="B40" s="105"/>
      <c r="C40" s="106">
        <v>2.2000000000000002</v>
      </c>
      <c r="D40" s="101"/>
      <c r="E40" s="106">
        <v>2</v>
      </c>
      <c r="F40" s="107"/>
      <c r="G40" s="107"/>
      <c r="H40" s="107"/>
      <c r="I40" s="107"/>
      <c r="J40" s="108"/>
      <c r="K40" s="107"/>
      <c r="L40" s="101"/>
      <c r="M40" s="106">
        <v>2.2000000000000002</v>
      </c>
      <c r="N40" s="101"/>
      <c r="O40" s="104">
        <v>2</v>
      </c>
      <c r="S40" s="54"/>
      <c r="X40" s="54"/>
    </row>
    <row r="41" spans="1:28" ht="15.95" customHeight="1">
      <c r="A41" s="68" t="s">
        <v>50</v>
      </c>
      <c r="B41" s="109"/>
      <c r="C41" s="106">
        <v>1.6</v>
      </c>
      <c r="D41" s="110"/>
      <c r="E41" s="106">
        <v>-0.9</v>
      </c>
      <c r="F41" s="107"/>
      <c r="G41" s="107"/>
      <c r="H41" s="107"/>
      <c r="I41" s="107"/>
      <c r="J41" s="108"/>
      <c r="K41" s="107"/>
      <c r="L41" s="110"/>
      <c r="M41" s="106">
        <v>1.6</v>
      </c>
      <c r="N41" s="110"/>
      <c r="O41" s="104">
        <v>-0.9</v>
      </c>
      <c r="Q41" s="86"/>
      <c r="S41" s="54"/>
      <c r="X41" s="54"/>
    </row>
    <row r="42" spans="1:28" ht="15.95" customHeight="1">
      <c r="A42" s="54" t="s">
        <v>51</v>
      </c>
    </row>
    <row r="43" spans="1:28" ht="15.95" customHeight="1">
      <c r="A43" s="86" t="s">
        <v>65</v>
      </c>
    </row>
    <row r="44" spans="1:28" ht="15.95" customHeight="1">
      <c r="A44" s="98" t="s">
        <v>66</v>
      </c>
    </row>
    <row r="45" spans="1:28" ht="15.95" customHeight="1">
      <c r="A45" s="98"/>
    </row>
    <row r="46" spans="1:28" ht="15.95" customHeight="1" thickBot="1">
      <c r="A46" s="54"/>
    </row>
    <row r="47" spans="1:28" ht="15.95" customHeight="1">
      <c r="A47" s="58" t="s">
        <v>52</v>
      </c>
      <c r="B47" s="59"/>
      <c r="C47" s="60"/>
    </row>
    <row r="48" spans="1:28" ht="15.95" customHeight="1">
      <c r="A48" s="54" t="s">
        <v>53</v>
      </c>
      <c r="J48" s="72"/>
      <c r="K48" s="72"/>
      <c r="M48" s="54" t="s">
        <v>54</v>
      </c>
      <c r="S48" s="54"/>
      <c r="U48" s="72"/>
      <c r="X48" s="63" t="s">
        <v>55</v>
      </c>
      <c r="Z48" s="72"/>
    </row>
    <row r="49" spans="1:28" ht="15.95" customHeight="1">
      <c r="A49" s="113"/>
      <c r="B49" s="114" t="s">
        <v>56</v>
      </c>
      <c r="C49" s="115"/>
      <c r="D49" s="116" t="s">
        <v>57</v>
      </c>
      <c r="E49" s="117"/>
      <c r="F49" s="118" t="s">
        <v>58</v>
      </c>
      <c r="G49" s="117"/>
      <c r="H49" s="115" t="s">
        <v>59</v>
      </c>
      <c r="I49" s="119"/>
      <c r="M49" s="120" t="s">
        <v>60</v>
      </c>
      <c r="N49" s="121"/>
      <c r="O49" s="122">
        <v>1</v>
      </c>
      <c r="P49" s="122">
        <v>2</v>
      </c>
      <c r="Q49" s="122">
        <v>3</v>
      </c>
      <c r="R49" s="122">
        <v>4</v>
      </c>
      <c r="S49" s="122">
        <v>5</v>
      </c>
      <c r="T49" s="122">
        <v>6</v>
      </c>
      <c r="U49" s="122">
        <v>7</v>
      </c>
      <c r="V49" s="122">
        <v>8</v>
      </c>
      <c r="W49" s="123">
        <v>9</v>
      </c>
      <c r="X49" s="124">
        <v>10</v>
      </c>
    </row>
    <row r="50" spans="1:28" ht="15.95" customHeight="1">
      <c r="A50" s="125" t="s">
        <v>61</v>
      </c>
      <c r="B50" s="126">
        <v>20</v>
      </c>
      <c r="C50" s="126"/>
      <c r="D50" s="127">
        <v>-3.8</v>
      </c>
      <c r="E50" s="128"/>
      <c r="F50" s="126">
        <v>2.6</v>
      </c>
      <c r="G50" s="128"/>
      <c r="H50" s="126">
        <v>26.4</v>
      </c>
      <c r="I50" s="128"/>
      <c r="M50" s="129" t="s">
        <v>61</v>
      </c>
      <c r="N50" s="130"/>
      <c r="O50" s="131">
        <v>1</v>
      </c>
      <c r="P50" s="131">
        <v>5.7</v>
      </c>
      <c r="Q50" s="131">
        <v>8.5</v>
      </c>
      <c r="R50" s="131">
        <v>10.1</v>
      </c>
      <c r="S50" s="131">
        <v>11</v>
      </c>
      <c r="T50" s="131">
        <v>11.6</v>
      </c>
      <c r="U50" s="131">
        <v>11.9</v>
      </c>
      <c r="V50" s="131">
        <v>12.1</v>
      </c>
      <c r="W50" s="132">
        <v>12.2</v>
      </c>
      <c r="X50" s="133">
        <v>12.3</v>
      </c>
    </row>
    <row r="51" spans="1:28" ht="15.95" customHeight="1">
      <c r="A51" s="134" t="s">
        <v>62</v>
      </c>
      <c r="B51" s="135">
        <v>20</v>
      </c>
      <c r="C51" s="135"/>
      <c r="D51" s="136">
        <v>-3.7</v>
      </c>
      <c r="E51" s="137"/>
      <c r="F51" s="135">
        <v>2.6</v>
      </c>
      <c r="G51" s="137"/>
      <c r="H51" s="135">
        <v>26.3</v>
      </c>
      <c r="I51" s="137"/>
      <c r="M51" s="138" t="s">
        <v>62</v>
      </c>
      <c r="N51" s="139"/>
      <c r="O51" s="131">
        <v>2.1</v>
      </c>
      <c r="P51" s="131">
        <v>6.7</v>
      </c>
      <c r="Q51" s="131">
        <v>9.4</v>
      </c>
      <c r="R51" s="131">
        <v>11.1</v>
      </c>
      <c r="S51" s="131">
        <v>12</v>
      </c>
      <c r="T51" s="131">
        <v>12.6</v>
      </c>
      <c r="U51" s="131">
        <v>12.9</v>
      </c>
      <c r="V51" s="131">
        <v>13.1</v>
      </c>
      <c r="W51" s="132">
        <v>13.2</v>
      </c>
      <c r="X51" s="133">
        <v>13.3</v>
      </c>
      <c r="AB51" s="72"/>
    </row>
    <row r="52" spans="1:28" ht="15.95" customHeight="1">
      <c r="A52" s="54" t="s">
        <v>51</v>
      </c>
      <c r="B52" s="54" t="s">
        <v>63</v>
      </c>
      <c r="M52" s="54" t="s">
        <v>51</v>
      </c>
      <c r="O52" s="54" t="s">
        <v>67</v>
      </c>
    </row>
    <row r="53" spans="1:28" ht="15.95" customHeight="1">
      <c r="A53" s="54"/>
    </row>
    <row r="54" spans="1:28" ht="15.95" customHeight="1">
      <c r="A54" s="54"/>
    </row>
  </sheetData>
  <mergeCells count="48">
    <mergeCell ref="B51:C51"/>
    <mergeCell ref="D51:E51"/>
    <mergeCell ref="F51:G51"/>
    <mergeCell ref="H51:I51"/>
    <mergeCell ref="M51:N51"/>
    <mergeCell ref="B49:C49"/>
    <mergeCell ref="D49:E49"/>
    <mergeCell ref="F49:G49"/>
    <mergeCell ref="H49:I49"/>
    <mergeCell ref="M49:N49"/>
    <mergeCell ref="B50:C50"/>
    <mergeCell ref="D50:E50"/>
    <mergeCell ref="F50:G50"/>
    <mergeCell ref="H50:I50"/>
    <mergeCell ref="M50:N50"/>
    <mergeCell ref="N37:O37"/>
    <mergeCell ref="B39:B41"/>
    <mergeCell ref="D39:D41"/>
    <mergeCell ref="L39:L41"/>
    <mergeCell ref="N39:N41"/>
    <mergeCell ref="A47:C47"/>
    <mergeCell ref="A36:A38"/>
    <mergeCell ref="B36:E36"/>
    <mergeCell ref="F36:K36"/>
    <mergeCell ref="L36:O36"/>
    <mergeCell ref="B37:C37"/>
    <mergeCell ref="D37:E37"/>
    <mergeCell ref="F37:G37"/>
    <mergeCell ref="H37:I37"/>
    <mergeCell ref="J37:K37"/>
    <mergeCell ref="L37:M37"/>
    <mergeCell ref="J29:K29"/>
    <mergeCell ref="L29:M29"/>
    <mergeCell ref="N29:O29"/>
    <mergeCell ref="B31:B33"/>
    <mergeCell ref="D31:D33"/>
    <mergeCell ref="L31:L33"/>
    <mergeCell ref="N31:N33"/>
    <mergeCell ref="A5:C5"/>
    <mergeCell ref="A25:C25"/>
    <mergeCell ref="A28:A30"/>
    <mergeCell ref="B28:E28"/>
    <mergeCell ref="F28:K28"/>
    <mergeCell ref="L28:O28"/>
    <mergeCell ref="B29:C29"/>
    <mergeCell ref="D29:E29"/>
    <mergeCell ref="F29:G29"/>
    <mergeCell ref="H29:I29"/>
  </mergeCells>
  <phoneticPr fontId="4"/>
  <printOptions horizontalCentered="1"/>
  <pageMargins left="0.70866141732283472" right="0.70866141732283472" top="0.78740157480314965" bottom="0.47244094488188981" header="0.59055118110236227" footer="0.31496062992125984"/>
  <pageSetup paperSize="9" scale="65" orientation="landscape" horizontalDpi="400" verticalDpi="400" r:id="rId1"/>
  <headerFooter scaleWithDoc="0" alignWithMargins="0">
    <oddFooter>&amp;C&amp;"ＭＳ Ｐゴシック,標準"&amp;9( &amp;P /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Y67"/>
  <sheetViews>
    <sheetView showGridLines="0" zoomScale="80" zoomScaleNormal="80" workbookViewId="0"/>
  </sheetViews>
  <sheetFormatPr defaultColWidth="8" defaultRowHeight="12" customHeight="1"/>
  <cols>
    <col min="1" max="1" width="8.7109375" style="73" customWidth="1"/>
    <col min="2" max="19" width="7.5703125" style="73" customWidth="1"/>
    <col min="20" max="16384" width="8" style="73"/>
  </cols>
  <sheetData>
    <row r="1" spans="1:25" s="145" customFormat="1" ht="24" customHeight="1">
      <c r="A1" s="141" t="s">
        <v>96</v>
      </c>
      <c r="B1" s="142"/>
      <c r="C1" s="142"/>
      <c r="D1" s="142"/>
      <c r="E1" s="142"/>
      <c r="F1" s="142"/>
      <c r="G1" s="142"/>
      <c r="H1" s="142"/>
      <c r="I1" s="142"/>
      <c r="J1" s="142"/>
      <c r="K1" s="142"/>
      <c r="L1" s="142"/>
      <c r="M1" s="142"/>
      <c r="N1" s="142"/>
      <c r="O1" s="142"/>
      <c r="P1" s="142"/>
      <c r="Q1" s="142"/>
      <c r="R1" s="142"/>
      <c r="S1" s="143"/>
      <c r="T1" s="143"/>
      <c r="U1" s="143"/>
      <c r="V1" s="143"/>
      <c r="W1" s="143"/>
      <c r="X1" s="143"/>
      <c r="Y1" s="144"/>
    </row>
    <row r="2" spans="1:25" ht="12" customHeight="1" thickBot="1">
      <c r="S2" s="63"/>
    </row>
    <row r="3" spans="1:25" ht="12" customHeight="1">
      <c r="A3" s="146" t="s">
        <v>68</v>
      </c>
      <c r="B3" s="146"/>
      <c r="C3" s="146"/>
      <c r="D3" s="37" t="s">
        <v>30</v>
      </c>
      <c r="E3" s="146"/>
      <c r="F3" s="146"/>
      <c r="G3" s="146"/>
      <c r="H3" s="146"/>
      <c r="I3" s="146"/>
      <c r="J3" s="146"/>
      <c r="K3" s="146"/>
      <c r="L3" s="146"/>
      <c r="M3" s="146"/>
      <c r="N3" s="146"/>
      <c r="O3" s="146"/>
      <c r="P3" s="146"/>
      <c r="Q3" s="146"/>
      <c r="R3" s="146"/>
      <c r="S3" s="147"/>
      <c r="T3" s="146"/>
      <c r="U3" s="146"/>
      <c r="V3" s="146"/>
      <c r="W3" s="146"/>
      <c r="X3" s="146"/>
      <c r="Y3" s="146"/>
    </row>
    <row r="4" spans="1:25" ht="16.5" customHeight="1">
      <c r="A4" s="148"/>
      <c r="B4" s="149">
        <v>1</v>
      </c>
      <c r="C4" s="150">
        <v>2</v>
      </c>
      <c r="D4" s="151">
        <v>3</v>
      </c>
      <c r="E4" s="150">
        <v>4</v>
      </c>
      <c r="F4" s="150">
        <v>5</v>
      </c>
      <c r="G4" s="150">
        <v>6</v>
      </c>
      <c r="H4" s="150">
        <v>7</v>
      </c>
      <c r="I4" s="150">
        <v>8</v>
      </c>
      <c r="J4" s="150">
        <v>9</v>
      </c>
      <c r="K4" s="150">
        <v>10</v>
      </c>
      <c r="L4" s="150">
        <v>11</v>
      </c>
      <c r="M4" s="150">
        <v>12</v>
      </c>
      <c r="N4" s="150">
        <v>13</v>
      </c>
      <c r="O4" s="150">
        <v>14</v>
      </c>
      <c r="P4" s="150">
        <v>15</v>
      </c>
      <c r="Q4" s="150">
        <v>16</v>
      </c>
      <c r="R4" s="150">
        <v>17</v>
      </c>
      <c r="S4" s="150">
        <v>18</v>
      </c>
      <c r="T4" s="152">
        <v>19</v>
      </c>
      <c r="U4" s="152">
        <v>20</v>
      </c>
      <c r="V4" s="152">
        <v>21</v>
      </c>
      <c r="W4" s="152">
        <v>22</v>
      </c>
      <c r="X4" s="152">
        <v>23</v>
      </c>
      <c r="Y4" s="153">
        <v>24</v>
      </c>
    </row>
    <row r="5" spans="1:25" ht="12" customHeight="1">
      <c r="A5" s="154" t="s">
        <v>82</v>
      </c>
      <c r="B5" s="155">
        <v>2.2000000000000002</v>
      </c>
      <c r="C5" s="156">
        <v>1.5</v>
      </c>
      <c r="D5" s="156">
        <v>0.8</v>
      </c>
      <c r="E5" s="156">
        <v>0.3</v>
      </c>
      <c r="F5" s="156">
        <v>-0.3</v>
      </c>
      <c r="G5" s="156">
        <v>-0.7</v>
      </c>
      <c r="H5" s="156">
        <v>-1</v>
      </c>
      <c r="I5" s="156">
        <v>-1</v>
      </c>
      <c r="J5" s="156">
        <v>-0.6</v>
      </c>
      <c r="K5" s="156">
        <v>0.1</v>
      </c>
      <c r="L5" s="156">
        <v>1.1000000000000001</v>
      </c>
      <c r="M5" s="156">
        <v>2.2999999999999998</v>
      </c>
      <c r="N5" s="156">
        <v>3.5</v>
      </c>
      <c r="O5" s="156">
        <v>4.5999999999999996</v>
      </c>
      <c r="P5" s="156">
        <v>5.6</v>
      </c>
      <c r="Q5" s="156">
        <v>6.4</v>
      </c>
      <c r="R5" s="156">
        <v>7</v>
      </c>
      <c r="S5" s="156">
        <v>7.1</v>
      </c>
      <c r="T5" s="157">
        <v>6.9</v>
      </c>
      <c r="U5" s="157">
        <v>6.3</v>
      </c>
      <c r="V5" s="157">
        <v>5.5</v>
      </c>
      <c r="W5" s="157">
        <v>4.5999999999999996</v>
      </c>
      <c r="X5" s="157">
        <v>3.7</v>
      </c>
      <c r="Y5" s="158">
        <v>2.9</v>
      </c>
    </row>
    <row r="6" spans="1:25" ht="12" customHeight="1">
      <c r="A6" s="159" t="s">
        <v>69</v>
      </c>
      <c r="B6" s="160">
        <v>5.0999999999999996</v>
      </c>
      <c r="C6" s="161">
        <v>3.9</v>
      </c>
      <c r="D6" s="161">
        <v>2.8</v>
      </c>
      <c r="E6" s="161">
        <v>1.8</v>
      </c>
      <c r="F6" s="161">
        <v>1</v>
      </c>
      <c r="G6" s="161">
        <v>0.3</v>
      </c>
      <c r="H6" s="161">
        <v>0</v>
      </c>
      <c r="I6" s="161">
        <v>0.2</v>
      </c>
      <c r="J6" s="161">
        <v>1.3</v>
      </c>
      <c r="K6" s="161">
        <v>3.2</v>
      </c>
      <c r="L6" s="161">
        <v>5.9</v>
      </c>
      <c r="M6" s="161">
        <v>8.9</v>
      </c>
      <c r="N6" s="161">
        <v>11.9</v>
      </c>
      <c r="O6" s="161">
        <v>14.7</v>
      </c>
      <c r="P6" s="161">
        <v>16.899999999999999</v>
      </c>
      <c r="Q6" s="161">
        <v>18.3</v>
      </c>
      <c r="R6" s="161">
        <v>18.7</v>
      </c>
      <c r="S6" s="161">
        <v>18.2</v>
      </c>
      <c r="T6" s="162">
        <v>16.7</v>
      </c>
      <c r="U6" s="162">
        <v>14.6</v>
      </c>
      <c r="V6" s="162">
        <v>12.3</v>
      </c>
      <c r="W6" s="162">
        <v>10.199999999999999</v>
      </c>
      <c r="X6" s="162">
        <v>8.3000000000000007</v>
      </c>
      <c r="Y6" s="163">
        <v>6.6</v>
      </c>
    </row>
    <row r="7" spans="1:25" ht="12" customHeight="1">
      <c r="A7" s="159" t="s">
        <v>70</v>
      </c>
      <c r="B7" s="193">
        <v>2.2000000000000002</v>
      </c>
      <c r="C7" s="194">
        <v>1.5</v>
      </c>
      <c r="D7" s="194">
        <v>0.8</v>
      </c>
      <c r="E7" s="194">
        <v>0.3</v>
      </c>
      <c r="F7" s="194">
        <v>-0.3</v>
      </c>
      <c r="G7" s="194">
        <v>-0.7</v>
      </c>
      <c r="H7" s="194">
        <v>-0.7</v>
      </c>
      <c r="I7" s="194">
        <v>-0.3</v>
      </c>
      <c r="J7" s="194">
        <v>0.4</v>
      </c>
      <c r="K7" s="194">
        <v>1.3</v>
      </c>
      <c r="L7" s="194">
        <v>2.2000000000000002</v>
      </c>
      <c r="M7" s="194">
        <v>3.2</v>
      </c>
      <c r="N7" s="194">
        <v>4.2</v>
      </c>
      <c r="O7" s="194">
        <v>5.2</v>
      </c>
      <c r="P7" s="194">
        <v>6.1</v>
      </c>
      <c r="Q7" s="194">
        <v>6.9</v>
      </c>
      <c r="R7" s="194">
        <v>7.3</v>
      </c>
      <c r="S7" s="194">
        <v>7.4</v>
      </c>
      <c r="T7" s="195">
        <v>7.1</v>
      </c>
      <c r="U7" s="195">
        <v>6.5</v>
      </c>
      <c r="V7" s="195">
        <v>5.6</v>
      </c>
      <c r="W7" s="195">
        <v>4.7</v>
      </c>
      <c r="X7" s="195">
        <v>3.8</v>
      </c>
      <c r="Y7" s="196">
        <v>3</v>
      </c>
    </row>
    <row r="8" spans="1:25" ht="12" customHeight="1">
      <c r="A8" s="159" t="s">
        <v>71</v>
      </c>
      <c r="B8" s="193">
        <v>2.4</v>
      </c>
      <c r="C8" s="194">
        <v>1.7</v>
      </c>
      <c r="D8" s="194">
        <v>1</v>
      </c>
      <c r="E8" s="194">
        <v>0.4</v>
      </c>
      <c r="F8" s="194">
        <v>-0.2</v>
      </c>
      <c r="G8" s="194">
        <v>-0.5</v>
      </c>
      <c r="H8" s="194">
        <v>-0.3</v>
      </c>
      <c r="I8" s="194">
        <v>0.6</v>
      </c>
      <c r="J8" s="194">
        <v>2</v>
      </c>
      <c r="K8" s="194">
        <v>3.7</v>
      </c>
      <c r="L8" s="194">
        <v>5.3</v>
      </c>
      <c r="M8" s="194">
        <v>6.4</v>
      </c>
      <c r="N8" s="194">
        <v>7.1</v>
      </c>
      <c r="O8" s="194">
        <v>7.6</v>
      </c>
      <c r="P8" s="194">
        <v>8.1</v>
      </c>
      <c r="Q8" s="194">
        <v>8.4</v>
      </c>
      <c r="R8" s="194">
        <v>8.6</v>
      </c>
      <c r="S8" s="194">
        <v>8.5</v>
      </c>
      <c r="T8" s="195">
        <v>8</v>
      </c>
      <c r="U8" s="195">
        <v>7.1</v>
      </c>
      <c r="V8" s="195">
        <v>6.2</v>
      </c>
      <c r="W8" s="195">
        <v>5.0999999999999996</v>
      </c>
      <c r="X8" s="195">
        <v>4.2</v>
      </c>
      <c r="Y8" s="196">
        <v>3.3</v>
      </c>
    </row>
    <row r="9" spans="1:25" ht="12" customHeight="1">
      <c r="A9" s="159" t="s">
        <v>72</v>
      </c>
      <c r="B9" s="193">
        <v>2.6</v>
      </c>
      <c r="C9" s="194">
        <v>1.8</v>
      </c>
      <c r="D9" s="194">
        <v>1.1000000000000001</v>
      </c>
      <c r="E9" s="194">
        <v>0.5</v>
      </c>
      <c r="F9" s="194">
        <v>-0.1</v>
      </c>
      <c r="G9" s="194">
        <v>-0.5</v>
      </c>
      <c r="H9" s="194">
        <v>-0.4</v>
      </c>
      <c r="I9" s="194">
        <v>0.5</v>
      </c>
      <c r="J9" s="194">
        <v>2.1</v>
      </c>
      <c r="K9" s="194">
        <v>4.0999999999999996</v>
      </c>
      <c r="L9" s="194">
        <v>6.1</v>
      </c>
      <c r="M9" s="194">
        <v>7.8</v>
      </c>
      <c r="N9" s="194">
        <v>8.9</v>
      </c>
      <c r="O9" s="194">
        <v>9.4</v>
      </c>
      <c r="P9" s="194">
        <v>9.6</v>
      </c>
      <c r="Q9" s="194">
        <v>9.6999999999999993</v>
      </c>
      <c r="R9" s="194">
        <v>9.6</v>
      </c>
      <c r="S9" s="194">
        <v>9.3000000000000007</v>
      </c>
      <c r="T9" s="195">
        <v>8.6</v>
      </c>
      <c r="U9" s="195">
        <v>7.7</v>
      </c>
      <c r="V9" s="195">
        <v>6.6</v>
      </c>
      <c r="W9" s="195">
        <v>5.5</v>
      </c>
      <c r="X9" s="195">
        <v>4.5</v>
      </c>
      <c r="Y9" s="196">
        <v>3.5</v>
      </c>
    </row>
    <row r="10" spans="1:25" ht="12" customHeight="1">
      <c r="A10" s="159" t="s">
        <v>73</v>
      </c>
      <c r="B10" s="193">
        <v>2.7</v>
      </c>
      <c r="C10" s="194">
        <v>1.8</v>
      </c>
      <c r="D10" s="194">
        <v>1.1000000000000001</v>
      </c>
      <c r="E10" s="194">
        <v>0.5</v>
      </c>
      <c r="F10" s="194">
        <v>-0.1</v>
      </c>
      <c r="G10" s="194">
        <v>-0.5</v>
      </c>
      <c r="H10" s="194">
        <v>-0.7</v>
      </c>
      <c r="I10" s="194">
        <v>-0.4</v>
      </c>
      <c r="J10" s="194">
        <v>0.6</v>
      </c>
      <c r="K10" s="194">
        <v>2.2000000000000002</v>
      </c>
      <c r="L10" s="194">
        <v>4.0999999999999996</v>
      </c>
      <c r="M10" s="194">
        <v>6.1</v>
      </c>
      <c r="N10" s="194">
        <v>7.8</v>
      </c>
      <c r="O10" s="194">
        <v>9</v>
      </c>
      <c r="P10" s="194">
        <v>9.6999999999999993</v>
      </c>
      <c r="Q10" s="194">
        <v>9.9</v>
      </c>
      <c r="R10" s="194">
        <v>9.8000000000000007</v>
      </c>
      <c r="S10" s="194">
        <v>9.5</v>
      </c>
      <c r="T10" s="195">
        <v>8.8000000000000007</v>
      </c>
      <c r="U10" s="195">
        <v>7.8</v>
      </c>
      <c r="V10" s="195">
        <v>6.7</v>
      </c>
      <c r="W10" s="195">
        <v>5.6</v>
      </c>
      <c r="X10" s="195">
        <v>4.5</v>
      </c>
      <c r="Y10" s="196">
        <v>3.5</v>
      </c>
    </row>
    <row r="11" spans="1:25" ht="12" customHeight="1">
      <c r="A11" s="159" t="s">
        <v>74</v>
      </c>
      <c r="B11" s="193">
        <v>3.1</v>
      </c>
      <c r="C11" s="194">
        <v>2.2000000000000002</v>
      </c>
      <c r="D11" s="194">
        <v>1.4</v>
      </c>
      <c r="E11" s="194">
        <v>0.7</v>
      </c>
      <c r="F11" s="194">
        <v>0.1</v>
      </c>
      <c r="G11" s="194">
        <v>-0.4</v>
      </c>
      <c r="H11" s="194">
        <v>-0.8</v>
      </c>
      <c r="I11" s="194">
        <v>-0.8</v>
      </c>
      <c r="J11" s="194">
        <v>-0.4</v>
      </c>
      <c r="K11" s="194">
        <v>0.3</v>
      </c>
      <c r="L11" s="194">
        <v>1.5</v>
      </c>
      <c r="M11" s="194">
        <v>3.1</v>
      </c>
      <c r="N11" s="194">
        <v>5</v>
      </c>
      <c r="O11" s="194">
        <v>7</v>
      </c>
      <c r="P11" s="194">
        <v>8.8000000000000007</v>
      </c>
      <c r="Q11" s="194">
        <v>10.199999999999999</v>
      </c>
      <c r="R11" s="194">
        <v>10.9</v>
      </c>
      <c r="S11" s="194">
        <v>10.9</v>
      </c>
      <c r="T11" s="195">
        <v>10.199999999999999</v>
      </c>
      <c r="U11" s="195">
        <v>9</v>
      </c>
      <c r="V11" s="195">
        <v>7.7</v>
      </c>
      <c r="W11" s="195">
        <v>6.4</v>
      </c>
      <c r="X11" s="195">
        <v>5.2</v>
      </c>
      <c r="Y11" s="196">
        <v>4.0999999999999996</v>
      </c>
    </row>
    <row r="12" spans="1:25" ht="12" customHeight="1">
      <c r="A12" s="159" t="s">
        <v>75</v>
      </c>
      <c r="B12" s="193">
        <v>4.0999999999999996</v>
      </c>
      <c r="C12" s="194">
        <v>3</v>
      </c>
      <c r="D12" s="194">
        <v>2.1</v>
      </c>
      <c r="E12" s="194">
        <v>1.3</v>
      </c>
      <c r="F12" s="194">
        <v>0.5</v>
      </c>
      <c r="G12" s="194">
        <v>-0.1</v>
      </c>
      <c r="H12" s="194">
        <v>-0.5</v>
      </c>
      <c r="I12" s="194">
        <v>-0.6</v>
      </c>
      <c r="J12" s="194">
        <v>-0.3</v>
      </c>
      <c r="K12" s="194">
        <v>0.4</v>
      </c>
      <c r="L12" s="194">
        <v>1.4</v>
      </c>
      <c r="M12" s="194">
        <v>2.5</v>
      </c>
      <c r="N12" s="194">
        <v>3.9</v>
      </c>
      <c r="O12" s="194">
        <v>5.8</v>
      </c>
      <c r="P12" s="194">
        <v>8</v>
      </c>
      <c r="Q12" s="194">
        <v>10.1</v>
      </c>
      <c r="R12" s="194">
        <v>11.8</v>
      </c>
      <c r="S12" s="194">
        <v>12.8</v>
      </c>
      <c r="T12" s="195">
        <v>12.6</v>
      </c>
      <c r="U12" s="195">
        <v>11.5</v>
      </c>
      <c r="V12" s="195">
        <v>9.9</v>
      </c>
      <c r="W12" s="195">
        <v>8.1999999999999993</v>
      </c>
      <c r="X12" s="195">
        <v>6.6</v>
      </c>
      <c r="Y12" s="196">
        <v>5.3</v>
      </c>
    </row>
    <row r="13" spans="1:25" ht="12" customHeight="1">
      <c r="A13" s="159" t="s">
        <v>76</v>
      </c>
      <c r="B13" s="193">
        <v>4</v>
      </c>
      <c r="C13" s="194">
        <v>3</v>
      </c>
      <c r="D13" s="194">
        <v>2</v>
      </c>
      <c r="E13" s="194">
        <v>1.2</v>
      </c>
      <c r="F13" s="194">
        <v>0.5</v>
      </c>
      <c r="G13" s="194">
        <v>-0.1</v>
      </c>
      <c r="H13" s="194">
        <v>-0.5</v>
      </c>
      <c r="I13" s="194">
        <v>-0.6</v>
      </c>
      <c r="J13" s="194">
        <v>-0.3</v>
      </c>
      <c r="K13" s="194">
        <v>0.4</v>
      </c>
      <c r="L13" s="194">
        <v>1.4</v>
      </c>
      <c r="M13" s="194">
        <v>2.5</v>
      </c>
      <c r="N13" s="194">
        <v>3.7</v>
      </c>
      <c r="O13" s="194">
        <v>5</v>
      </c>
      <c r="P13" s="194">
        <v>6.8</v>
      </c>
      <c r="Q13" s="194">
        <v>8.8000000000000007</v>
      </c>
      <c r="R13" s="194">
        <v>10.6</v>
      </c>
      <c r="S13" s="194">
        <v>11.9</v>
      </c>
      <c r="T13" s="195">
        <v>12.1</v>
      </c>
      <c r="U13" s="195">
        <v>11.3</v>
      </c>
      <c r="V13" s="195">
        <v>9.6999999999999993</v>
      </c>
      <c r="W13" s="195">
        <v>8.1</v>
      </c>
      <c r="X13" s="195">
        <v>6.6</v>
      </c>
      <c r="Y13" s="196">
        <v>5.2</v>
      </c>
    </row>
    <row r="14" spans="1:25" ht="12" customHeight="1">
      <c r="A14" s="164" t="s">
        <v>77</v>
      </c>
      <c r="B14" s="197">
        <v>3</v>
      </c>
      <c r="C14" s="198">
        <v>2.1</v>
      </c>
      <c r="D14" s="198">
        <v>1.4</v>
      </c>
      <c r="E14" s="198">
        <v>0.7</v>
      </c>
      <c r="F14" s="198">
        <v>0.1</v>
      </c>
      <c r="G14" s="198">
        <v>-0.4</v>
      </c>
      <c r="H14" s="198">
        <v>-0.8</v>
      </c>
      <c r="I14" s="198">
        <v>-0.8</v>
      </c>
      <c r="J14" s="198">
        <v>-0.5</v>
      </c>
      <c r="K14" s="198">
        <v>0.3</v>
      </c>
      <c r="L14" s="198">
        <v>1.3</v>
      </c>
      <c r="M14" s="198">
        <v>2.4</v>
      </c>
      <c r="N14" s="198">
        <v>3.6</v>
      </c>
      <c r="O14" s="198">
        <v>4.7</v>
      </c>
      <c r="P14" s="198">
        <v>5.8</v>
      </c>
      <c r="Q14" s="198">
        <v>6.9</v>
      </c>
      <c r="R14" s="198">
        <v>8</v>
      </c>
      <c r="S14" s="198">
        <v>8.8000000000000007</v>
      </c>
      <c r="T14" s="199">
        <v>9.1</v>
      </c>
      <c r="U14" s="199">
        <v>8.5</v>
      </c>
      <c r="V14" s="199">
        <v>7.4</v>
      </c>
      <c r="W14" s="199">
        <v>6.2</v>
      </c>
      <c r="X14" s="199">
        <v>5</v>
      </c>
      <c r="Y14" s="200">
        <v>4</v>
      </c>
    </row>
    <row r="15" spans="1:25" ht="12" customHeight="1" thickBot="1"/>
    <row r="16" spans="1:25" ht="12" customHeight="1">
      <c r="A16" s="146" t="s">
        <v>68</v>
      </c>
      <c r="B16" s="146"/>
      <c r="C16" s="146"/>
      <c r="D16" s="38" t="s">
        <v>35</v>
      </c>
      <c r="E16" s="146"/>
      <c r="F16" s="146"/>
      <c r="G16" s="146"/>
      <c r="H16" s="146"/>
      <c r="I16" s="146"/>
      <c r="J16" s="146"/>
      <c r="K16" s="146"/>
      <c r="L16" s="146"/>
      <c r="M16" s="146"/>
      <c r="N16" s="146"/>
      <c r="O16" s="146"/>
      <c r="P16" s="146"/>
      <c r="Q16" s="146"/>
      <c r="R16" s="146"/>
      <c r="S16" s="147"/>
      <c r="T16" s="146"/>
      <c r="U16" s="146"/>
      <c r="V16" s="146"/>
      <c r="W16" s="146"/>
      <c r="X16" s="146"/>
      <c r="Y16" s="146"/>
    </row>
    <row r="17" spans="1:25" ht="16.5" customHeight="1">
      <c r="A17" s="148"/>
      <c r="B17" s="149">
        <v>1</v>
      </c>
      <c r="C17" s="150">
        <v>2</v>
      </c>
      <c r="D17" s="151">
        <v>3</v>
      </c>
      <c r="E17" s="150">
        <v>4</v>
      </c>
      <c r="F17" s="150">
        <v>5</v>
      </c>
      <c r="G17" s="150">
        <v>6</v>
      </c>
      <c r="H17" s="150">
        <v>7</v>
      </c>
      <c r="I17" s="150">
        <v>8</v>
      </c>
      <c r="J17" s="150">
        <v>9</v>
      </c>
      <c r="K17" s="150">
        <v>10</v>
      </c>
      <c r="L17" s="150">
        <v>11</v>
      </c>
      <c r="M17" s="150">
        <v>12</v>
      </c>
      <c r="N17" s="150">
        <v>13</v>
      </c>
      <c r="O17" s="150">
        <v>14</v>
      </c>
      <c r="P17" s="150">
        <v>15</v>
      </c>
      <c r="Q17" s="150">
        <v>16</v>
      </c>
      <c r="R17" s="150">
        <v>17</v>
      </c>
      <c r="S17" s="150">
        <v>18</v>
      </c>
      <c r="T17" s="152">
        <v>19</v>
      </c>
      <c r="U17" s="152">
        <v>20</v>
      </c>
      <c r="V17" s="152">
        <v>21</v>
      </c>
      <c r="W17" s="152">
        <v>22</v>
      </c>
      <c r="X17" s="152">
        <v>23</v>
      </c>
      <c r="Y17" s="153">
        <v>24</v>
      </c>
    </row>
    <row r="18" spans="1:25" ht="12" customHeight="1">
      <c r="A18" s="154" t="s">
        <v>83</v>
      </c>
      <c r="B18" s="155">
        <v>2.2000000000000002</v>
      </c>
      <c r="C18" s="156">
        <v>1.4</v>
      </c>
      <c r="D18" s="156">
        <v>0.7</v>
      </c>
      <c r="E18" s="156">
        <v>0</v>
      </c>
      <c r="F18" s="156">
        <v>-0.6</v>
      </c>
      <c r="G18" s="156">
        <v>-1.1000000000000001</v>
      </c>
      <c r="H18" s="156">
        <v>-1.4</v>
      </c>
      <c r="I18" s="156">
        <v>-1.4</v>
      </c>
      <c r="J18" s="156">
        <v>-0.9</v>
      </c>
      <c r="K18" s="156">
        <v>-0.1</v>
      </c>
      <c r="L18" s="156">
        <v>1.1000000000000001</v>
      </c>
      <c r="M18" s="156">
        <v>2.4</v>
      </c>
      <c r="N18" s="156">
        <v>3.6</v>
      </c>
      <c r="O18" s="156">
        <v>4.8</v>
      </c>
      <c r="P18" s="156">
        <v>5.9</v>
      </c>
      <c r="Q18" s="156">
        <v>6.7</v>
      </c>
      <c r="R18" s="156">
        <v>7.3</v>
      </c>
      <c r="S18" s="156">
        <v>7.6</v>
      </c>
      <c r="T18" s="157">
        <v>7.4</v>
      </c>
      <c r="U18" s="157">
        <v>6.8</v>
      </c>
      <c r="V18" s="157">
        <v>6</v>
      </c>
      <c r="W18" s="157">
        <v>5</v>
      </c>
      <c r="X18" s="157">
        <v>4</v>
      </c>
      <c r="Y18" s="158">
        <v>3.1</v>
      </c>
    </row>
    <row r="19" spans="1:25" ht="12" customHeight="1">
      <c r="A19" s="159" t="s">
        <v>69</v>
      </c>
      <c r="B19" s="160">
        <v>5.7</v>
      </c>
      <c r="C19" s="161">
        <v>4.2</v>
      </c>
      <c r="D19" s="161">
        <v>3</v>
      </c>
      <c r="E19" s="161">
        <v>1.9</v>
      </c>
      <c r="F19" s="161">
        <v>1</v>
      </c>
      <c r="G19" s="161">
        <v>0.2</v>
      </c>
      <c r="H19" s="161">
        <v>-0.2</v>
      </c>
      <c r="I19" s="161">
        <v>0.2</v>
      </c>
      <c r="J19" s="161">
        <v>1.7</v>
      </c>
      <c r="K19" s="161">
        <v>4.2</v>
      </c>
      <c r="L19" s="161">
        <v>7.3</v>
      </c>
      <c r="M19" s="161">
        <v>10.7</v>
      </c>
      <c r="N19" s="161">
        <v>13.9</v>
      </c>
      <c r="O19" s="161">
        <v>16.8</v>
      </c>
      <c r="P19" s="161">
        <v>19</v>
      </c>
      <c r="Q19" s="161">
        <v>20.5</v>
      </c>
      <c r="R19" s="161">
        <v>21</v>
      </c>
      <c r="S19" s="161">
        <v>20.5</v>
      </c>
      <c r="T19" s="162">
        <v>18.899999999999999</v>
      </c>
      <c r="U19" s="162">
        <v>16.600000000000001</v>
      </c>
      <c r="V19" s="162">
        <v>14.1</v>
      </c>
      <c r="W19" s="162">
        <v>11.6</v>
      </c>
      <c r="X19" s="162">
        <v>9.4</v>
      </c>
      <c r="Y19" s="163">
        <v>7.4</v>
      </c>
    </row>
    <row r="20" spans="1:25" ht="12" customHeight="1">
      <c r="A20" s="159" t="s">
        <v>70</v>
      </c>
      <c r="B20" s="193">
        <v>2.2999999999999998</v>
      </c>
      <c r="C20" s="194">
        <v>1.4</v>
      </c>
      <c r="D20" s="194">
        <v>0.7</v>
      </c>
      <c r="E20" s="194">
        <v>0</v>
      </c>
      <c r="F20" s="194">
        <v>-0.5</v>
      </c>
      <c r="G20" s="194">
        <v>-1</v>
      </c>
      <c r="H20" s="194">
        <v>-0.9</v>
      </c>
      <c r="I20" s="194">
        <v>-0.2</v>
      </c>
      <c r="J20" s="194">
        <v>0.9</v>
      </c>
      <c r="K20" s="194">
        <v>1.9</v>
      </c>
      <c r="L20" s="194">
        <v>2.9</v>
      </c>
      <c r="M20" s="194">
        <v>3.9</v>
      </c>
      <c r="N20" s="194">
        <v>4.9000000000000004</v>
      </c>
      <c r="O20" s="194">
        <v>5.9</v>
      </c>
      <c r="P20" s="194">
        <v>6.7</v>
      </c>
      <c r="Q20" s="194">
        <v>7.4</v>
      </c>
      <c r="R20" s="194">
        <v>7.9</v>
      </c>
      <c r="S20" s="194">
        <v>8</v>
      </c>
      <c r="T20" s="195">
        <v>7.8</v>
      </c>
      <c r="U20" s="195">
        <v>7.1</v>
      </c>
      <c r="V20" s="195">
        <v>6.2</v>
      </c>
      <c r="W20" s="195">
        <v>5.2</v>
      </c>
      <c r="X20" s="195">
        <v>4.0999999999999996</v>
      </c>
      <c r="Y20" s="196">
        <v>3.2</v>
      </c>
    </row>
    <row r="21" spans="1:25" ht="12" customHeight="1">
      <c r="A21" s="159" t="s">
        <v>71</v>
      </c>
      <c r="B21" s="193">
        <v>2.6</v>
      </c>
      <c r="C21" s="194">
        <v>1.7</v>
      </c>
      <c r="D21" s="194">
        <v>0.9</v>
      </c>
      <c r="E21" s="194">
        <v>0.2</v>
      </c>
      <c r="F21" s="194">
        <v>-0.4</v>
      </c>
      <c r="G21" s="194">
        <v>-0.8</v>
      </c>
      <c r="H21" s="194">
        <v>-0.4</v>
      </c>
      <c r="I21" s="194">
        <v>1.3</v>
      </c>
      <c r="J21" s="194">
        <v>3.6</v>
      </c>
      <c r="K21" s="194">
        <v>5.9</v>
      </c>
      <c r="L21" s="194">
        <v>7.8</v>
      </c>
      <c r="M21" s="194">
        <v>8.8000000000000007</v>
      </c>
      <c r="N21" s="194">
        <v>9.1999999999999993</v>
      </c>
      <c r="O21" s="194">
        <v>9.5</v>
      </c>
      <c r="P21" s="194">
        <v>9.6999999999999993</v>
      </c>
      <c r="Q21" s="194">
        <v>9.8000000000000007</v>
      </c>
      <c r="R21" s="194">
        <v>9.8000000000000007</v>
      </c>
      <c r="S21" s="194">
        <v>9.6</v>
      </c>
      <c r="T21" s="195">
        <v>9</v>
      </c>
      <c r="U21" s="195">
        <v>8.1999999999999993</v>
      </c>
      <c r="V21" s="195">
        <v>7</v>
      </c>
      <c r="W21" s="195">
        <v>5.8</v>
      </c>
      <c r="X21" s="195">
        <v>4.7</v>
      </c>
      <c r="Y21" s="196">
        <v>3.6</v>
      </c>
    </row>
    <row r="22" spans="1:25" ht="12" customHeight="1">
      <c r="A22" s="159" t="s">
        <v>72</v>
      </c>
      <c r="B22" s="193">
        <v>2.8</v>
      </c>
      <c r="C22" s="194">
        <v>1.9</v>
      </c>
      <c r="D22" s="194">
        <v>1.1000000000000001</v>
      </c>
      <c r="E22" s="194">
        <v>0.3</v>
      </c>
      <c r="F22" s="194">
        <v>-0.3</v>
      </c>
      <c r="G22" s="194">
        <v>-0.7</v>
      </c>
      <c r="H22" s="194">
        <v>-0.4</v>
      </c>
      <c r="I22" s="194">
        <v>1.2</v>
      </c>
      <c r="J22" s="194">
        <v>3.7</v>
      </c>
      <c r="K22" s="194">
        <v>6.5</v>
      </c>
      <c r="L22" s="194">
        <v>9</v>
      </c>
      <c r="M22" s="194">
        <v>10.8</v>
      </c>
      <c r="N22" s="194">
        <v>11.6</v>
      </c>
      <c r="O22" s="194">
        <v>11.7</v>
      </c>
      <c r="P22" s="194">
        <v>11.6</v>
      </c>
      <c r="Q22" s="194">
        <v>11.4</v>
      </c>
      <c r="R22" s="194">
        <v>11.1</v>
      </c>
      <c r="S22" s="194">
        <v>10.6</v>
      </c>
      <c r="T22" s="195">
        <v>9.9</v>
      </c>
      <c r="U22" s="195">
        <v>8.8000000000000007</v>
      </c>
      <c r="V22" s="195">
        <v>7.6</v>
      </c>
      <c r="W22" s="195">
        <v>6.3</v>
      </c>
      <c r="X22" s="195">
        <v>5</v>
      </c>
      <c r="Y22" s="196">
        <v>3.9</v>
      </c>
    </row>
    <row r="23" spans="1:25" ht="12" customHeight="1">
      <c r="A23" s="159" t="s">
        <v>73</v>
      </c>
      <c r="B23" s="193">
        <v>2.8</v>
      </c>
      <c r="C23" s="194">
        <v>1.9</v>
      </c>
      <c r="D23" s="194">
        <v>1.1000000000000001</v>
      </c>
      <c r="E23" s="194">
        <v>0.3</v>
      </c>
      <c r="F23" s="194">
        <v>-0.3</v>
      </c>
      <c r="G23" s="194">
        <v>-0.9</v>
      </c>
      <c r="H23" s="194">
        <v>-1</v>
      </c>
      <c r="I23" s="194">
        <v>-0.4</v>
      </c>
      <c r="J23" s="194">
        <v>1.1000000000000001</v>
      </c>
      <c r="K23" s="194">
        <v>3.3</v>
      </c>
      <c r="L23" s="194">
        <v>5.6</v>
      </c>
      <c r="M23" s="194">
        <v>7.8</v>
      </c>
      <c r="N23" s="194">
        <v>9.6</v>
      </c>
      <c r="O23" s="194">
        <v>10.7</v>
      </c>
      <c r="P23" s="194">
        <v>11.2</v>
      </c>
      <c r="Q23" s="194">
        <v>11.2</v>
      </c>
      <c r="R23" s="194">
        <v>11</v>
      </c>
      <c r="S23" s="194">
        <v>10.5</v>
      </c>
      <c r="T23" s="195">
        <v>9.8000000000000007</v>
      </c>
      <c r="U23" s="195">
        <v>8.8000000000000007</v>
      </c>
      <c r="V23" s="195">
        <v>7.5</v>
      </c>
      <c r="W23" s="195">
        <v>6.2</v>
      </c>
      <c r="X23" s="195">
        <v>5</v>
      </c>
      <c r="Y23" s="196">
        <v>3.9</v>
      </c>
    </row>
    <row r="24" spans="1:25" ht="12" customHeight="1">
      <c r="A24" s="159" t="s">
        <v>74</v>
      </c>
      <c r="B24" s="193">
        <v>3.4</v>
      </c>
      <c r="C24" s="194">
        <v>2.2999999999999998</v>
      </c>
      <c r="D24" s="194">
        <v>1.4</v>
      </c>
      <c r="E24" s="194">
        <v>0.6</v>
      </c>
      <c r="F24" s="194">
        <v>-0.1</v>
      </c>
      <c r="G24" s="194">
        <v>-0.7</v>
      </c>
      <c r="H24" s="194">
        <v>-1.1000000000000001</v>
      </c>
      <c r="I24" s="194">
        <v>-1.1000000000000001</v>
      </c>
      <c r="J24" s="194">
        <v>-0.7</v>
      </c>
      <c r="K24" s="194">
        <v>0.2</v>
      </c>
      <c r="L24" s="194">
        <v>1.5</v>
      </c>
      <c r="M24" s="194">
        <v>3.3</v>
      </c>
      <c r="N24" s="194">
        <v>5.4</v>
      </c>
      <c r="O24" s="194">
        <v>7.6</v>
      </c>
      <c r="P24" s="194">
        <v>9.6</v>
      </c>
      <c r="Q24" s="194">
        <v>11.1</v>
      </c>
      <c r="R24" s="194">
        <v>12</v>
      </c>
      <c r="S24" s="194">
        <v>12.1</v>
      </c>
      <c r="T24" s="195">
        <v>11.5</v>
      </c>
      <c r="U24" s="195">
        <v>10.3</v>
      </c>
      <c r="V24" s="195">
        <v>8.8000000000000007</v>
      </c>
      <c r="W24" s="195">
        <v>7.2</v>
      </c>
      <c r="X24" s="195">
        <v>5.8</v>
      </c>
      <c r="Y24" s="196">
        <v>4.5</v>
      </c>
    </row>
    <row r="25" spans="1:25" ht="12" customHeight="1">
      <c r="A25" s="159" t="s">
        <v>75</v>
      </c>
      <c r="B25" s="193">
        <v>4.9000000000000004</v>
      </c>
      <c r="C25" s="194">
        <v>3.6</v>
      </c>
      <c r="D25" s="194">
        <v>2.4</v>
      </c>
      <c r="E25" s="194">
        <v>1.4</v>
      </c>
      <c r="F25" s="194">
        <v>0.6</v>
      </c>
      <c r="G25" s="194">
        <v>-0.2</v>
      </c>
      <c r="H25" s="194">
        <v>-0.7</v>
      </c>
      <c r="I25" s="194">
        <v>-0.8</v>
      </c>
      <c r="J25" s="194">
        <v>-0.4</v>
      </c>
      <c r="K25" s="194">
        <v>0.4</v>
      </c>
      <c r="L25" s="194">
        <v>1.5</v>
      </c>
      <c r="M25" s="194">
        <v>2.7</v>
      </c>
      <c r="N25" s="194">
        <v>4.2</v>
      </c>
      <c r="O25" s="194">
        <v>6.2</v>
      </c>
      <c r="P25" s="194">
        <v>8.6</v>
      </c>
      <c r="Q25" s="194">
        <v>11.1</v>
      </c>
      <c r="R25" s="194">
        <v>13.3</v>
      </c>
      <c r="S25" s="194">
        <v>14.8</v>
      </c>
      <c r="T25" s="195">
        <v>15.1</v>
      </c>
      <c r="U25" s="195">
        <v>14</v>
      </c>
      <c r="V25" s="195">
        <v>12.1</v>
      </c>
      <c r="W25" s="195">
        <v>10</v>
      </c>
      <c r="X25" s="195">
        <v>8.1</v>
      </c>
      <c r="Y25" s="196">
        <v>6.4</v>
      </c>
    </row>
    <row r="26" spans="1:25" ht="12" customHeight="1">
      <c r="A26" s="159" t="s">
        <v>76</v>
      </c>
      <c r="B26" s="193">
        <v>4.9000000000000004</v>
      </c>
      <c r="C26" s="194">
        <v>3.6</v>
      </c>
      <c r="D26" s="194">
        <v>2.5</v>
      </c>
      <c r="E26" s="194">
        <v>1.5</v>
      </c>
      <c r="F26" s="194">
        <v>0.6</v>
      </c>
      <c r="G26" s="194">
        <v>-0.1</v>
      </c>
      <c r="H26" s="194">
        <v>-0.7</v>
      </c>
      <c r="I26" s="194">
        <v>-0.8</v>
      </c>
      <c r="J26" s="194">
        <v>-0.4</v>
      </c>
      <c r="K26" s="194">
        <v>0.4</v>
      </c>
      <c r="L26" s="194">
        <v>1.5</v>
      </c>
      <c r="M26" s="194">
        <v>2.7</v>
      </c>
      <c r="N26" s="194">
        <v>3.9</v>
      </c>
      <c r="O26" s="194">
        <v>5.4</v>
      </c>
      <c r="P26" s="194">
        <v>7.3</v>
      </c>
      <c r="Q26" s="194">
        <v>9.5</v>
      </c>
      <c r="R26" s="194">
        <v>11.9</v>
      </c>
      <c r="S26" s="194">
        <v>13.9</v>
      </c>
      <c r="T26" s="195">
        <v>14.8</v>
      </c>
      <c r="U26" s="195">
        <v>14</v>
      </c>
      <c r="V26" s="195">
        <v>12.2</v>
      </c>
      <c r="W26" s="195">
        <v>10.199999999999999</v>
      </c>
      <c r="X26" s="195">
        <v>8.1999999999999993</v>
      </c>
      <c r="Y26" s="196">
        <v>6.5</v>
      </c>
    </row>
    <row r="27" spans="1:25" ht="12" customHeight="1">
      <c r="A27" s="164" t="s">
        <v>77</v>
      </c>
      <c r="B27" s="197">
        <v>3.5</v>
      </c>
      <c r="C27" s="198">
        <v>2.5</v>
      </c>
      <c r="D27" s="198">
        <v>1.5</v>
      </c>
      <c r="E27" s="198">
        <v>0.7</v>
      </c>
      <c r="F27" s="198">
        <v>0</v>
      </c>
      <c r="G27" s="198">
        <v>-0.6</v>
      </c>
      <c r="H27" s="198">
        <v>-1.1000000000000001</v>
      </c>
      <c r="I27" s="198">
        <v>-1.1000000000000001</v>
      </c>
      <c r="J27" s="198">
        <v>-0.7</v>
      </c>
      <c r="K27" s="198">
        <v>0.2</v>
      </c>
      <c r="L27" s="198">
        <v>1.3</v>
      </c>
      <c r="M27" s="198">
        <v>2.6</v>
      </c>
      <c r="N27" s="198">
        <v>3.8</v>
      </c>
      <c r="O27" s="198">
        <v>5</v>
      </c>
      <c r="P27" s="198">
        <v>6.1</v>
      </c>
      <c r="Q27" s="198">
        <v>7.3</v>
      </c>
      <c r="R27" s="198">
        <v>8.6999999999999993</v>
      </c>
      <c r="S27" s="198">
        <v>10</v>
      </c>
      <c r="T27" s="199">
        <v>10.6</v>
      </c>
      <c r="U27" s="199">
        <v>10.3</v>
      </c>
      <c r="V27" s="199">
        <v>9</v>
      </c>
      <c r="W27" s="199">
        <v>7.5</v>
      </c>
      <c r="X27" s="199">
        <v>6.1</v>
      </c>
      <c r="Y27" s="200">
        <v>4.7</v>
      </c>
    </row>
    <row r="28" spans="1:25" ht="12" customHeight="1" thickBot="1"/>
    <row r="29" spans="1:25" ht="12" customHeight="1">
      <c r="A29" s="146" t="s">
        <v>68</v>
      </c>
      <c r="B29" s="146"/>
      <c r="C29" s="146"/>
      <c r="D29" s="39" t="s">
        <v>36</v>
      </c>
      <c r="E29" s="146"/>
      <c r="F29" s="146"/>
      <c r="G29" s="146"/>
      <c r="H29" s="146"/>
      <c r="I29" s="146"/>
      <c r="J29" s="146"/>
      <c r="K29" s="146"/>
      <c r="L29" s="146"/>
      <c r="M29" s="146"/>
      <c r="N29" s="146"/>
      <c r="O29" s="146"/>
      <c r="P29" s="146"/>
      <c r="Q29" s="146"/>
      <c r="R29" s="146"/>
      <c r="S29" s="147"/>
      <c r="T29" s="146"/>
      <c r="U29" s="146"/>
      <c r="V29" s="146"/>
      <c r="W29" s="146"/>
      <c r="X29" s="146"/>
      <c r="Y29" s="146"/>
    </row>
    <row r="30" spans="1:25" ht="16.5" customHeight="1">
      <c r="A30" s="148"/>
      <c r="B30" s="149">
        <v>1</v>
      </c>
      <c r="C30" s="150">
        <v>2</v>
      </c>
      <c r="D30" s="151">
        <v>3</v>
      </c>
      <c r="E30" s="150">
        <v>4</v>
      </c>
      <c r="F30" s="150">
        <v>5</v>
      </c>
      <c r="G30" s="150">
        <v>6</v>
      </c>
      <c r="H30" s="150">
        <v>7</v>
      </c>
      <c r="I30" s="150">
        <v>8</v>
      </c>
      <c r="J30" s="150">
        <v>9</v>
      </c>
      <c r="K30" s="150">
        <v>10</v>
      </c>
      <c r="L30" s="150">
        <v>11</v>
      </c>
      <c r="M30" s="150">
        <v>12</v>
      </c>
      <c r="N30" s="150">
        <v>13</v>
      </c>
      <c r="O30" s="150">
        <v>14</v>
      </c>
      <c r="P30" s="150">
        <v>15</v>
      </c>
      <c r="Q30" s="150">
        <v>16</v>
      </c>
      <c r="R30" s="150">
        <v>17</v>
      </c>
      <c r="S30" s="150">
        <v>18</v>
      </c>
      <c r="T30" s="152">
        <v>19</v>
      </c>
      <c r="U30" s="152">
        <v>20</v>
      </c>
      <c r="V30" s="152">
        <v>21</v>
      </c>
      <c r="W30" s="152">
        <v>22</v>
      </c>
      <c r="X30" s="152">
        <v>23</v>
      </c>
      <c r="Y30" s="153">
        <v>24</v>
      </c>
    </row>
    <row r="31" spans="1:25" ht="12" customHeight="1">
      <c r="A31" s="154" t="s">
        <v>84</v>
      </c>
      <c r="B31" s="155">
        <v>-3.6</v>
      </c>
      <c r="C31" s="156">
        <v>-4.3</v>
      </c>
      <c r="D31" s="156">
        <v>-4.8</v>
      </c>
      <c r="E31" s="156">
        <v>-5.3</v>
      </c>
      <c r="F31" s="156">
        <v>-5.8</v>
      </c>
      <c r="G31" s="156">
        <v>-6.2</v>
      </c>
      <c r="H31" s="156">
        <v>-6.5</v>
      </c>
      <c r="I31" s="156">
        <v>-6.5</v>
      </c>
      <c r="J31" s="156">
        <v>-6.1</v>
      </c>
      <c r="K31" s="156">
        <v>-5.3</v>
      </c>
      <c r="L31" s="156">
        <v>-4.3</v>
      </c>
      <c r="M31" s="156">
        <v>-3.1</v>
      </c>
      <c r="N31" s="156">
        <v>-1.9</v>
      </c>
      <c r="O31" s="156">
        <v>-0.8</v>
      </c>
      <c r="P31" s="156">
        <v>0.2</v>
      </c>
      <c r="Q31" s="156">
        <v>0.9</v>
      </c>
      <c r="R31" s="156">
        <v>1.4</v>
      </c>
      <c r="S31" s="156">
        <v>1.4</v>
      </c>
      <c r="T31" s="157">
        <v>1.1000000000000001</v>
      </c>
      <c r="U31" s="157">
        <v>0.3</v>
      </c>
      <c r="V31" s="157">
        <v>-0.5</v>
      </c>
      <c r="W31" s="157">
        <v>-1.4</v>
      </c>
      <c r="X31" s="157">
        <v>-2.2000000000000002</v>
      </c>
      <c r="Y31" s="158">
        <v>-3</v>
      </c>
    </row>
    <row r="32" spans="1:25" ht="12" customHeight="1">
      <c r="A32" s="159" t="s">
        <v>69</v>
      </c>
      <c r="B32" s="160">
        <v>-0.8</v>
      </c>
      <c r="C32" s="161">
        <v>-1.9</v>
      </c>
      <c r="D32" s="161">
        <v>-2.9</v>
      </c>
      <c r="E32" s="161">
        <v>-3.8</v>
      </c>
      <c r="F32" s="161">
        <v>-4.5</v>
      </c>
      <c r="G32" s="161">
        <v>-5.2</v>
      </c>
      <c r="H32" s="161">
        <v>-5.6</v>
      </c>
      <c r="I32" s="161">
        <v>-5.4</v>
      </c>
      <c r="J32" s="161">
        <v>-4.2</v>
      </c>
      <c r="K32" s="161">
        <v>-2</v>
      </c>
      <c r="L32" s="161">
        <v>0.9</v>
      </c>
      <c r="M32" s="161">
        <v>4.2</v>
      </c>
      <c r="N32" s="161">
        <v>7.5</v>
      </c>
      <c r="O32" s="161">
        <v>10.4</v>
      </c>
      <c r="P32" s="161">
        <v>12.5</v>
      </c>
      <c r="Q32" s="161">
        <v>13.7</v>
      </c>
      <c r="R32" s="161">
        <v>13.8</v>
      </c>
      <c r="S32" s="161">
        <v>12.7</v>
      </c>
      <c r="T32" s="162">
        <v>10.8</v>
      </c>
      <c r="U32" s="162">
        <v>8.4</v>
      </c>
      <c r="V32" s="162">
        <v>6.1</v>
      </c>
      <c r="W32" s="162">
        <v>4</v>
      </c>
      <c r="X32" s="162">
        <v>2.1</v>
      </c>
      <c r="Y32" s="163">
        <v>0.6</v>
      </c>
    </row>
    <row r="33" spans="1:25" ht="12" customHeight="1">
      <c r="A33" s="159" t="s">
        <v>70</v>
      </c>
      <c r="B33" s="193">
        <v>-3.6</v>
      </c>
      <c r="C33" s="194">
        <v>-4.3</v>
      </c>
      <c r="D33" s="194">
        <v>-4.8</v>
      </c>
      <c r="E33" s="194">
        <v>-5.3</v>
      </c>
      <c r="F33" s="194">
        <v>-5.8</v>
      </c>
      <c r="G33" s="194">
        <v>-6.2</v>
      </c>
      <c r="H33" s="194">
        <v>-6.3</v>
      </c>
      <c r="I33" s="194">
        <v>-6.1</v>
      </c>
      <c r="J33" s="194">
        <v>-5.6</v>
      </c>
      <c r="K33" s="194">
        <v>-4.8</v>
      </c>
      <c r="L33" s="194">
        <v>-3.8</v>
      </c>
      <c r="M33" s="194">
        <v>-2.7</v>
      </c>
      <c r="N33" s="194">
        <v>-1.6</v>
      </c>
      <c r="O33" s="194">
        <v>-0.5</v>
      </c>
      <c r="P33" s="194">
        <v>0.4</v>
      </c>
      <c r="Q33" s="194">
        <v>1.1000000000000001</v>
      </c>
      <c r="R33" s="194">
        <v>1.6</v>
      </c>
      <c r="S33" s="194">
        <v>1.6</v>
      </c>
      <c r="T33" s="195">
        <v>1.2</v>
      </c>
      <c r="U33" s="195">
        <v>0.4</v>
      </c>
      <c r="V33" s="195">
        <v>-0.5</v>
      </c>
      <c r="W33" s="195">
        <v>-1.4</v>
      </c>
      <c r="X33" s="195">
        <v>-2.2000000000000002</v>
      </c>
      <c r="Y33" s="196">
        <v>-3</v>
      </c>
    </row>
    <row r="34" spans="1:25" ht="12" customHeight="1">
      <c r="A34" s="159" t="s">
        <v>71</v>
      </c>
      <c r="B34" s="193">
        <v>-3.3</v>
      </c>
      <c r="C34" s="194">
        <v>-4</v>
      </c>
      <c r="D34" s="194">
        <v>-4.5999999999999996</v>
      </c>
      <c r="E34" s="194">
        <v>-5.2</v>
      </c>
      <c r="F34" s="194">
        <v>-5.6</v>
      </c>
      <c r="G34" s="194">
        <v>-6</v>
      </c>
      <c r="H34" s="194">
        <v>-5.9</v>
      </c>
      <c r="I34" s="194">
        <v>-4.8</v>
      </c>
      <c r="J34" s="194">
        <v>-2.8</v>
      </c>
      <c r="K34" s="194">
        <v>-0.8</v>
      </c>
      <c r="L34" s="194">
        <v>0.8</v>
      </c>
      <c r="M34" s="194">
        <v>1.7</v>
      </c>
      <c r="N34" s="194">
        <v>2.2000000000000002</v>
      </c>
      <c r="O34" s="194">
        <v>2.6</v>
      </c>
      <c r="P34" s="194">
        <v>2.9</v>
      </c>
      <c r="Q34" s="194">
        <v>3.2</v>
      </c>
      <c r="R34" s="194">
        <v>3.2</v>
      </c>
      <c r="S34" s="194">
        <v>2.9</v>
      </c>
      <c r="T34" s="195">
        <v>2.2000000000000002</v>
      </c>
      <c r="U34" s="195">
        <v>1.3</v>
      </c>
      <c r="V34" s="195">
        <v>0.2</v>
      </c>
      <c r="W34" s="195">
        <v>-0.8</v>
      </c>
      <c r="X34" s="195">
        <v>-1.7</v>
      </c>
      <c r="Y34" s="196">
        <v>-2.6</v>
      </c>
    </row>
    <row r="35" spans="1:25" ht="12" customHeight="1">
      <c r="A35" s="159" t="s">
        <v>72</v>
      </c>
      <c r="B35" s="193">
        <v>-2.9</v>
      </c>
      <c r="C35" s="194">
        <v>-3.7</v>
      </c>
      <c r="D35" s="194">
        <v>-4.3</v>
      </c>
      <c r="E35" s="194">
        <v>-4.9000000000000004</v>
      </c>
      <c r="F35" s="194">
        <v>-5.5</v>
      </c>
      <c r="G35" s="194">
        <v>-5.9</v>
      </c>
      <c r="H35" s="194">
        <v>-5.7</v>
      </c>
      <c r="I35" s="194">
        <v>-4.3</v>
      </c>
      <c r="J35" s="194">
        <v>-1.8</v>
      </c>
      <c r="K35" s="194">
        <v>1.2</v>
      </c>
      <c r="L35" s="194">
        <v>4</v>
      </c>
      <c r="M35" s="194">
        <v>6</v>
      </c>
      <c r="N35" s="194">
        <v>6.9</v>
      </c>
      <c r="O35" s="194">
        <v>6.9</v>
      </c>
      <c r="P35" s="194">
        <v>6.6</v>
      </c>
      <c r="Q35" s="194">
        <v>6.2</v>
      </c>
      <c r="R35" s="194">
        <v>5.6</v>
      </c>
      <c r="S35" s="194">
        <v>4.9000000000000004</v>
      </c>
      <c r="T35" s="195">
        <v>3.8</v>
      </c>
      <c r="U35" s="195">
        <v>2.6</v>
      </c>
      <c r="V35" s="195">
        <v>1.3</v>
      </c>
      <c r="W35" s="195">
        <v>0.1</v>
      </c>
      <c r="X35" s="195">
        <v>-1</v>
      </c>
      <c r="Y35" s="196">
        <v>-2</v>
      </c>
    </row>
    <row r="36" spans="1:25" ht="12" customHeight="1">
      <c r="A36" s="159" t="s">
        <v>73</v>
      </c>
      <c r="B36" s="193">
        <v>-2.4</v>
      </c>
      <c r="C36" s="194">
        <v>-3.3</v>
      </c>
      <c r="D36" s="194">
        <v>-4</v>
      </c>
      <c r="E36" s="194">
        <v>-4.7</v>
      </c>
      <c r="F36" s="194">
        <v>-5.3</v>
      </c>
      <c r="G36" s="194">
        <v>-5.7</v>
      </c>
      <c r="H36" s="194">
        <v>-5.9</v>
      </c>
      <c r="I36" s="194">
        <v>-5</v>
      </c>
      <c r="J36" s="194">
        <v>-3.2</v>
      </c>
      <c r="K36" s="194">
        <v>-0.5</v>
      </c>
      <c r="L36" s="194">
        <v>2.5</v>
      </c>
      <c r="M36" s="194">
        <v>5.3</v>
      </c>
      <c r="N36" s="194">
        <v>7.6</v>
      </c>
      <c r="O36" s="194">
        <v>9</v>
      </c>
      <c r="P36" s="194">
        <v>9.4</v>
      </c>
      <c r="Q36" s="194">
        <v>9</v>
      </c>
      <c r="R36" s="194">
        <v>8.1</v>
      </c>
      <c r="S36" s="194">
        <v>6.9</v>
      </c>
      <c r="T36" s="195">
        <v>5.5</v>
      </c>
      <c r="U36" s="195">
        <v>3.9</v>
      </c>
      <c r="V36" s="195">
        <v>2.4</v>
      </c>
      <c r="W36" s="195">
        <v>0.9</v>
      </c>
      <c r="X36" s="195">
        <v>-0.3</v>
      </c>
      <c r="Y36" s="196">
        <v>-1.4</v>
      </c>
    </row>
    <row r="37" spans="1:25" ht="12" customHeight="1">
      <c r="A37" s="159" t="s">
        <v>74</v>
      </c>
      <c r="B37" s="193">
        <v>-1.3</v>
      </c>
      <c r="C37" s="194">
        <v>-2.2999999999999998</v>
      </c>
      <c r="D37" s="194">
        <v>-3.3</v>
      </c>
      <c r="E37" s="194">
        <v>-4.0999999999999996</v>
      </c>
      <c r="F37" s="194">
        <v>-4.8</v>
      </c>
      <c r="G37" s="194">
        <v>-5.4</v>
      </c>
      <c r="H37" s="194">
        <v>-5.8</v>
      </c>
      <c r="I37" s="194">
        <v>-6</v>
      </c>
      <c r="J37" s="194">
        <v>-5.5</v>
      </c>
      <c r="K37" s="194">
        <v>-4.4000000000000004</v>
      </c>
      <c r="L37" s="194">
        <v>-2.4</v>
      </c>
      <c r="M37" s="194">
        <v>0.2</v>
      </c>
      <c r="N37" s="194">
        <v>3.1</v>
      </c>
      <c r="O37" s="194">
        <v>5.9</v>
      </c>
      <c r="P37" s="194">
        <v>8.4</v>
      </c>
      <c r="Q37" s="194">
        <v>10.1</v>
      </c>
      <c r="R37" s="194">
        <v>10.9</v>
      </c>
      <c r="S37" s="194">
        <v>10.5</v>
      </c>
      <c r="T37" s="195">
        <v>9.1</v>
      </c>
      <c r="U37" s="195">
        <v>7.1</v>
      </c>
      <c r="V37" s="195">
        <v>5</v>
      </c>
      <c r="W37" s="195">
        <v>3.1</v>
      </c>
      <c r="X37" s="195">
        <v>1.4</v>
      </c>
      <c r="Y37" s="196">
        <v>-0.1</v>
      </c>
    </row>
    <row r="38" spans="1:25" ht="12" customHeight="1">
      <c r="A38" s="159" t="s">
        <v>75</v>
      </c>
      <c r="B38" s="193">
        <v>-0.7</v>
      </c>
      <c r="C38" s="194">
        <v>-1.9</v>
      </c>
      <c r="D38" s="194">
        <v>-2.9</v>
      </c>
      <c r="E38" s="194">
        <v>-3.7</v>
      </c>
      <c r="F38" s="194">
        <v>-4.5</v>
      </c>
      <c r="G38" s="194">
        <v>-5.0999999999999996</v>
      </c>
      <c r="H38" s="194">
        <v>-5.6</v>
      </c>
      <c r="I38" s="194">
        <v>-5.8</v>
      </c>
      <c r="J38" s="194">
        <v>-5.5</v>
      </c>
      <c r="K38" s="194">
        <v>-4.8</v>
      </c>
      <c r="L38" s="194">
        <v>-3.8</v>
      </c>
      <c r="M38" s="194">
        <v>-2.5</v>
      </c>
      <c r="N38" s="194">
        <v>-0.6</v>
      </c>
      <c r="O38" s="194">
        <v>2.1</v>
      </c>
      <c r="P38" s="194">
        <v>5.0999999999999996</v>
      </c>
      <c r="Q38" s="194">
        <v>8</v>
      </c>
      <c r="R38" s="194">
        <v>10.3</v>
      </c>
      <c r="S38" s="194">
        <v>11.3</v>
      </c>
      <c r="T38" s="195">
        <v>10.6</v>
      </c>
      <c r="U38" s="195">
        <v>8.6</v>
      </c>
      <c r="V38" s="195">
        <v>6.3</v>
      </c>
      <c r="W38" s="195">
        <v>4.2</v>
      </c>
      <c r="X38" s="195">
        <v>2.2999999999999998</v>
      </c>
      <c r="Y38" s="196">
        <v>0.7</v>
      </c>
    </row>
    <row r="39" spans="1:25" ht="12" customHeight="1">
      <c r="A39" s="159" t="s">
        <v>76</v>
      </c>
      <c r="B39" s="193">
        <v>-1.5</v>
      </c>
      <c r="C39" s="194">
        <v>-2.5</v>
      </c>
      <c r="D39" s="194">
        <v>-3.4</v>
      </c>
      <c r="E39" s="194">
        <v>-4.2</v>
      </c>
      <c r="F39" s="194">
        <v>-4.8</v>
      </c>
      <c r="G39" s="194">
        <v>-5.4</v>
      </c>
      <c r="H39" s="194">
        <v>-5.9</v>
      </c>
      <c r="I39" s="194">
        <v>-6</v>
      </c>
      <c r="J39" s="194">
        <v>-5.7</v>
      </c>
      <c r="K39" s="194">
        <v>-5</v>
      </c>
      <c r="L39" s="194">
        <v>-3.9</v>
      </c>
      <c r="M39" s="194">
        <v>-2.8</v>
      </c>
      <c r="N39" s="194">
        <v>-1.6</v>
      </c>
      <c r="O39" s="194">
        <v>-0.2</v>
      </c>
      <c r="P39" s="194">
        <v>1.7</v>
      </c>
      <c r="Q39" s="194">
        <v>4</v>
      </c>
      <c r="R39" s="194">
        <v>6.3</v>
      </c>
      <c r="S39" s="194">
        <v>7.8</v>
      </c>
      <c r="T39" s="195">
        <v>7.7</v>
      </c>
      <c r="U39" s="195">
        <v>6.3</v>
      </c>
      <c r="V39" s="195">
        <v>4.5</v>
      </c>
      <c r="W39" s="195">
        <v>2.7</v>
      </c>
      <c r="X39" s="195">
        <v>1.1000000000000001</v>
      </c>
      <c r="Y39" s="196">
        <v>-0.3</v>
      </c>
    </row>
    <row r="40" spans="1:25" ht="12" customHeight="1">
      <c r="A40" s="164" t="s">
        <v>77</v>
      </c>
      <c r="B40" s="197">
        <v>-3.1</v>
      </c>
      <c r="C40" s="198">
        <v>-3.8</v>
      </c>
      <c r="D40" s="198">
        <v>-4.5</v>
      </c>
      <c r="E40" s="198">
        <v>-5</v>
      </c>
      <c r="F40" s="198">
        <v>-5.5</v>
      </c>
      <c r="G40" s="198">
        <v>-6</v>
      </c>
      <c r="H40" s="198">
        <v>-6.3</v>
      </c>
      <c r="I40" s="198">
        <v>-6.4</v>
      </c>
      <c r="J40" s="198">
        <v>-6</v>
      </c>
      <c r="K40" s="198">
        <v>-5.2</v>
      </c>
      <c r="L40" s="198">
        <v>-4.0999999999999996</v>
      </c>
      <c r="M40" s="198">
        <v>-3</v>
      </c>
      <c r="N40" s="198">
        <v>-1.8</v>
      </c>
      <c r="O40" s="198">
        <v>-0.7</v>
      </c>
      <c r="P40" s="198">
        <v>0.3</v>
      </c>
      <c r="Q40" s="198">
        <v>1.2</v>
      </c>
      <c r="R40" s="198">
        <v>2</v>
      </c>
      <c r="S40" s="198">
        <v>2.7</v>
      </c>
      <c r="T40" s="199">
        <v>2.6</v>
      </c>
      <c r="U40" s="199">
        <v>1.8</v>
      </c>
      <c r="V40" s="199">
        <v>0.8</v>
      </c>
      <c r="W40" s="199">
        <v>-0.3</v>
      </c>
      <c r="X40" s="199">
        <v>-1.4</v>
      </c>
      <c r="Y40" s="200">
        <v>-2.2999999999999998</v>
      </c>
    </row>
    <row r="42" spans="1:25" ht="12" customHeight="1">
      <c r="A42" s="146" t="s">
        <v>78</v>
      </c>
      <c r="B42" s="146"/>
      <c r="C42" s="146"/>
      <c r="D42" s="146"/>
      <c r="E42" s="146"/>
      <c r="G42" s="146"/>
      <c r="H42" s="146"/>
      <c r="I42" s="146"/>
      <c r="J42" s="146"/>
      <c r="K42" s="146"/>
    </row>
    <row r="43" spans="1:25" ht="15" customHeight="1">
      <c r="A43" s="169" t="s">
        <v>79</v>
      </c>
      <c r="B43" s="170" t="s">
        <v>80</v>
      </c>
      <c r="C43" s="171" t="s">
        <v>81</v>
      </c>
      <c r="D43" s="170" t="s">
        <v>80</v>
      </c>
      <c r="E43" s="171" t="s">
        <v>81</v>
      </c>
      <c r="F43" s="170" t="s">
        <v>80</v>
      </c>
      <c r="G43" s="171" t="s">
        <v>81</v>
      </c>
      <c r="H43" s="170" t="s">
        <v>80</v>
      </c>
      <c r="I43" s="171" t="s">
        <v>81</v>
      </c>
      <c r="J43" s="170" t="s">
        <v>80</v>
      </c>
      <c r="K43" s="171" t="s">
        <v>81</v>
      </c>
      <c r="L43" s="170" t="s">
        <v>80</v>
      </c>
      <c r="M43" s="172" t="s">
        <v>80</v>
      </c>
      <c r="N43" s="170" t="s">
        <v>80</v>
      </c>
      <c r="P43" s="73" t="s">
        <v>51</v>
      </c>
    </row>
    <row r="44" spans="1:25" ht="12" customHeight="1">
      <c r="A44" s="173">
        <v>0</v>
      </c>
      <c r="B44" s="174">
        <v>2E-3</v>
      </c>
      <c r="C44" s="175">
        <f t="shared" ref="C44:C67" si="0">A44+24</f>
        <v>24</v>
      </c>
      <c r="D44" s="174">
        <v>2E-3</v>
      </c>
      <c r="E44" s="175">
        <f t="shared" ref="E44:E67" si="1">C44+24</f>
        <v>48</v>
      </c>
      <c r="F44" s="174">
        <v>0</v>
      </c>
      <c r="G44" s="175">
        <f t="shared" ref="G44:G67" si="2">E44+24</f>
        <v>72</v>
      </c>
      <c r="H44" s="176">
        <v>0</v>
      </c>
      <c r="I44" s="175">
        <f t="shared" ref="I44:I67" si="3">G44+24</f>
        <v>96</v>
      </c>
      <c r="J44" s="176">
        <v>0</v>
      </c>
      <c r="K44" s="175">
        <f t="shared" ref="K44:K67" si="4">I44+24</f>
        <v>120</v>
      </c>
      <c r="L44" s="176">
        <v>0</v>
      </c>
      <c r="M44" s="177">
        <f t="shared" ref="M44:M67" si="5">K44+24</f>
        <v>144</v>
      </c>
      <c r="N44" s="178">
        <v>0</v>
      </c>
      <c r="P44" s="179" t="s">
        <v>85</v>
      </c>
    </row>
    <row r="45" spans="1:25" ht="12" customHeight="1">
      <c r="A45" s="180">
        <v>1</v>
      </c>
      <c r="B45" s="181">
        <v>5.2999999999999999E-2</v>
      </c>
      <c r="C45" s="182">
        <f t="shared" si="0"/>
        <v>25</v>
      </c>
      <c r="D45" s="181">
        <v>2E-3</v>
      </c>
      <c r="E45" s="182">
        <f t="shared" si="1"/>
        <v>49</v>
      </c>
      <c r="F45" s="181">
        <v>0</v>
      </c>
      <c r="G45" s="182">
        <f t="shared" si="2"/>
        <v>73</v>
      </c>
      <c r="H45" s="183">
        <v>0</v>
      </c>
      <c r="I45" s="182">
        <f t="shared" si="3"/>
        <v>97</v>
      </c>
      <c r="J45" s="183">
        <v>0</v>
      </c>
      <c r="K45" s="182">
        <f t="shared" si="4"/>
        <v>121</v>
      </c>
      <c r="L45" s="183">
        <v>0</v>
      </c>
      <c r="M45" s="184">
        <f t="shared" si="5"/>
        <v>145</v>
      </c>
      <c r="N45" s="185">
        <v>0</v>
      </c>
      <c r="P45" s="186" t="s">
        <v>86</v>
      </c>
    </row>
    <row r="46" spans="1:25" ht="12" customHeight="1">
      <c r="A46" s="180">
        <v>2</v>
      </c>
      <c r="B46" s="181">
        <v>0.127</v>
      </c>
      <c r="C46" s="182">
        <f t="shared" si="0"/>
        <v>26</v>
      </c>
      <c r="D46" s="181">
        <v>1E-3</v>
      </c>
      <c r="E46" s="182">
        <f t="shared" si="1"/>
        <v>50</v>
      </c>
      <c r="F46" s="181">
        <v>0</v>
      </c>
      <c r="G46" s="182">
        <f t="shared" si="2"/>
        <v>74</v>
      </c>
      <c r="H46" s="183">
        <v>0</v>
      </c>
      <c r="I46" s="182">
        <f t="shared" si="3"/>
        <v>98</v>
      </c>
      <c r="J46" s="183">
        <v>0</v>
      </c>
      <c r="K46" s="182">
        <f t="shared" si="4"/>
        <v>122</v>
      </c>
      <c r="L46" s="183">
        <v>0</v>
      </c>
      <c r="M46" s="184">
        <f t="shared" si="5"/>
        <v>146</v>
      </c>
      <c r="N46" s="185">
        <v>0</v>
      </c>
      <c r="P46" s="179" t="s">
        <v>87</v>
      </c>
    </row>
    <row r="47" spans="1:25" ht="12" customHeight="1">
      <c r="A47" s="180">
        <v>3</v>
      </c>
      <c r="B47" s="181">
        <v>0.14000000000000001</v>
      </c>
      <c r="C47" s="182">
        <f t="shared" si="0"/>
        <v>27</v>
      </c>
      <c r="D47" s="181">
        <v>1E-3</v>
      </c>
      <c r="E47" s="182">
        <f t="shared" si="1"/>
        <v>51</v>
      </c>
      <c r="F47" s="181">
        <v>0</v>
      </c>
      <c r="G47" s="182">
        <f t="shared" si="2"/>
        <v>75</v>
      </c>
      <c r="H47" s="183">
        <v>0</v>
      </c>
      <c r="I47" s="182">
        <f t="shared" si="3"/>
        <v>99</v>
      </c>
      <c r="J47" s="183">
        <v>0</v>
      </c>
      <c r="K47" s="182">
        <f t="shared" si="4"/>
        <v>123</v>
      </c>
      <c r="L47" s="183">
        <v>0</v>
      </c>
      <c r="M47" s="184">
        <f t="shared" si="5"/>
        <v>147</v>
      </c>
      <c r="N47" s="185">
        <v>0</v>
      </c>
      <c r="P47" s="179" t="s">
        <v>88</v>
      </c>
    </row>
    <row r="48" spans="1:25" ht="12" customHeight="1">
      <c r="A48" s="180">
        <v>4</v>
      </c>
      <c r="B48" s="181">
        <v>0.125</v>
      </c>
      <c r="C48" s="182">
        <f t="shared" si="0"/>
        <v>28</v>
      </c>
      <c r="D48" s="181">
        <v>1E-3</v>
      </c>
      <c r="E48" s="182">
        <f t="shared" si="1"/>
        <v>52</v>
      </c>
      <c r="F48" s="181">
        <v>0</v>
      </c>
      <c r="G48" s="182">
        <f t="shared" si="2"/>
        <v>76</v>
      </c>
      <c r="H48" s="183">
        <v>0</v>
      </c>
      <c r="I48" s="182">
        <f t="shared" si="3"/>
        <v>100</v>
      </c>
      <c r="J48" s="183">
        <v>0</v>
      </c>
      <c r="K48" s="182">
        <f t="shared" si="4"/>
        <v>124</v>
      </c>
      <c r="L48" s="183">
        <v>0</v>
      </c>
      <c r="M48" s="184">
        <f t="shared" si="5"/>
        <v>148</v>
      </c>
      <c r="N48" s="185">
        <v>0</v>
      </c>
      <c r="P48" s="179" t="s">
        <v>89</v>
      </c>
    </row>
    <row r="49" spans="1:16" ht="12" customHeight="1">
      <c r="A49" s="180">
        <v>5</v>
      </c>
      <c r="B49" s="181">
        <v>0.104</v>
      </c>
      <c r="C49" s="182">
        <f t="shared" si="0"/>
        <v>29</v>
      </c>
      <c r="D49" s="181">
        <v>1E-3</v>
      </c>
      <c r="E49" s="182">
        <f t="shared" si="1"/>
        <v>53</v>
      </c>
      <c r="F49" s="181">
        <v>0</v>
      </c>
      <c r="G49" s="182">
        <f t="shared" si="2"/>
        <v>77</v>
      </c>
      <c r="H49" s="183">
        <v>0</v>
      </c>
      <c r="I49" s="182">
        <f t="shared" si="3"/>
        <v>101</v>
      </c>
      <c r="J49" s="183">
        <v>0</v>
      </c>
      <c r="K49" s="182">
        <f t="shared" si="4"/>
        <v>125</v>
      </c>
      <c r="L49" s="183">
        <v>0</v>
      </c>
      <c r="M49" s="184">
        <f t="shared" si="5"/>
        <v>149</v>
      </c>
      <c r="N49" s="185">
        <v>0</v>
      </c>
      <c r="P49" s="179" t="s">
        <v>90</v>
      </c>
    </row>
    <row r="50" spans="1:16" ht="12" customHeight="1">
      <c r="A50" s="180">
        <v>6</v>
      </c>
      <c r="B50" s="181">
        <v>8.5000000000000006E-2</v>
      </c>
      <c r="C50" s="182">
        <f t="shared" si="0"/>
        <v>30</v>
      </c>
      <c r="D50" s="181">
        <v>1E-3</v>
      </c>
      <c r="E50" s="182">
        <f t="shared" si="1"/>
        <v>54</v>
      </c>
      <c r="F50" s="181">
        <v>0</v>
      </c>
      <c r="G50" s="182">
        <f t="shared" si="2"/>
        <v>78</v>
      </c>
      <c r="H50" s="183">
        <v>0</v>
      </c>
      <c r="I50" s="182">
        <f t="shared" si="3"/>
        <v>102</v>
      </c>
      <c r="J50" s="183">
        <v>0</v>
      </c>
      <c r="K50" s="182">
        <f t="shared" si="4"/>
        <v>126</v>
      </c>
      <c r="L50" s="183">
        <v>0</v>
      </c>
      <c r="M50" s="184">
        <f t="shared" si="5"/>
        <v>150</v>
      </c>
      <c r="N50" s="185">
        <v>0</v>
      </c>
      <c r="P50" s="179" t="s">
        <v>91</v>
      </c>
    </row>
    <row r="51" spans="1:16" ht="12" customHeight="1">
      <c r="A51" s="180">
        <v>7</v>
      </c>
      <c r="B51" s="181">
        <v>6.9000000000000006E-2</v>
      </c>
      <c r="C51" s="182">
        <f t="shared" si="0"/>
        <v>31</v>
      </c>
      <c r="D51" s="181">
        <v>0</v>
      </c>
      <c r="E51" s="182">
        <f t="shared" si="1"/>
        <v>55</v>
      </c>
      <c r="F51" s="181">
        <v>0</v>
      </c>
      <c r="G51" s="182">
        <f t="shared" si="2"/>
        <v>79</v>
      </c>
      <c r="H51" s="183">
        <v>0</v>
      </c>
      <c r="I51" s="182">
        <f t="shared" si="3"/>
        <v>103</v>
      </c>
      <c r="J51" s="183">
        <v>0</v>
      </c>
      <c r="K51" s="182">
        <f t="shared" si="4"/>
        <v>127</v>
      </c>
      <c r="L51" s="183">
        <v>0</v>
      </c>
      <c r="M51" s="184">
        <f t="shared" si="5"/>
        <v>151</v>
      </c>
      <c r="N51" s="185">
        <v>0</v>
      </c>
      <c r="P51" s="179" t="s">
        <v>92</v>
      </c>
    </row>
    <row r="52" spans="1:16" ht="12" customHeight="1">
      <c r="A52" s="180">
        <v>8</v>
      </c>
      <c r="B52" s="181">
        <v>5.6000000000000001E-2</v>
      </c>
      <c r="C52" s="182">
        <f t="shared" si="0"/>
        <v>32</v>
      </c>
      <c r="D52" s="181">
        <v>0</v>
      </c>
      <c r="E52" s="182">
        <f t="shared" si="1"/>
        <v>56</v>
      </c>
      <c r="F52" s="181">
        <v>0</v>
      </c>
      <c r="G52" s="182">
        <f t="shared" si="2"/>
        <v>80</v>
      </c>
      <c r="H52" s="183">
        <v>0</v>
      </c>
      <c r="I52" s="182">
        <f t="shared" si="3"/>
        <v>104</v>
      </c>
      <c r="J52" s="183">
        <v>0</v>
      </c>
      <c r="K52" s="182">
        <f t="shared" si="4"/>
        <v>128</v>
      </c>
      <c r="L52" s="183">
        <v>0</v>
      </c>
      <c r="M52" s="184">
        <f t="shared" si="5"/>
        <v>152</v>
      </c>
      <c r="N52" s="185">
        <v>0</v>
      </c>
      <c r="P52" s="179" t="s">
        <v>93</v>
      </c>
    </row>
    <row r="53" spans="1:16" ht="12" customHeight="1">
      <c r="A53" s="180">
        <v>9</v>
      </c>
      <c r="B53" s="181">
        <v>4.4999999999999998E-2</v>
      </c>
      <c r="C53" s="182">
        <f t="shared" si="0"/>
        <v>33</v>
      </c>
      <c r="D53" s="181">
        <v>0</v>
      </c>
      <c r="E53" s="182">
        <f t="shared" si="1"/>
        <v>57</v>
      </c>
      <c r="F53" s="181">
        <v>0</v>
      </c>
      <c r="G53" s="182">
        <f t="shared" si="2"/>
        <v>81</v>
      </c>
      <c r="H53" s="183">
        <v>0</v>
      </c>
      <c r="I53" s="182">
        <f t="shared" si="3"/>
        <v>105</v>
      </c>
      <c r="J53" s="183">
        <v>0</v>
      </c>
      <c r="K53" s="182">
        <f t="shared" si="4"/>
        <v>129</v>
      </c>
      <c r="L53" s="183">
        <v>0</v>
      </c>
      <c r="M53" s="184">
        <f t="shared" si="5"/>
        <v>153</v>
      </c>
      <c r="N53" s="185">
        <v>0</v>
      </c>
      <c r="P53" s="179" t="s">
        <v>94</v>
      </c>
    </row>
    <row r="54" spans="1:16" ht="12" customHeight="1">
      <c r="A54" s="180">
        <v>10</v>
      </c>
      <c r="B54" s="181">
        <v>3.6999999999999998E-2</v>
      </c>
      <c r="C54" s="182">
        <f t="shared" si="0"/>
        <v>34</v>
      </c>
      <c r="D54" s="181">
        <v>0</v>
      </c>
      <c r="E54" s="182">
        <f t="shared" si="1"/>
        <v>58</v>
      </c>
      <c r="F54" s="181">
        <v>0</v>
      </c>
      <c r="G54" s="182">
        <f t="shared" si="2"/>
        <v>82</v>
      </c>
      <c r="H54" s="183">
        <v>0</v>
      </c>
      <c r="I54" s="182">
        <f t="shared" si="3"/>
        <v>106</v>
      </c>
      <c r="J54" s="183">
        <v>0</v>
      </c>
      <c r="K54" s="182">
        <f t="shared" si="4"/>
        <v>130</v>
      </c>
      <c r="L54" s="183">
        <v>0</v>
      </c>
      <c r="M54" s="184">
        <f t="shared" si="5"/>
        <v>154</v>
      </c>
      <c r="N54" s="185">
        <v>0</v>
      </c>
      <c r="P54" s="179" t="s">
        <v>95</v>
      </c>
    </row>
    <row r="55" spans="1:16" ht="12" customHeight="1">
      <c r="A55" s="180">
        <v>11</v>
      </c>
      <c r="B55" s="181">
        <v>0.03</v>
      </c>
      <c r="C55" s="182">
        <f t="shared" si="0"/>
        <v>35</v>
      </c>
      <c r="D55" s="181">
        <v>0</v>
      </c>
      <c r="E55" s="182">
        <f t="shared" si="1"/>
        <v>59</v>
      </c>
      <c r="F55" s="181">
        <v>0</v>
      </c>
      <c r="G55" s="182">
        <f t="shared" si="2"/>
        <v>83</v>
      </c>
      <c r="H55" s="183">
        <v>0</v>
      </c>
      <c r="I55" s="182">
        <f t="shared" si="3"/>
        <v>107</v>
      </c>
      <c r="J55" s="183">
        <v>0</v>
      </c>
      <c r="K55" s="182">
        <f t="shared" si="4"/>
        <v>131</v>
      </c>
      <c r="L55" s="183">
        <v>0</v>
      </c>
      <c r="M55" s="184">
        <f t="shared" si="5"/>
        <v>155</v>
      </c>
      <c r="N55" s="185">
        <v>0</v>
      </c>
      <c r="P55" s="179"/>
    </row>
    <row r="56" spans="1:16" ht="12" customHeight="1">
      <c r="A56" s="180">
        <v>12</v>
      </c>
      <c r="B56" s="181">
        <v>2.4E-2</v>
      </c>
      <c r="C56" s="182">
        <f t="shared" si="0"/>
        <v>36</v>
      </c>
      <c r="D56" s="181">
        <v>0</v>
      </c>
      <c r="E56" s="182">
        <f t="shared" si="1"/>
        <v>60</v>
      </c>
      <c r="F56" s="181">
        <v>0</v>
      </c>
      <c r="G56" s="182">
        <f t="shared" si="2"/>
        <v>84</v>
      </c>
      <c r="H56" s="183">
        <v>0</v>
      </c>
      <c r="I56" s="182">
        <f t="shared" si="3"/>
        <v>108</v>
      </c>
      <c r="J56" s="183">
        <v>0</v>
      </c>
      <c r="K56" s="182">
        <f t="shared" si="4"/>
        <v>132</v>
      </c>
      <c r="L56" s="183">
        <v>0</v>
      </c>
      <c r="M56" s="184">
        <f t="shared" si="5"/>
        <v>156</v>
      </c>
      <c r="N56" s="185">
        <v>0</v>
      </c>
      <c r="P56" s="179"/>
    </row>
    <row r="57" spans="1:16" ht="12" customHeight="1">
      <c r="A57" s="180">
        <v>13</v>
      </c>
      <c r="B57" s="181">
        <v>0.02</v>
      </c>
      <c r="C57" s="182">
        <f t="shared" si="0"/>
        <v>37</v>
      </c>
      <c r="D57" s="181">
        <v>0</v>
      </c>
      <c r="E57" s="182">
        <f t="shared" si="1"/>
        <v>61</v>
      </c>
      <c r="F57" s="181">
        <v>0</v>
      </c>
      <c r="G57" s="182">
        <f t="shared" si="2"/>
        <v>85</v>
      </c>
      <c r="H57" s="183">
        <v>0</v>
      </c>
      <c r="I57" s="182">
        <f t="shared" si="3"/>
        <v>109</v>
      </c>
      <c r="J57" s="183">
        <v>0</v>
      </c>
      <c r="K57" s="182">
        <f t="shared" si="4"/>
        <v>133</v>
      </c>
      <c r="L57" s="183">
        <v>0</v>
      </c>
      <c r="M57" s="184">
        <f t="shared" si="5"/>
        <v>157</v>
      </c>
      <c r="N57" s="185">
        <v>0</v>
      </c>
      <c r="P57" s="179"/>
    </row>
    <row r="58" spans="1:16" ht="12" customHeight="1">
      <c r="A58" s="180">
        <v>14</v>
      </c>
      <c r="B58" s="181">
        <v>1.6E-2</v>
      </c>
      <c r="C58" s="182">
        <f t="shared" si="0"/>
        <v>38</v>
      </c>
      <c r="D58" s="181">
        <v>0</v>
      </c>
      <c r="E58" s="182">
        <f t="shared" si="1"/>
        <v>62</v>
      </c>
      <c r="F58" s="181">
        <v>0</v>
      </c>
      <c r="G58" s="182">
        <f t="shared" si="2"/>
        <v>86</v>
      </c>
      <c r="H58" s="183">
        <v>0</v>
      </c>
      <c r="I58" s="182">
        <f t="shared" si="3"/>
        <v>110</v>
      </c>
      <c r="J58" s="183">
        <v>0</v>
      </c>
      <c r="K58" s="182">
        <f t="shared" si="4"/>
        <v>134</v>
      </c>
      <c r="L58" s="183">
        <v>0</v>
      </c>
      <c r="M58" s="184">
        <f t="shared" si="5"/>
        <v>158</v>
      </c>
      <c r="N58" s="185">
        <v>0</v>
      </c>
      <c r="P58" s="179"/>
    </row>
    <row r="59" spans="1:16" ht="12" customHeight="1">
      <c r="A59" s="180">
        <v>15</v>
      </c>
      <c r="B59" s="181">
        <v>1.2999999999999999E-2</v>
      </c>
      <c r="C59" s="182">
        <f t="shared" si="0"/>
        <v>39</v>
      </c>
      <c r="D59" s="181">
        <v>0</v>
      </c>
      <c r="E59" s="182">
        <f t="shared" si="1"/>
        <v>63</v>
      </c>
      <c r="F59" s="181">
        <v>0</v>
      </c>
      <c r="G59" s="182">
        <f t="shared" si="2"/>
        <v>87</v>
      </c>
      <c r="H59" s="183">
        <v>0</v>
      </c>
      <c r="I59" s="182">
        <f t="shared" si="3"/>
        <v>111</v>
      </c>
      <c r="J59" s="183">
        <v>0</v>
      </c>
      <c r="K59" s="182">
        <f t="shared" si="4"/>
        <v>135</v>
      </c>
      <c r="L59" s="183">
        <v>0</v>
      </c>
      <c r="M59" s="184">
        <f t="shared" si="5"/>
        <v>159</v>
      </c>
      <c r="N59" s="185">
        <v>0</v>
      </c>
      <c r="P59" s="179"/>
    </row>
    <row r="60" spans="1:16" ht="12" customHeight="1">
      <c r="A60" s="180">
        <v>16</v>
      </c>
      <c r="B60" s="181">
        <v>0.01</v>
      </c>
      <c r="C60" s="182">
        <f t="shared" si="0"/>
        <v>40</v>
      </c>
      <c r="D60" s="181">
        <v>0</v>
      </c>
      <c r="E60" s="182">
        <f t="shared" si="1"/>
        <v>64</v>
      </c>
      <c r="F60" s="181">
        <v>0</v>
      </c>
      <c r="G60" s="182">
        <f t="shared" si="2"/>
        <v>88</v>
      </c>
      <c r="H60" s="183">
        <v>0</v>
      </c>
      <c r="I60" s="182">
        <f t="shared" si="3"/>
        <v>112</v>
      </c>
      <c r="J60" s="183">
        <v>0</v>
      </c>
      <c r="K60" s="182">
        <f t="shared" si="4"/>
        <v>136</v>
      </c>
      <c r="L60" s="183">
        <v>0</v>
      </c>
      <c r="M60" s="184">
        <f t="shared" si="5"/>
        <v>160</v>
      </c>
      <c r="N60" s="185">
        <v>0</v>
      </c>
      <c r="P60" s="179"/>
    </row>
    <row r="61" spans="1:16" ht="12" customHeight="1">
      <c r="A61" s="180">
        <v>17</v>
      </c>
      <c r="B61" s="181">
        <v>8.0000000000000002E-3</v>
      </c>
      <c r="C61" s="182">
        <f t="shared" si="0"/>
        <v>41</v>
      </c>
      <c r="D61" s="181">
        <v>0</v>
      </c>
      <c r="E61" s="182">
        <f t="shared" si="1"/>
        <v>65</v>
      </c>
      <c r="F61" s="181">
        <v>0</v>
      </c>
      <c r="G61" s="182">
        <f t="shared" si="2"/>
        <v>89</v>
      </c>
      <c r="H61" s="183">
        <v>0</v>
      </c>
      <c r="I61" s="182">
        <f t="shared" si="3"/>
        <v>113</v>
      </c>
      <c r="J61" s="183">
        <v>0</v>
      </c>
      <c r="K61" s="182">
        <f t="shared" si="4"/>
        <v>137</v>
      </c>
      <c r="L61" s="183">
        <v>0</v>
      </c>
      <c r="M61" s="184">
        <f t="shared" si="5"/>
        <v>161</v>
      </c>
      <c r="N61" s="185">
        <v>0</v>
      </c>
      <c r="P61" s="179"/>
    </row>
    <row r="62" spans="1:16" ht="12" customHeight="1">
      <c r="A62" s="180">
        <v>18</v>
      </c>
      <c r="B62" s="181">
        <v>7.0000000000000001E-3</v>
      </c>
      <c r="C62" s="182">
        <f t="shared" si="0"/>
        <v>42</v>
      </c>
      <c r="D62" s="181">
        <v>0</v>
      </c>
      <c r="E62" s="182">
        <f t="shared" si="1"/>
        <v>66</v>
      </c>
      <c r="F62" s="181">
        <v>0</v>
      </c>
      <c r="G62" s="182">
        <f t="shared" si="2"/>
        <v>90</v>
      </c>
      <c r="H62" s="183">
        <v>0</v>
      </c>
      <c r="I62" s="182">
        <f t="shared" si="3"/>
        <v>114</v>
      </c>
      <c r="J62" s="183">
        <v>0</v>
      </c>
      <c r="K62" s="182">
        <f t="shared" si="4"/>
        <v>138</v>
      </c>
      <c r="L62" s="183">
        <v>0</v>
      </c>
      <c r="M62" s="184">
        <f t="shared" si="5"/>
        <v>162</v>
      </c>
      <c r="N62" s="185">
        <v>0</v>
      </c>
      <c r="P62" s="179"/>
    </row>
    <row r="63" spans="1:16" ht="12" customHeight="1">
      <c r="A63" s="180">
        <v>19</v>
      </c>
      <c r="B63" s="181">
        <v>5.0000000000000001E-3</v>
      </c>
      <c r="C63" s="182">
        <f t="shared" si="0"/>
        <v>43</v>
      </c>
      <c r="D63" s="181">
        <v>0</v>
      </c>
      <c r="E63" s="182">
        <f t="shared" si="1"/>
        <v>67</v>
      </c>
      <c r="F63" s="181">
        <v>0</v>
      </c>
      <c r="G63" s="182">
        <f t="shared" si="2"/>
        <v>91</v>
      </c>
      <c r="H63" s="183">
        <v>0</v>
      </c>
      <c r="I63" s="182">
        <f t="shared" si="3"/>
        <v>115</v>
      </c>
      <c r="J63" s="183">
        <v>0</v>
      </c>
      <c r="K63" s="182">
        <f t="shared" si="4"/>
        <v>139</v>
      </c>
      <c r="L63" s="183">
        <v>0</v>
      </c>
      <c r="M63" s="184">
        <f t="shared" si="5"/>
        <v>163</v>
      </c>
      <c r="N63" s="185">
        <v>0</v>
      </c>
      <c r="P63" s="179"/>
    </row>
    <row r="64" spans="1:16" ht="12" customHeight="1">
      <c r="A64" s="180">
        <v>20</v>
      </c>
      <c r="B64" s="181">
        <v>4.0000000000000001E-3</v>
      </c>
      <c r="C64" s="182">
        <f t="shared" si="0"/>
        <v>44</v>
      </c>
      <c r="D64" s="181">
        <v>0</v>
      </c>
      <c r="E64" s="182">
        <f t="shared" si="1"/>
        <v>68</v>
      </c>
      <c r="F64" s="181">
        <v>0</v>
      </c>
      <c r="G64" s="182">
        <f t="shared" si="2"/>
        <v>92</v>
      </c>
      <c r="H64" s="183">
        <v>0</v>
      </c>
      <c r="I64" s="182">
        <f t="shared" si="3"/>
        <v>116</v>
      </c>
      <c r="J64" s="183">
        <v>0</v>
      </c>
      <c r="K64" s="182">
        <f t="shared" si="4"/>
        <v>140</v>
      </c>
      <c r="L64" s="183">
        <v>0</v>
      </c>
      <c r="M64" s="184">
        <f t="shared" si="5"/>
        <v>164</v>
      </c>
      <c r="N64" s="185">
        <v>0</v>
      </c>
      <c r="P64" s="179"/>
    </row>
    <row r="65" spans="1:16" ht="12" customHeight="1">
      <c r="A65" s="180">
        <v>21</v>
      </c>
      <c r="B65" s="181">
        <v>4.0000000000000001E-3</v>
      </c>
      <c r="C65" s="182">
        <f t="shared" si="0"/>
        <v>45</v>
      </c>
      <c r="D65" s="181">
        <v>0</v>
      </c>
      <c r="E65" s="182">
        <f t="shared" si="1"/>
        <v>69</v>
      </c>
      <c r="F65" s="181">
        <v>0</v>
      </c>
      <c r="G65" s="182">
        <f t="shared" si="2"/>
        <v>93</v>
      </c>
      <c r="H65" s="183">
        <v>0</v>
      </c>
      <c r="I65" s="182">
        <f t="shared" si="3"/>
        <v>117</v>
      </c>
      <c r="J65" s="183">
        <v>0</v>
      </c>
      <c r="K65" s="182">
        <f t="shared" si="4"/>
        <v>141</v>
      </c>
      <c r="L65" s="183">
        <v>0</v>
      </c>
      <c r="M65" s="184">
        <f t="shared" si="5"/>
        <v>165</v>
      </c>
      <c r="N65" s="185">
        <v>0</v>
      </c>
      <c r="P65" s="179"/>
    </row>
    <row r="66" spans="1:16" ht="12" customHeight="1">
      <c r="A66" s="180">
        <v>22</v>
      </c>
      <c r="B66" s="181">
        <v>3.0000000000000001E-3</v>
      </c>
      <c r="C66" s="182">
        <f t="shared" si="0"/>
        <v>46</v>
      </c>
      <c r="D66" s="181">
        <v>0</v>
      </c>
      <c r="E66" s="182">
        <f t="shared" si="1"/>
        <v>70</v>
      </c>
      <c r="F66" s="181">
        <v>0</v>
      </c>
      <c r="G66" s="182">
        <f t="shared" si="2"/>
        <v>94</v>
      </c>
      <c r="H66" s="183">
        <v>0</v>
      </c>
      <c r="I66" s="182">
        <f t="shared" si="3"/>
        <v>118</v>
      </c>
      <c r="J66" s="183">
        <v>0</v>
      </c>
      <c r="K66" s="182">
        <f t="shared" si="4"/>
        <v>142</v>
      </c>
      <c r="L66" s="183">
        <v>0</v>
      </c>
      <c r="M66" s="184">
        <f t="shared" si="5"/>
        <v>166</v>
      </c>
      <c r="N66" s="185">
        <v>0</v>
      </c>
      <c r="P66" s="179"/>
    </row>
    <row r="67" spans="1:16" ht="12" customHeight="1">
      <c r="A67" s="187">
        <v>23</v>
      </c>
      <c r="B67" s="188">
        <v>2E-3</v>
      </c>
      <c r="C67" s="189">
        <f t="shared" si="0"/>
        <v>47</v>
      </c>
      <c r="D67" s="188">
        <v>0</v>
      </c>
      <c r="E67" s="189">
        <f t="shared" si="1"/>
        <v>71</v>
      </c>
      <c r="F67" s="188">
        <v>0</v>
      </c>
      <c r="G67" s="189">
        <f t="shared" si="2"/>
        <v>95</v>
      </c>
      <c r="H67" s="190">
        <v>0</v>
      </c>
      <c r="I67" s="189">
        <f t="shared" si="3"/>
        <v>119</v>
      </c>
      <c r="J67" s="190">
        <v>0</v>
      </c>
      <c r="K67" s="189">
        <f t="shared" si="4"/>
        <v>143</v>
      </c>
      <c r="L67" s="190">
        <v>0</v>
      </c>
      <c r="M67" s="191">
        <f t="shared" si="5"/>
        <v>167</v>
      </c>
      <c r="N67" s="192">
        <v>0</v>
      </c>
      <c r="P67" s="179"/>
    </row>
  </sheetData>
  <phoneticPr fontId="4"/>
  <pageMargins left="1.1811023622047245" right="0.70866141732283472" top="0.59055118110236227" bottom="0.39370078740157483" header="0.39370078740157483" footer="0.11811023622047245"/>
  <pageSetup paperSize="9" scale="67" orientation="landscape" horizontalDpi="1200" verticalDpi="1200" r:id="rId1"/>
  <headerFooter scaleWithDoc="0" alignWithMargins="0">
    <oddFooter>&amp;C&amp;"ＭＳ Ｐゴシック,標準"&amp;9( &amp;P /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Y67"/>
  <sheetViews>
    <sheetView showGridLines="0" zoomScale="80" zoomScaleNormal="80" workbookViewId="0"/>
  </sheetViews>
  <sheetFormatPr defaultColWidth="8" defaultRowHeight="12" customHeight="1"/>
  <cols>
    <col min="1" max="1" width="8.7109375" style="73" customWidth="1"/>
    <col min="2" max="19" width="7.5703125" style="73" customWidth="1"/>
    <col min="20" max="16384" width="8" style="73"/>
  </cols>
  <sheetData>
    <row r="1" spans="1:25" s="145" customFormat="1" ht="24" customHeight="1">
      <c r="A1" s="141" t="s">
        <v>98</v>
      </c>
      <c r="B1" s="142"/>
      <c r="C1" s="142"/>
      <c r="D1" s="142"/>
      <c r="E1" s="142"/>
      <c r="F1" s="142"/>
      <c r="G1" s="142"/>
      <c r="H1" s="142"/>
      <c r="I1" s="142"/>
      <c r="J1" s="142"/>
      <c r="K1" s="142"/>
      <c r="L1" s="142"/>
      <c r="M1" s="142"/>
      <c r="N1" s="142"/>
      <c r="O1" s="142"/>
      <c r="P1" s="142"/>
      <c r="Q1" s="142"/>
      <c r="R1" s="142"/>
      <c r="S1" s="143"/>
      <c r="T1" s="143"/>
      <c r="U1" s="143"/>
      <c r="V1" s="143"/>
      <c r="W1" s="143"/>
      <c r="X1" s="143"/>
      <c r="Y1" s="144"/>
    </row>
    <row r="2" spans="1:25" ht="12" customHeight="1" thickBot="1">
      <c r="S2" s="63"/>
    </row>
    <row r="3" spans="1:25" ht="12" customHeight="1">
      <c r="A3" s="146" t="s">
        <v>68</v>
      </c>
      <c r="B3" s="146"/>
      <c r="C3" s="146"/>
      <c r="D3" s="37" t="s">
        <v>30</v>
      </c>
      <c r="E3" s="146"/>
      <c r="F3" s="146"/>
      <c r="G3" s="146"/>
      <c r="H3" s="146"/>
      <c r="I3" s="146"/>
      <c r="J3" s="146"/>
      <c r="K3" s="146"/>
      <c r="L3" s="146"/>
      <c r="M3" s="146"/>
      <c r="N3" s="146"/>
      <c r="O3" s="146"/>
      <c r="P3" s="146"/>
      <c r="Q3" s="146"/>
      <c r="R3" s="146"/>
      <c r="S3" s="147"/>
      <c r="T3" s="146"/>
      <c r="U3" s="146"/>
      <c r="V3" s="146"/>
      <c r="W3" s="146"/>
      <c r="X3" s="146"/>
      <c r="Y3" s="146"/>
    </row>
    <row r="4" spans="1:25" ht="16.5" customHeight="1">
      <c r="A4" s="148"/>
      <c r="B4" s="149">
        <v>1</v>
      </c>
      <c r="C4" s="150">
        <v>2</v>
      </c>
      <c r="D4" s="151">
        <v>3</v>
      </c>
      <c r="E4" s="150">
        <v>4</v>
      </c>
      <c r="F4" s="150">
        <v>5</v>
      </c>
      <c r="G4" s="150">
        <v>6</v>
      </c>
      <c r="H4" s="150">
        <v>7</v>
      </c>
      <c r="I4" s="150">
        <v>8</v>
      </c>
      <c r="J4" s="150">
        <v>9</v>
      </c>
      <c r="K4" s="150">
        <v>10</v>
      </c>
      <c r="L4" s="150">
        <v>11</v>
      </c>
      <c r="M4" s="150">
        <v>12</v>
      </c>
      <c r="N4" s="150">
        <v>13</v>
      </c>
      <c r="O4" s="150">
        <v>14</v>
      </c>
      <c r="P4" s="150">
        <v>15</v>
      </c>
      <c r="Q4" s="150">
        <v>16</v>
      </c>
      <c r="R4" s="150">
        <v>17</v>
      </c>
      <c r="S4" s="150">
        <v>18</v>
      </c>
      <c r="T4" s="152">
        <v>19</v>
      </c>
      <c r="U4" s="152">
        <v>20</v>
      </c>
      <c r="V4" s="152">
        <v>21</v>
      </c>
      <c r="W4" s="152">
        <v>22</v>
      </c>
      <c r="X4" s="152">
        <v>23</v>
      </c>
      <c r="Y4" s="153">
        <v>24</v>
      </c>
    </row>
    <row r="5" spans="1:25" ht="12" customHeight="1">
      <c r="A5" s="154" t="s">
        <v>82</v>
      </c>
      <c r="B5" s="155">
        <v>-0.6</v>
      </c>
      <c r="C5" s="156">
        <v>-1.1000000000000001</v>
      </c>
      <c r="D5" s="156">
        <v>-1.5</v>
      </c>
      <c r="E5" s="156">
        <v>-1.9</v>
      </c>
      <c r="F5" s="156">
        <v>-2.2000000000000002</v>
      </c>
      <c r="G5" s="156">
        <v>-2.2999999999999998</v>
      </c>
      <c r="H5" s="156">
        <v>-1.8</v>
      </c>
      <c r="I5" s="156">
        <v>-0.7</v>
      </c>
      <c r="J5" s="156">
        <v>0.9</v>
      </c>
      <c r="K5" s="156">
        <v>2.8</v>
      </c>
      <c r="L5" s="156">
        <v>4.5999999999999996</v>
      </c>
      <c r="M5" s="156">
        <v>6.2</v>
      </c>
      <c r="N5" s="156">
        <v>7.5</v>
      </c>
      <c r="O5" s="156">
        <v>8.5</v>
      </c>
      <c r="P5" s="156">
        <v>9.1</v>
      </c>
      <c r="Q5" s="156">
        <v>9.1999999999999993</v>
      </c>
      <c r="R5" s="156">
        <v>8.6999999999999993</v>
      </c>
      <c r="S5" s="156">
        <v>7.5</v>
      </c>
      <c r="T5" s="157">
        <v>5.9</v>
      </c>
      <c r="U5" s="157">
        <v>4.3</v>
      </c>
      <c r="V5" s="157">
        <v>2.9</v>
      </c>
      <c r="W5" s="157">
        <v>1.8</v>
      </c>
      <c r="X5" s="157">
        <v>0.8</v>
      </c>
      <c r="Y5" s="158">
        <v>0.1</v>
      </c>
    </row>
    <row r="6" spans="1:25" ht="12" customHeight="1">
      <c r="A6" s="159" t="s">
        <v>69</v>
      </c>
      <c r="B6" s="160">
        <v>-0.2</v>
      </c>
      <c r="C6" s="161">
        <v>-0.9</v>
      </c>
      <c r="D6" s="161">
        <v>-1.4</v>
      </c>
      <c r="E6" s="161">
        <v>-1.8</v>
      </c>
      <c r="F6" s="161">
        <v>-2.1</v>
      </c>
      <c r="G6" s="161">
        <v>-2.1</v>
      </c>
      <c r="H6" s="161">
        <v>-0.8</v>
      </c>
      <c r="I6" s="161">
        <v>1.9</v>
      </c>
      <c r="J6" s="161">
        <v>5.8</v>
      </c>
      <c r="K6" s="161">
        <v>10.4</v>
      </c>
      <c r="L6" s="161">
        <v>15.1</v>
      </c>
      <c r="M6" s="161">
        <v>19.2</v>
      </c>
      <c r="N6" s="161">
        <v>22.2</v>
      </c>
      <c r="O6" s="161">
        <v>23.9</v>
      </c>
      <c r="P6" s="161">
        <v>24.1</v>
      </c>
      <c r="Q6" s="161">
        <v>22.7</v>
      </c>
      <c r="R6" s="161">
        <v>19.899999999999999</v>
      </c>
      <c r="S6" s="161">
        <v>15.9</v>
      </c>
      <c r="T6" s="162">
        <v>11.6</v>
      </c>
      <c r="U6" s="162">
        <v>7.9</v>
      </c>
      <c r="V6" s="162">
        <v>5.0999999999999996</v>
      </c>
      <c r="W6" s="162">
        <v>3.1</v>
      </c>
      <c r="X6" s="162">
        <v>1.7</v>
      </c>
      <c r="Y6" s="163">
        <v>0.6</v>
      </c>
    </row>
    <row r="7" spans="1:25" ht="12" customHeight="1">
      <c r="A7" s="159" t="s">
        <v>70</v>
      </c>
      <c r="B7" s="193">
        <v>-0.6</v>
      </c>
      <c r="C7" s="194">
        <v>-1.1000000000000001</v>
      </c>
      <c r="D7" s="194">
        <v>-1.5</v>
      </c>
      <c r="E7" s="194">
        <v>-1.9</v>
      </c>
      <c r="F7" s="194">
        <v>-2.1</v>
      </c>
      <c r="G7" s="194">
        <v>-1.7</v>
      </c>
      <c r="H7" s="194">
        <v>-0.4</v>
      </c>
      <c r="I7" s="194">
        <v>1.3</v>
      </c>
      <c r="J7" s="194">
        <v>2.8</v>
      </c>
      <c r="K7" s="194">
        <v>4</v>
      </c>
      <c r="L7" s="194">
        <v>5.4</v>
      </c>
      <c r="M7" s="194">
        <v>6.7</v>
      </c>
      <c r="N7" s="194">
        <v>7.8</v>
      </c>
      <c r="O7" s="194">
        <v>8.6999999999999993</v>
      </c>
      <c r="P7" s="194">
        <v>9.1999999999999993</v>
      </c>
      <c r="Q7" s="194">
        <v>9.3000000000000007</v>
      </c>
      <c r="R7" s="194">
        <v>8.8000000000000007</v>
      </c>
      <c r="S7" s="194">
        <v>7.6</v>
      </c>
      <c r="T7" s="195">
        <v>6</v>
      </c>
      <c r="U7" s="195">
        <v>4.3</v>
      </c>
      <c r="V7" s="195">
        <v>2.9</v>
      </c>
      <c r="W7" s="195">
        <v>1.8</v>
      </c>
      <c r="X7" s="195">
        <v>0.8</v>
      </c>
      <c r="Y7" s="196">
        <v>0.1</v>
      </c>
    </row>
    <row r="8" spans="1:25" ht="12" customHeight="1">
      <c r="A8" s="159" t="s">
        <v>71</v>
      </c>
      <c r="B8" s="193">
        <v>-0.6</v>
      </c>
      <c r="C8" s="194">
        <v>-1.1000000000000001</v>
      </c>
      <c r="D8" s="194">
        <v>-1.5</v>
      </c>
      <c r="E8" s="194">
        <v>-1.9</v>
      </c>
      <c r="F8" s="194">
        <v>-2.1</v>
      </c>
      <c r="G8" s="194">
        <v>-1.3</v>
      </c>
      <c r="H8" s="194">
        <v>1.1000000000000001</v>
      </c>
      <c r="I8" s="194">
        <v>4.0999999999999996</v>
      </c>
      <c r="J8" s="194">
        <v>6.9</v>
      </c>
      <c r="K8" s="194">
        <v>9</v>
      </c>
      <c r="L8" s="194">
        <v>9.9</v>
      </c>
      <c r="M8" s="194">
        <v>9.8000000000000007</v>
      </c>
      <c r="N8" s="194">
        <v>9.6999999999999993</v>
      </c>
      <c r="O8" s="194">
        <v>9.9</v>
      </c>
      <c r="P8" s="194">
        <v>10</v>
      </c>
      <c r="Q8" s="194">
        <v>9.8000000000000007</v>
      </c>
      <c r="R8" s="194">
        <v>9.1</v>
      </c>
      <c r="S8" s="194">
        <v>7.8</v>
      </c>
      <c r="T8" s="195">
        <v>6.1</v>
      </c>
      <c r="U8" s="195">
        <v>4.4000000000000004</v>
      </c>
      <c r="V8" s="195">
        <v>2.9</v>
      </c>
      <c r="W8" s="195">
        <v>1.8</v>
      </c>
      <c r="X8" s="195">
        <v>0.8</v>
      </c>
      <c r="Y8" s="196">
        <v>0.1</v>
      </c>
    </row>
    <row r="9" spans="1:25" ht="12" customHeight="1">
      <c r="A9" s="159" t="s">
        <v>72</v>
      </c>
      <c r="B9" s="193">
        <v>-0.6</v>
      </c>
      <c r="C9" s="194">
        <v>-1.1000000000000001</v>
      </c>
      <c r="D9" s="194">
        <v>-1.5</v>
      </c>
      <c r="E9" s="194">
        <v>-1.9</v>
      </c>
      <c r="F9" s="194">
        <v>-2.1</v>
      </c>
      <c r="G9" s="194">
        <v>-1.4</v>
      </c>
      <c r="H9" s="194">
        <v>0.9</v>
      </c>
      <c r="I9" s="194">
        <v>4.2</v>
      </c>
      <c r="J9" s="194">
        <v>7.6</v>
      </c>
      <c r="K9" s="194">
        <v>10.6</v>
      </c>
      <c r="L9" s="194">
        <v>12.6</v>
      </c>
      <c r="M9" s="194">
        <v>13</v>
      </c>
      <c r="N9" s="194">
        <v>12.1</v>
      </c>
      <c r="O9" s="194">
        <v>11.4</v>
      </c>
      <c r="P9" s="194">
        <v>10.9</v>
      </c>
      <c r="Q9" s="194">
        <v>10.4</v>
      </c>
      <c r="R9" s="194">
        <v>9.4</v>
      </c>
      <c r="S9" s="194">
        <v>8</v>
      </c>
      <c r="T9" s="195">
        <v>6.2</v>
      </c>
      <c r="U9" s="195">
        <v>4.4000000000000004</v>
      </c>
      <c r="V9" s="195">
        <v>3</v>
      </c>
      <c r="W9" s="195">
        <v>1.8</v>
      </c>
      <c r="X9" s="195">
        <v>0.9</v>
      </c>
      <c r="Y9" s="196">
        <v>0.1</v>
      </c>
    </row>
    <row r="10" spans="1:25" ht="12" customHeight="1">
      <c r="A10" s="159" t="s">
        <v>73</v>
      </c>
      <c r="B10" s="193">
        <v>-0.6</v>
      </c>
      <c r="C10" s="194">
        <v>-1.1000000000000001</v>
      </c>
      <c r="D10" s="194">
        <v>-1.5</v>
      </c>
      <c r="E10" s="194">
        <v>-1.9</v>
      </c>
      <c r="F10" s="194">
        <v>-2.2000000000000002</v>
      </c>
      <c r="G10" s="194">
        <v>-2.1</v>
      </c>
      <c r="H10" s="194">
        <v>-0.9</v>
      </c>
      <c r="I10" s="194">
        <v>1.4</v>
      </c>
      <c r="J10" s="194">
        <v>4.4000000000000004</v>
      </c>
      <c r="K10" s="194">
        <v>7.6</v>
      </c>
      <c r="L10" s="194">
        <v>10.6</v>
      </c>
      <c r="M10" s="194">
        <v>12.5</v>
      </c>
      <c r="N10" s="194">
        <v>13.2</v>
      </c>
      <c r="O10" s="194">
        <v>12.8</v>
      </c>
      <c r="P10" s="194">
        <v>11.9</v>
      </c>
      <c r="Q10" s="194">
        <v>11</v>
      </c>
      <c r="R10" s="194">
        <v>9.8000000000000007</v>
      </c>
      <c r="S10" s="194">
        <v>8.1999999999999993</v>
      </c>
      <c r="T10" s="195">
        <v>6.4</v>
      </c>
      <c r="U10" s="195">
        <v>4.5</v>
      </c>
      <c r="V10" s="195">
        <v>3</v>
      </c>
      <c r="W10" s="195">
        <v>1.8</v>
      </c>
      <c r="X10" s="195">
        <v>0.9</v>
      </c>
      <c r="Y10" s="196">
        <v>0.1</v>
      </c>
    </row>
    <row r="11" spans="1:25" ht="12" customHeight="1">
      <c r="A11" s="159" t="s">
        <v>74</v>
      </c>
      <c r="B11" s="193">
        <v>-0.5</v>
      </c>
      <c r="C11" s="194">
        <v>-1</v>
      </c>
      <c r="D11" s="194">
        <v>-1.5</v>
      </c>
      <c r="E11" s="194">
        <v>-1.9</v>
      </c>
      <c r="F11" s="194">
        <v>-2.2000000000000002</v>
      </c>
      <c r="G11" s="194">
        <v>-2.2999999999999998</v>
      </c>
      <c r="H11" s="194">
        <v>-1.8</v>
      </c>
      <c r="I11" s="194">
        <v>-0.6</v>
      </c>
      <c r="J11" s="194">
        <v>1</v>
      </c>
      <c r="K11" s="194">
        <v>3.1</v>
      </c>
      <c r="L11" s="194">
        <v>5.9</v>
      </c>
      <c r="M11" s="194">
        <v>8.8000000000000007</v>
      </c>
      <c r="N11" s="194">
        <v>11.5</v>
      </c>
      <c r="O11" s="194">
        <v>13.6</v>
      </c>
      <c r="P11" s="194">
        <v>14.7</v>
      </c>
      <c r="Q11" s="194">
        <v>14.5</v>
      </c>
      <c r="R11" s="194">
        <v>13</v>
      </c>
      <c r="S11" s="194">
        <v>10.7</v>
      </c>
      <c r="T11" s="195">
        <v>7.9</v>
      </c>
      <c r="U11" s="195">
        <v>5.5</v>
      </c>
      <c r="V11" s="195">
        <v>3.6</v>
      </c>
      <c r="W11" s="195">
        <v>2.2000000000000002</v>
      </c>
      <c r="X11" s="195">
        <v>1.1000000000000001</v>
      </c>
      <c r="Y11" s="196">
        <v>0.2</v>
      </c>
    </row>
    <row r="12" spans="1:25" ht="12" customHeight="1">
      <c r="A12" s="159" t="s">
        <v>75</v>
      </c>
      <c r="B12" s="193">
        <v>-0.3</v>
      </c>
      <c r="C12" s="194">
        <v>-0.9</v>
      </c>
      <c r="D12" s="194">
        <v>-1.4</v>
      </c>
      <c r="E12" s="194">
        <v>-1.8</v>
      </c>
      <c r="F12" s="194">
        <v>-2.2000000000000002</v>
      </c>
      <c r="G12" s="194">
        <v>-2.2999999999999998</v>
      </c>
      <c r="H12" s="194">
        <v>-1.8</v>
      </c>
      <c r="I12" s="194">
        <v>-0.6</v>
      </c>
      <c r="J12" s="194">
        <v>1</v>
      </c>
      <c r="K12" s="194">
        <v>2.9</v>
      </c>
      <c r="L12" s="194">
        <v>4.7</v>
      </c>
      <c r="M12" s="194">
        <v>6.5</v>
      </c>
      <c r="N12" s="194">
        <v>9.3000000000000007</v>
      </c>
      <c r="O12" s="194">
        <v>12.6</v>
      </c>
      <c r="P12" s="194">
        <v>15.5</v>
      </c>
      <c r="Q12" s="194">
        <v>17.100000000000001</v>
      </c>
      <c r="R12" s="194">
        <v>17</v>
      </c>
      <c r="S12" s="194">
        <v>15.1</v>
      </c>
      <c r="T12" s="195">
        <v>11.5</v>
      </c>
      <c r="U12" s="195">
        <v>7.9</v>
      </c>
      <c r="V12" s="195">
        <v>5.0999999999999996</v>
      </c>
      <c r="W12" s="195">
        <v>3.1</v>
      </c>
      <c r="X12" s="195">
        <v>1.7</v>
      </c>
      <c r="Y12" s="196">
        <v>0.6</v>
      </c>
    </row>
    <row r="13" spans="1:25" ht="12" customHeight="1">
      <c r="A13" s="159" t="s">
        <v>76</v>
      </c>
      <c r="B13" s="193">
        <v>-0.2</v>
      </c>
      <c r="C13" s="194">
        <v>-0.9</v>
      </c>
      <c r="D13" s="194">
        <v>-1.4</v>
      </c>
      <c r="E13" s="194">
        <v>-1.8</v>
      </c>
      <c r="F13" s="194">
        <v>-2.2000000000000002</v>
      </c>
      <c r="G13" s="194">
        <v>-2.2999999999999998</v>
      </c>
      <c r="H13" s="194">
        <v>-1.8</v>
      </c>
      <c r="I13" s="194">
        <v>-0.6</v>
      </c>
      <c r="J13" s="194">
        <v>1</v>
      </c>
      <c r="K13" s="194">
        <v>2.9</v>
      </c>
      <c r="L13" s="194">
        <v>4.7</v>
      </c>
      <c r="M13" s="194">
        <v>6.2</v>
      </c>
      <c r="N13" s="194">
        <v>7.8</v>
      </c>
      <c r="O13" s="194">
        <v>10.3</v>
      </c>
      <c r="P13" s="194">
        <v>13.3</v>
      </c>
      <c r="Q13" s="194">
        <v>15.5</v>
      </c>
      <c r="R13" s="194">
        <v>16.399999999999999</v>
      </c>
      <c r="S13" s="194">
        <v>15.3</v>
      </c>
      <c r="T13" s="195">
        <v>12</v>
      </c>
      <c r="U13" s="195">
        <v>8.1999999999999993</v>
      </c>
      <c r="V13" s="195">
        <v>5.3</v>
      </c>
      <c r="W13" s="195">
        <v>3.3</v>
      </c>
      <c r="X13" s="195">
        <v>1.8</v>
      </c>
      <c r="Y13" s="196">
        <v>0.6</v>
      </c>
    </row>
    <row r="14" spans="1:25" ht="12" customHeight="1">
      <c r="A14" s="164" t="s">
        <v>77</v>
      </c>
      <c r="B14" s="197">
        <v>-0.4</v>
      </c>
      <c r="C14" s="198">
        <v>-1</v>
      </c>
      <c r="D14" s="198">
        <v>-1.5</v>
      </c>
      <c r="E14" s="198">
        <v>-1.9</v>
      </c>
      <c r="F14" s="198">
        <v>-2.2000000000000002</v>
      </c>
      <c r="G14" s="198">
        <v>-2.2999999999999998</v>
      </c>
      <c r="H14" s="198">
        <v>-1.8</v>
      </c>
      <c r="I14" s="198">
        <v>-0.6</v>
      </c>
      <c r="J14" s="198">
        <v>1</v>
      </c>
      <c r="K14" s="198">
        <v>2.9</v>
      </c>
      <c r="L14" s="198">
        <v>4.7</v>
      </c>
      <c r="M14" s="198">
        <v>6.2</v>
      </c>
      <c r="N14" s="198">
        <v>7.5</v>
      </c>
      <c r="O14" s="198">
        <v>8.6</v>
      </c>
      <c r="P14" s="198">
        <v>9.6999999999999993</v>
      </c>
      <c r="Q14" s="198">
        <v>11</v>
      </c>
      <c r="R14" s="198">
        <v>11.7</v>
      </c>
      <c r="S14" s="198">
        <v>11.3</v>
      </c>
      <c r="T14" s="199">
        <v>9.1</v>
      </c>
      <c r="U14" s="199">
        <v>6.4</v>
      </c>
      <c r="V14" s="199">
        <v>4.2</v>
      </c>
      <c r="W14" s="199">
        <v>2.5</v>
      </c>
      <c r="X14" s="199">
        <v>1.3</v>
      </c>
      <c r="Y14" s="200">
        <v>0.4</v>
      </c>
    </row>
    <row r="15" spans="1:25" ht="12" customHeight="1" thickBot="1"/>
    <row r="16" spans="1:25" ht="12" customHeight="1">
      <c r="A16" s="146" t="s">
        <v>68</v>
      </c>
      <c r="B16" s="146"/>
      <c r="C16" s="146"/>
      <c r="D16" s="38" t="s">
        <v>35</v>
      </c>
      <c r="E16" s="146"/>
      <c r="F16" s="146"/>
      <c r="G16" s="146"/>
      <c r="H16" s="146"/>
      <c r="I16" s="146"/>
      <c r="J16" s="146"/>
      <c r="K16" s="146"/>
      <c r="L16" s="146"/>
      <c r="M16" s="146"/>
      <c r="N16" s="146"/>
      <c r="O16" s="146"/>
      <c r="P16" s="146"/>
      <c r="Q16" s="146"/>
      <c r="R16" s="146"/>
      <c r="S16" s="147"/>
      <c r="T16" s="146"/>
      <c r="U16" s="146"/>
      <c r="V16" s="146"/>
      <c r="W16" s="146"/>
      <c r="X16" s="146"/>
      <c r="Y16" s="146"/>
    </row>
    <row r="17" spans="1:25" ht="16.5" customHeight="1">
      <c r="A17" s="148"/>
      <c r="B17" s="149">
        <v>1</v>
      </c>
      <c r="C17" s="150">
        <v>2</v>
      </c>
      <c r="D17" s="151">
        <v>3</v>
      </c>
      <c r="E17" s="150">
        <v>4</v>
      </c>
      <c r="F17" s="150">
        <v>5</v>
      </c>
      <c r="G17" s="150">
        <v>6</v>
      </c>
      <c r="H17" s="150">
        <v>7</v>
      </c>
      <c r="I17" s="150">
        <v>8</v>
      </c>
      <c r="J17" s="150">
        <v>9</v>
      </c>
      <c r="K17" s="150">
        <v>10</v>
      </c>
      <c r="L17" s="150">
        <v>11</v>
      </c>
      <c r="M17" s="150">
        <v>12</v>
      </c>
      <c r="N17" s="150">
        <v>13</v>
      </c>
      <c r="O17" s="150">
        <v>14</v>
      </c>
      <c r="P17" s="150">
        <v>15</v>
      </c>
      <c r="Q17" s="150">
        <v>16</v>
      </c>
      <c r="R17" s="150">
        <v>17</v>
      </c>
      <c r="S17" s="150">
        <v>18</v>
      </c>
      <c r="T17" s="152">
        <v>19</v>
      </c>
      <c r="U17" s="152">
        <v>20</v>
      </c>
      <c r="V17" s="152">
        <v>21</v>
      </c>
      <c r="W17" s="152">
        <v>22</v>
      </c>
      <c r="X17" s="152">
        <v>23</v>
      </c>
      <c r="Y17" s="153">
        <v>24</v>
      </c>
    </row>
    <row r="18" spans="1:25" ht="12" customHeight="1">
      <c r="A18" s="154" t="s">
        <v>97</v>
      </c>
      <c r="B18" s="155">
        <v>-0.9</v>
      </c>
      <c r="C18" s="156">
        <v>-1.5</v>
      </c>
      <c r="D18" s="156">
        <v>-2</v>
      </c>
      <c r="E18" s="156">
        <v>-2.4</v>
      </c>
      <c r="F18" s="156">
        <v>-2.8</v>
      </c>
      <c r="G18" s="156">
        <v>-2.9</v>
      </c>
      <c r="H18" s="156">
        <v>-2.2999999999999998</v>
      </c>
      <c r="I18" s="156">
        <v>-0.9</v>
      </c>
      <c r="J18" s="156">
        <v>1</v>
      </c>
      <c r="K18" s="156">
        <v>3</v>
      </c>
      <c r="L18" s="156">
        <v>5</v>
      </c>
      <c r="M18" s="156">
        <v>6.7</v>
      </c>
      <c r="N18" s="156">
        <v>8</v>
      </c>
      <c r="O18" s="156">
        <v>8.9</v>
      </c>
      <c r="P18" s="156">
        <v>9.5</v>
      </c>
      <c r="Q18" s="156">
        <v>9.6</v>
      </c>
      <c r="R18" s="156">
        <v>9.1999999999999993</v>
      </c>
      <c r="S18" s="156">
        <v>8.3000000000000007</v>
      </c>
      <c r="T18" s="157">
        <v>6.7</v>
      </c>
      <c r="U18" s="157">
        <v>4.8</v>
      </c>
      <c r="V18" s="157">
        <v>3.2</v>
      </c>
      <c r="W18" s="157">
        <v>1.8</v>
      </c>
      <c r="X18" s="157">
        <v>0.7</v>
      </c>
      <c r="Y18" s="158">
        <v>-0.2</v>
      </c>
    </row>
    <row r="19" spans="1:25" ht="12" customHeight="1">
      <c r="A19" s="159" t="s">
        <v>69</v>
      </c>
      <c r="B19" s="160">
        <v>-0.5</v>
      </c>
      <c r="C19" s="161">
        <v>-1.3</v>
      </c>
      <c r="D19" s="161">
        <v>-1.8</v>
      </c>
      <c r="E19" s="161">
        <v>-2.2999999999999998</v>
      </c>
      <c r="F19" s="161">
        <v>-2.7</v>
      </c>
      <c r="G19" s="161">
        <v>-2.6</v>
      </c>
      <c r="H19" s="161">
        <v>-0.9</v>
      </c>
      <c r="I19" s="161">
        <v>2.8</v>
      </c>
      <c r="J19" s="161">
        <v>7.7</v>
      </c>
      <c r="K19" s="161">
        <v>13</v>
      </c>
      <c r="L19" s="161">
        <v>18</v>
      </c>
      <c r="M19" s="161">
        <v>22</v>
      </c>
      <c r="N19" s="161">
        <v>24.8</v>
      </c>
      <c r="O19" s="161">
        <v>26.4</v>
      </c>
      <c r="P19" s="161">
        <v>26.5</v>
      </c>
      <c r="Q19" s="161">
        <v>25.2</v>
      </c>
      <c r="R19" s="161">
        <v>22.4</v>
      </c>
      <c r="S19" s="161">
        <v>18.3</v>
      </c>
      <c r="T19" s="162">
        <v>13.6</v>
      </c>
      <c r="U19" s="162">
        <v>9.1999999999999993</v>
      </c>
      <c r="V19" s="162">
        <v>5.9</v>
      </c>
      <c r="W19" s="162">
        <v>3.5</v>
      </c>
      <c r="X19" s="162">
        <v>1.8</v>
      </c>
      <c r="Y19" s="163">
        <v>0.5</v>
      </c>
    </row>
    <row r="20" spans="1:25" ht="12" customHeight="1">
      <c r="A20" s="159" t="s">
        <v>70</v>
      </c>
      <c r="B20" s="193">
        <v>-0.9</v>
      </c>
      <c r="C20" s="194">
        <v>-1.5</v>
      </c>
      <c r="D20" s="194">
        <v>-2</v>
      </c>
      <c r="E20" s="194">
        <v>-2.4</v>
      </c>
      <c r="F20" s="194">
        <v>-2.7</v>
      </c>
      <c r="G20" s="194">
        <v>-2.1</v>
      </c>
      <c r="H20" s="194">
        <v>0.1</v>
      </c>
      <c r="I20" s="194">
        <v>2.4</v>
      </c>
      <c r="J20" s="194">
        <v>4</v>
      </c>
      <c r="K20" s="194">
        <v>5.0999999999999996</v>
      </c>
      <c r="L20" s="194">
        <v>6.3</v>
      </c>
      <c r="M20" s="194">
        <v>7.5</v>
      </c>
      <c r="N20" s="194">
        <v>8.5</v>
      </c>
      <c r="O20" s="194">
        <v>9.3000000000000007</v>
      </c>
      <c r="P20" s="194">
        <v>9.8000000000000007</v>
      </c>
      <c r="Q20" s="194">
        <v>9.8000000000000007</v>
      </c>
      <c r="R20" s="194">
        <v>9.3000000000000007</v>
      </c>
      <c r="S20" s="194">
        <v>8.3000000000000007</v>
      </c>
      <c r="T20" s="195">
        <v>6.8</v>
      </c>
      <c r="U20" s="195">
        <v>4.9000000000000004</v>
      </c>
      <c r="V20" s="195">
        <v>3.2</v>
      </c>
      <c r="W20" s="195">
        <v>1.8</v>
      </c>
      <c r="X20" s="195">
        <v>0.7</v>
      </c>
      <c r="Y20" s="196">
        <v>-0.2</v>
      </c>
    </row>
    <row r="21" spans="1:25" ht="12" customHeight="1">
      <c r="A21" s="159" t="s">
        <v>71</v>
      </c>
      <c r="B21" s="193">
        <v>-0.9</v>
      </c>
      <c r="C21" s="194">
        <v>-1.5</v>
      </c>
      <c r="D21" s="194">
        <v>-2</v>
      </c>
      <c r="E21" s="194">
        <v>-2.4</v>
      </c>
      <c r="F21" s="194">
        <v>-2.6</v>
      </c>
      <c r="G21" s="194">
        <v>-1.4</v>
      </c>
      <c r="H21" s="194">
        <v>2.7</v>
      </c>
      <c r="I21" s="194">
        <v>7.3</v>
      </c>
      <c r="J21" s="194">
        <v>10.9</v>
      </c>
      <c r="K21" s="194">
        <v>12.9</v>
      </c>
      <c r="L21" s="194">
        <v>13</v>
      </c>
      <c r="M21" s="194">
        <v>12</v>
      </c>
      <c r="N21" s="194">
        <v>11.3</v>
      </c>
      <c r="O21" s="194">
        <v>11</v>
      </c>
      <c r="P21" s="194">
        <v>10.9</v>
      </c>
      <c r="Q21" s="194">
        <v>10.5</v>
      </c>
      <c r="R21" s="194">
        <v>9.8000000000000007</v>
      </c>
      <c r="S21" s="194">
        <v>8.6</v>
      </c>
      <c r="T21" s="195">
        <v>6.9</v>
      </c>
      <c r="U21" s="195">
        <v>4.9000000000000004</v>
      </c>
      <c r="V21" s="195">
        <v>3.2</v>
      </c>
      <c r="W21" s="195">
        <v>1.9</v>
      </c>
      <c r="X21" s="195">
        <v>0.8</v>
      </c>
      <c r="Y21" s="196">
        <v>-0.2</v>
      </c>
    </row>
    <row r="22" spans="1:25" ht="12" customHeight="1">
      <c r="A22" s="159" t="s">
        <v>72</v>
      </c>
      <c r="B22" s="193">
        <v>-0.9</v>
      </c>
      <c r="C22" s="194">
        <v>-1.5</v>
      </c>
      <c r="D22" s="194">
        <v>-2</v>
      </c>
      <c r="E22" s="194">
        <v>-2.4</v>
      </c>
      <c r="F22" s="194">
        <v>-2.6</v>
      </c>
      <c r="G22" s="194">
        <v>-1.6</v>
      </c>
      <c r="H22" s="194">
        <v>2.4</v>
      </c>
      <c r="I22" s="194">
        <v>7.4</v>
      </c>
      <c r="J22" s="194">
        <v>12</v>
      </c>
      <c r="K22" s="194">
        <v>15.2</v>
      </c>
      <c r="L22" s="194">
        <v>16.5</v>
      </c>
      <c r="M22" s="194">
        <v>15.9</v>
      </c>
      <c r="N22" s="194">
        <v>14.2</v>
      </c>
      <c r="O22" s="194">
        <v>12.9</v>
      </c>
      <c r="P22" s="194">
        <v>12</v>
      </c>
      <c r="Q22" s="194">
        <v>11.2</v>
      </c>
      <c r="R22" s="194">
        <v>10.199999999999999</v>
      </c>
      <c r="S22" s="194">
        <v>8.9</v>
      </c>
      <c r="T22" s="195">
        <v>7</v>
      </c>
      <c r="U22" s="195">
        <v>5</v>
      </c>
      <c r="V22" s="195">
        <v>3.3</v>
      </c>
      <c r="W22" s="195">
        <v>1.9</v>
      </c>
      <c r="X22" s="195">
        <v>0.8</v>
      </c>
      <c r="Y22" s="196">
        <v>-0.2</v>
      </c>
    </row>
    <row r="23" spans="1:25" ht="12" customHeight="1">
      <c r="A23" s="159" t="s">
        <v>73</v>
      </c>
      <c r="B23" s="193">
        <v>-0.9</v>
      </c>
      <c r="C23" s="194">
        <v>-1.5</v>
      </c>
      <c r="D23" s="194">
        <v>-2</v>
      </c>
      <c r="E23" s="194">
        <v>-2.4</v>
      </c>
      <c r="F23" s="194">
        <v>-2.8</v>
      </c>
      <c r="G23" s="194">
        <v>-2.6</v>
      </c>
      <c r="H23" s="194">
        <v>-0.7</v>
      </c>
      <c r="I23" s="194">
        <v>2.7</v>
      </c>
      <c r="J23" s="194">
        <v>6.7</v>
      </c>
      <c r="K23" s="194">
        <v>10.4</v>
      </c>
      <c r="L23" s="194">
        <v>13.2</v>
      </c>
      <c r="M23" s="194">
        <v>14.8</v>
      </c>
      <c r="N23" s="194">
        <v>15.1</v>
      </c>
      <c r="O23" s="194">
        <v>14.3</v>
      </c>
      <c r="P23" s="194">
        <v>13</v>
      </c>
      <c r="Q23" s="194">
        <v>11.8</v>
      </c>
      <c r="R23" s="194">
        <v>10.6</v>
      </c>
      <c r="S23" s="194">
        <v>9.1</v>
      </c>
      <c r="T23" s="195">
        <v>7.2</v>
      </c>
      <c r="U23" s="195">
        <v>5.0999999999999996</v>
      </c>
      <c r="V23" s="195">
        <v>3.3</v>
      </c>
      <c r="W23" s="195">
        <v>1.9</v>
      </c>
      <c r="X23" s="195">
        <v>0.8</v>
      </c>
      <c r="Y23" s="196">
        <v>-0.1</v>
      </c>
    </row>
    <row r="24" spans="1:25" ht="12" customHeight="1">
      <c r="A24" s="159" t="s">
        <v>74</v>
      </c>
      <c r="B24" s="193">
        <v>-0.8</v>
      </c>
      <c r="C24" s="194">
        <v>-1.4</v>
      </c>
      <c r="D24" s="194">
        <v>-2</v>
      </c>
      <c r="E24" s="194">
        <v>-2.4</v>
      </c>
      <c r="F24" s="194">
        <v>-2.8</v>
      </c>
      <c r="G24" s="194">
        <v>-2.9</v>
      </c>
      <c r="H24" s="194">
        <v>-2.2999999999999998</v>
      </c>
      <c r="I24" s="194">
        <v>-0.9</v>
      </c>
      <c r="J24" s="194">
        <v>1</v>
      </c>
      <c r="K24" s="194">
        <v>3.4</v>
      </c>
      <c r="L24" s="194">
        <v>6.5</v>
      </c>
      <c r="M24" s="194">
        <v>9.6999999999999993</v>
      </c>
      <c r="N24" s="194">
        <v>12.6</v>
      </c>
      <c r="O24" s="194">
        <v>14.8</v>
      </c>
      <c r="P24" s="194">
        <v>16</v>
      </c>
      <c r="Q24" s="194">
        <v>16</v>
      </c>
      <c r="R24" s="194">
        <v>14.7</v>
      </c>
      <c r="S24" s="194">
        <v>12.3</v>
      </c>
      <c r="T24" s="195">
        <v>9.3000000000000007</v>
      </c>
      <c r="U24" s="195">
        <v>6.4</v>
      </c>
      <c r="V24" s="195">
        <v>4.0999999999999996</v>
      </c>
      <c r="W24" s="195">
        <v>2.4</v>
      </c>
      <c r="X24" s="195">
        <v>1.1000000000000001</v>
      </c>
      <c r="Y24" s="196">
        <v>0</v>
      </c>
    </row>
    <row r="25" spans="1:25" ht="12" customHeight="1">
      <c r="A25" s="159" t="s">
        <v>75</v>
      </c>
      <c r="B25" s="193">
        <v>-0.4</v>
      </c>
      <c r="C25" s="194">
        <v>-1.2</v>
      </c>
      <c r="D25" s="194">
        <v>-1.8</v>
      </c>
      <c r="E25" s="194">
        <v>-2.2999999999999998</v>
      </c>
      <c r="F25" s="194">
        <v>-2.7</v>
      </c>
      <c r="G25" s="194">
        <v>-2.9</v>
      </c>
      <c r="H25" s="194">
        <v>-2.2999999999999998</v>
      </c>
      <c r="I25" s="194">
        <v>-0.9</v>
      </c>
      <c r="J25" s="194">
        <v>1</v>
      </c>
      <c r="K25" s="194">
        <v>3.1</v>
      </c>
      <c r="L25" s="194">
        <v>5.0999999999999996</v>
      </c>
      <c r="M25" s="194">
        <v>7</v>
      </c>
      <c r="N25" s="194">
        <v>10.1</v>
      </c>
      <c r="O25" s="194">
        <v>13.7</v>
      </c>
      <c r="P25" s="194">
        <v>17</v>
      </c>
      <c r="Q25" s="194">
        <v>19.399999999999999</v>
      </c>
      <c r="R25" s="194">
        <v>20.3</v>
      </c>
      <c r="S25" s="194">
        <v>19</v>
      </c>
      <c r="T25" s="195">
        <v>15</v>
      </c>
      <c r="U25" s="195">
        <v>10.199999999999999</v>
      </c>
      <c r="V25" s="195">
        <v>6.5</v>
      </c>
      <c r="W25" s="195">
        <v>3.9</v>
      </c>
      <c r="X25" s="195">
        <v>2</v>
      </c>
      <c r="Y25" s="196">
        <v>0.6</v>
      </c>
    </row>
    <row r="26" spans="1:25" ht="12" customHeight="1">
      <c r="A26" s="159" t="s">
        <v>76</v>
      </c>
      <c r="B26" s="193">
        <v>-0.4</v>
      </c>
      <c r="C26" s="194">
        <v>-1.2</v>
      </c>
      <c r="D26" s="194">
        <v>-1.8</v>
      </c>
      <c r="E26" s="194">
        <v>-2.2999999999999998</v>
      </c>
      <c r="F26" s="194">
        <v>-2.7</v>
      </c>
      <c r="G26" s="194">
        <v>-2.9</v>
      </c>
      <c r="H26" s="194">
        <v>-2.2999999999999998</v>
      </c>
      <c r="I26" s="194">
        <v>-0.9</v>
      </c>
      <c r="J26" s="194">
        <v>1</v>
      </c>
      <c r="K26" s="194">
        <v>3.1</v>
      </c>
      <c r="L26" s="194">
        <v>5.0999999999999996</v>
      </c>
      <c r="M26" s="194">
        <v>6.7</v>
      </c>
      <c r="N26" s="194">
        <v>8.3000000000000007</v>
      </c>
      <c r="O26" s="194">
        <v>11.1</v>
      </c>
      <c r="P26" s="194">
        <v>14.5</v>
      </c>
      <c r="Q26" s="194">
        <v>17.600000000000001</v>
      </c>
      <c r="R26" s="194">
        <v>19.7</v>
      </c>
      <c r="S26" s="194">
        <v>19.600000000000001</v>
      </c>
      <c r="T26" s="195">
        <v>16</v>
      </c>
      <c r="U26" s="195">
        <v>11</v>
      </c>
      <c r="V26" s="195">
        <v>7</v>
      </c>
      <c r="W26" s="195">
        <v>4.2</v>
      </c>
      <c r="X26" s="195">
        <v>2.2000000000000002</v>
      </c>
      <c r="Y26" s="196">
        <v>0.7</v>
      </c>
    </row>
    <row r="27" spans="1:25" ht="12" customHeight="1">
      <c r="A27" s="164" t="s">
        <v>77</v>
      </c>
      <c r="B27" s="197">
        <v>-0.6</v>
      </c>
      <c r="C27" s="198">
        <v>-1.3</v>
      </c>
      <c r="D27" s="198">
        <v>-1.9</v>
      </c>
      <c r="E27" s="198">
        <v>-2.4</v>
      </c>
      <c r="F27" s="198">
        <v>-2.7</v>
      </c>
      <c r="G27" s="198">
        <v>-2.9</v>
      </c>
      <c r="H27" s="198">
        <v>-2.2999999999999998</v>
      </c>
      <c r="I27" s="198">
        <v>-0.9</v>
      </c>
      <c r="J27" s="198">
        <v>1</v>
      </c>
      <c r="K27" s="198">
        <v>3.1</v>
      </c>
      <c r="L27" s="198">
        <v>5.0999999999999996</v>
      </c>
      <c r="M27" s="198">
        <v>6.7</v>
      </c>
      <c r="N27" s="198">
        <v>8</v>
      </c>
      <c r="O27" s="198">
        <v>9.1</v>
      </c>
      <c r="P27" s="198">
        <v>10.3</v>
      </c>
      <c r="Q27" s="198">
        <v>12</v>
      </c>
      <c r="R27" s="198">
        <v>13.5</v>
      </c>
      <c r="S27" s="198">
        <v>13.9</v>
      </c>
      <c r="T27" s="199">
        <v>11.8</v>
      </c>
      <c r="U27" s="199">
        <v>8.1999999999999993</v>
      </c>
      <c r="V27" s="199">
        <v>5.3</v>
      </c>
      <c r="W27" s="199">
        <v>3.1</v>
      </c>
      <c r="X27" s="199">
        <v>1.6</v>
      </c>
      <c r="Y27" s="200">
        <v>0.3</v>
      </c>
    </row>
    <row r="28" spans="1:25" ht="12" customHeight="1" thickBot="1"/>
    <row r="29" spans="1:25" ht="12" customHeight="1">
      <c r="A29" s="146" t="s">
        <v>68</v>
      </c>
      <c r="B29" s="146"/>
      <c r="C29" s="146"/>
      <c r="D29" s="39" t="s">
        <v>36</v>
      </c>
      <c r="E29" s="146"/>
      <c r="F29" s="146"/>
      <c r="G29" s="146"/>
      <c r="H29" s="146"/>
      <c r="I29" s="146"/>
      <c r="J29" s="146"/>
      <c r="K29" s="146"/>
      <c r="L29" s="146"/>
      <c r="M29" s="146"/>
      <c r="N29" s="146"/>
      <c r="O29" s="146"/>
      <c r="P29" s="146"/>
      <c r="Q29" s="146"/>
      <c r="R29" s="146"/>
      <c r="S29" s="147"/>
      <c r="T29" s="146"/>
      <c r="U29" s="146"/>
      <c r="V29" s="146"/>
      <c r="W29" s="146"/>
      <c r="X29" s="146"/>
      <c r="Y29" s="146"/>
    </row>
    <row r="30" spans="1:25" ht="16.5" customHeight="1">
      <c r="A30" s="148"/>
      <c r="B30" s="149">
        <v>1</v>
      </c>
      <c r="C30" s="150">
        <v>2</v>
      </c>
      <c r="D30" s="151">
        <v>3</v>
      </c>
      <c r="E30" s="150">
        <v>4</v>
      </c>
      <c r="F30" s="150">
        <v>5</v>
      </c>
      <c r="G30" s="150">
        <v>6</v>
      </c>
      <c r="H30" s="150">
        <v>7</v>
      </c>
      <c r="I30" s="150">
        <v>8</v>
      </c>
      <c r="J30" s="150">
        <v>9</v>
      </c>
      <c r="K30" s="150">
        <v>10</v>
      </c>
      <c r="L30" s="150">
        <v>11</v>
      </c>
      <c r="M30" s="150">
        <v>12</v>
      </c>
      <c r="N30" s="150">
        <v>13</v>
      </c>
      <c r="O30" s="150">
        <v>14</v>
      </c>
      <c r="P30" s="150">
        <v>15</v>
      </c>
      <c r="Q30" s="150">
        <v>16</v>
      </c>
      <c r="R30" s="150">
        <v>17</v>
      </c>
      <c r="S30" s="150">
        <v>18</v>
      </c>
      <c r="T30" s="152">
        <v>19</v>
      </c>
      <c r="U30" s="152">
        <v>20</v>
      </c>
      <c r="V30" s="152">
        <v>21</v>
      </c>
      <c r="W30" s="152">
        <v>22</v>
      </c>
      <c r="X30" s="152">
        <v>23</v>
      </c>
      <c r="Y30" s="153">
        <v>24</v>
      </c>
    </row>
    <row r="31" spans="1:25" ht="12" customHeight="1">
      <c r="A31" s="154" t="s">
        <v>97</v>
      </c>
      <c r="B31" s="155">
        <v>-6.1</v>
      </c>
      <c r="C31" s="156">
        <v>-6.5</v>
      </c>
      <c r="D31" s="156">
        <v>-6.9</v>
      </c>
      <c r="E31" s="156">
        <v>-7.2</v>
      </c>
      <c r="F31" s="156">
        <v>-7.5</v>
      </c>
      <c r="G31" s="156">
        <v>-7.6</v>
      </c>
      <c r="H31" s="156">
        <v>-7.3</v>
      </c>
      <c r="I31" s="156">
        <v>-6.2</v>
      </c>
      <c r="J31" s="156">
        <v>-4.4000000000000004</v>
      </c>
      <c r="K31" s="156">
        <v>-2.5</v>
      </c>
      <c r="L31" s="156">
        <v>-0.7</v>
      </c>
      <c r="M31" s="156">
        <v>0.9</v>
      </c>
      <c r="N31" s="156">
        <v>2.1</v>
      </c>
      <c r="O31" s="156">
        <v>3</v>
      </c>
      <c r="P31" s="156">
        <v>3.5</v>
      </c>
      <c r="Q31" s="156">
        <v>3.4</v>
      </c>
      <c r="R31" s="156">
        <v>2.8</v>
      </c>
      <c r="S31" s="156">
        <v>1.4</v>
      </c>
      <c r="T31" s="157">
        <v>-0.4</v>
      </c>
      <c r="U31" s="157">
        <v>-2</v>
      </c>
      <c r="V31" s="157">
        <v>-3.2</v>
      </c>
      <c r="W31" s="157">
        <v>-4.2</v>
      </c>
      <c r="X31" s="157">
        <v>-5</v>
      </c>
      <c r="Y31" s="158">
        <v>-5.6</v>
      </c>
    </row>
    <row r="32" spans="1:25" ht="12" customHeight="1">
      <c r="A32" s="159" t="s">
        <v>69</v>
      </c>
      <c r="B32" s="160">
        <v>-5.8</v>
      </c>
      <c r="C32" s="161">
        <v>-6.4</v>
      </c>
      <c r="D32" s="161">
        <v>-6.8</v>
      </c>
      <c r="E32" s="161">
        <v>-7.1</v>
      </c>
      <c r="F32" s="161">
        <v>-7.4</v>
      </c>
      <c r="G32" s="161">
        <v>-7.5</v>
      </c>
      <c r="H32" s="161">
        <v>-6.6</v>
      </c>
      <c r="I32" s="161">
        <v>-3.7</v>
      </c>
      <c r="J32" s="161">
        <v>0.8</v>
      </c>
      <c r="K32" s="161">
        <v>6.1</v>
      </c>
      <c r="L32" s="161">
        <v>11.2</v>
      </c>
      <c r="M32" s="161">
        <v>15.4</v>
      </c>
      <c r="N32" s="161">
        <v>18.399999999999999</v>
      </c>
      <c r="O32" s="161">
        <v>19.8</v>
      </c>
      <c r="P32" s="161">
        <v>19.399999999999999</v>
      </c>
      <c r="Q32" s="161">
        <v>17.3</v>
      </c>
      <c r="R32" s="161">
        <v>13.6</v>
      </c>
      <c r="S32" s="161">
        <v>8.9</v>
      </c>
      <c r="T32" s="162">
        <v>4.5</v>
      </c>
      <c r="U32" s="162">
        <v>1</v>
      </c>
      <c r="V32" s="162">
        <v>-1.4</v>
      </c>
      <c r="W32" s="162">
        <v>-3</v>
      </c>
      <c r="X32" s="162">
        <v>-4.3</v>
      </c>
      <c r="Y32" s="163">
        <v>-5.0999999999999996</v>
      </c>
    </row>
    <row r="33" spans="1:25" ht="12" customHeight="1">
      <c r="A33" s="159" t="s">
        <v>70</v>
      </c>
      <c r="B33" s="193">
        <v>-6.1</v>
      </c>
      <c r="C33" s="194">
        <v>-6.5</v>
      </c>
      <c r="D33" s="194">
        <v>-6.9</v>
      </c>
      <c r="E33" s="194">
        <v>-7.2</v>
      </c>
      <c r="F33" s="194">
        <v>-7.5</v>
      </c>
      <c r="G33" s="194">
        <v>-7.5</v>
      </c>
      <c r="H33" s="194">
        <v>-6.5</v>
      </c>
      <c r="I33" s="194">
        <v>-5.3</v>
      </c>
      <c r="J33" s="194">
        <v>-3.8</v>
      </c>
      <c r="K33" s="194">
        <v>-2.1</v>
      </c>
      <c r="L33" s="194">
        <v>-0.4</v>
      </c>
      <c r="M33" s="194">
        <v>1.1000000000000001</v>
      </c>
      <c r="N33" s="194">
        <v>2.2999999999999998</v>
      </c>
      <c r="O33" s="194">
        <v>3.2</v>
      </c>
      <c r="P33" s="194">
        <v>3.6</v>
      </c>
      <c r="Q33" s="194">
        <v>3.5</v>
      </c>
      <c r="R33" s="194">
        <v>2.8</v>
      </c>
      <c r="S33" s="194">
        <v>1.4</v>
      </c>
      <c r="T33" s="195">
        <v>-0.3</v>
      </c>
      <c r="U33" s="195">
        <v>-2</v>
      </c>
      <c r="V33" s="195">
        <v>-3.2</v>
      </c>
      <c r="W33" s="195">
        <v>-4.2</v>
      </c>
      <c r="X33" s="195">
        <v>-5</v>
      </c>
      <c r="Y33" s="196">
        <v>-5.6</v>
      </c>
    </row>
    <row r="34" spans="1:25" ht="12" customHeight="1">
      <c r="A34" s="159" t="s">
        <v>71</v>
      </c>
      <c r="B34" s="193">
        <v>-6.1</v>
      </c>
      <c r="C34" s="194">
        <v>-6.5</v>
      </c>
      <c r="D34" s="194">
        <v>-6.9</v>
      </c>
      <c r="E34" s="194">
        <v>-7.2</v>
      </c>
      <c r="F34" s="194">
        <v>-7.5</v>
      </c>
      <c r="G34" s="194">
        <v>-7.1</v>
      </c>
      <c r="H34" s="194">
        <v>-4.2</v>
      </c>
      <c r="I34" s="194">
        <v>-0.1</v>
      </c>
      <c r="J34" s="194">
        <v>3.4</v>
      </c>
      <c r="K34" s="194">
        <v>5.0999999999999996</v>
      </c>
      <c r="L34" s="194">
        <v>5.0999999999999996</v>
      </c>
      <c r="M34" s="194">
        <v>4.5999999999999996</v>
      </c>
      <c r="N34" s="194">
        <v>4.5</v>
      </c>
      <c r="O34" s="194">
        <v>4.5</v>
      </c>
      <c r="P34" s="194">
        <v>4.4000000000000004</v>
      </c>
      <c r="Q34" s="194">
        <v>4</v>
      </c>
      <c r="R34" s="194">
        <v>3.1</v>
      </c>
      <c r="S34" s="194">
        <v>1.6</v>
      </c>
      <c r="T34" s="195">
        <v>-0.2</v>
      </c>
      <c r="U34" s="195">
        <v>-1.9</v>
      </c>
      <c r="V34" s="195">
        <v>-3.2</v>
      </c>
      <c r="W34" s="195">
        <v>-4.2</v>
      </c>
      <c r="X34" s="195">
        <v>-5</v>
      </c>
      <c r="Y34" s="196">
        <v>-5.6</v>
      </c>
    </row>
    <row r="35" spans="1:25" ht="12" customHeight="1">
      <c r="A35" s="159" t="s">
        <v>72</v>
      </c>
      <c r="B35" s="193">
        <v>-6.1</v>
      </c>
      <c r="C35" s="194">
        <v>-6.5</v>
      </c>
      <c r="D35" s="194">
        <v>-6.9</v>
      </c>
      <c r="E35" s="194">
        <v>-7.2</v>
      </c>
      <c r="F35" s="194">
        <v>-7.5</v>
      </c>
      <c r="G35" s="194">
        <v>-7</v>
      </c>
      <c r="H35" s="194">
        <v>-3.6</v>
      </c>
      <c r="I35" s="194">
        <v>1.7</v>
      </c>
      <c r="J35" s="194">
        <v>6.9</v>
      </c>
      <c r="K35" s="194">
        <v>10.7</v>
      </c>
      <c r="L35" s="194">
        <v>12.3</v>
      </c>
      <c r="M35" s="194">
        <v>11.7</v>
      </c>
      <c r="N35" s="194">
        <v>9.5</v>
      </c>
      <c r="O35" s="194">
        <v>7.7</v>
      </c>
      <c r="P35" s="194">
        <v>6.4</v>
      </c>
      <c r="Q35" s="194">
        <v>5.3</v>
      </c>
      <c r="R35" s="194">
        <v>3.9</v>
      </c>
      <c r="S35" s="194">
        <v>2.1</v>
      </c>
      <c r="T35" s="195">
        <v>0.1</v>
      </c>
      <c r="U35" s="195">
        <v>-1.7</v>
      </c>
      <c r="V35" s="195">
        <v>-3.1</v>
      </c>
      <c r="W35" s="195">
        <v>-4.0999999999999996</v>
      </c>
      <c r="X35" s="195">
        <v>-4.9000000000000004</v>
      </c>
      <c r="Y35" s="196">
        <v>-5.6</v>
      </c>
    </row>
    <row r="36" spans="1:25" ht="12" customHeight="1">
      <c r="A36" s="159" t="s">
        <v>73</v>
      </c>
      <c r="B36" s="193">
        <v>-6</v>
      </c>
      <c r="C36" s="194">
        <v>-6.5</v>
      </c>
      <c r="D36" s="194">
        <v>-6.9</v>
      </c>
      <c r="E36" s="194">
        <v>-7.2</v>
      </c>
      <c r="F36" s="194">
        <v>-7.5</v>
      </c>
      <c r="G36" s="194">
        <v>-7.3</v>
      </c>
      <c r="H36" s="194">
        <v>-5.2</v>
      </c>
      <c r="I36" s="194">
        <v>-1.1000000000000001</v>
      </c>
      <c r="J36" s="194">
        <v>3.9</v>
      </c>
      <c r="K36" s="194">
        <v>8.6</v>
      </c>
      <c r="L36" s="194">
        <v>12.2</v>
      </c>
      <c r="M36" s="194">
        <v>14.2</v>
      </c>
      <c r="N36" s="194">
        <v>14.5</v>
      </c>
      <c r="O36" s="194">
        <v>13.2</v>
      </c>
      <c r="P36" s="194">
        <v>10.7</v>
      </c>
      <c r="Q36" s="194">
        <v>8.1</v>
      </c>
      <c r="R36" s="194">
        <v>5.6</v>
      </c>
      <c r="S36" s="194">
        <v>3.2</v>
      </c>
      <c r="T36" s="195">
        <v>0.7</v>
      </c>
      <c r="U36" s="195">
        <v>-1.3</v>
      </c>
      <c r="V36" s="195">
        <v>-2.8</v>
      </c>
      <c r="W36" s="195">
        <v>-4</v>
      </c>
      <c r="X36" s="195">
        <v>-4.8</v>
      </c>
      <c r="Y36" s="196">
        <v>-5.5</v>
      </c>
    </row>
    <row r="37" spans="1:25" ht="12" customHeight="1">
      <c r="A37" s="159" t="s">
        <v>74</v>
      </c>
      <c r="B37" s="193">
        <v>-5.8</v>
      </c>
      <c r="C37" s="194">
        <v>-6.4</v>
      </c>
      <c r="D37" s="194">
        <v>-6.8</v>
      </c>
      <c r="E37" s="194">
        <v>-7.1</v>
      </c>
      <c r="F37" s="194">
        <v>-7.4</v>
      </c>
      <c r="G37" s="194">
        <v>-7.6</v>
      </c>
      <c r="H37" s="194">
        <v>-7.3</v>
      </c>
      <c r="I37" s="194">
        <v>-6</v>
      </c>
      <c r="J37" s="194">
        <v>-3.4</v>
      </c>
      <c r="K37" s="194">
        <v>0.4</v>
      </c>
      <c r="L37" s="194">
        <v>4.8</v>
      </c>
      <c r="M37" s="194">
        <v>9.1</v>
      </c>
      <c r="N37" s="194">
        <v>12.8</v>
      </c>
      <c r="O37" s="194">
        <v>15.2</v>
      </c>
      <c r="P37" s="194">
        <v>16.2</v>
      </c>
      <c r="Q37" s="194">
        <v>15.4</v>
      </c>
      <c r="R37" s="194">
        <v>12.9</v>
      </c>
      <c r="S37" s="194">
        <v>8.9</v>
      </c>
      <c r="T37" s="195">
        <v>4.4000000000000004</v>
      </c>
      <c r="U37" s="195">
        <v>1</v>
      </c>
      <c r="V37" s="195">
        <v>-1.4</v>
      </c>
      <c r="W37" s="195">
        <v>-3.1</v>
      </c>
      <c r="X37" s="195">
        <v>-4.3</v>
      </c>
      <c r="Y37" s="196">
        <v>-5.2</v>
      </c>
    </row>
    <row r="38" spans="1:25" ht="12" customHeight="1">
      <c r="A38" s="159" t="s">
        <v>75</v>
      </c>
      <c r="B38" s="193">
        <v>-5.7</v>
      </c>
      <c r="C38" s="194">
        <v>-6.3</v>
      </c>
      <c r="D38" s="194">
        <v>-6.7</v>
      </c>
      <c r="E38" s="194">
        <v>-7.1</v>
      </c>
      <c r="F38" s="194">
        <v>-7.4</v>
      </c>
      <c r="G38" s="194">
        <v>-7.6</v>
      </c>
      <c r="H38" s="194">
        <v>-7.3</v>
      </c>
      <c r="I38" s="194">
        <v>-6.1</v>
      </c>
      <c r="J38" s="194">
        <v>-4.4000000000000004</v>
      </c>
      <c r="K38" s="194">
        <v>-2.4</v>
      </c>
      <c r="L38" s="194">
        <v>-0.4</v>
      </c>
      <c r="M38" s="194">
        <v>2.7</v>
      </c>
      <c r="N38" s="194">
        <v>7</v>
      </c>
      <c r="O38" s="194">
        <v>11.5</v>
      </c>
      <c r="P38" s="194">
        <v>15.2</v>
      </c>
      <c r="Q38" s="194">
        <v>17.3</v>
      </c>
      <c r="R38" s="194">
        <v>16.899999999999999</v>
      </c>
      <c r="S38" s="194">
        <v>13.3</v>
      </c>
      <c r="T38" s="195">
        <v>7.5</v>
      </c>
      <c r="U38" s="195">
        <v>2.9</v>
      </c>
      <c r="V38" s="195">
        <v>-0.2</v>
      </c>
      <c r="W38" s="195">
        <v>-2.2999999999999998</v>
      </c>
      <c r="X38" s="195">
        <v>-3.8</v>
      </c>
      <c r="Y38" s="196">
        <v>-4.9000000000000004</v>
      </c>
    </row>
    <row r="39" spans="1:25" ht="12" customHeight="1">
      <c r="A39" s="159" t="s">
        <v>76</v>
      </c>
      <c r="B39" s="193">
        <v>-5.7</v>
      </c>
      <c r="C39" s="194">
        <v>-6.3</v>
      </c>
      <c r="D39" s="194">
        <v>-6.8</v>
      </c>
      <c r="E39" s="194">
        <v>-7.1</v>
      </c>
      <c r="F39" s="194">
        <v>-7.4</v>
      </c>
      <c r="G39" s="194">
        <v>-7.6</v>
      </c>
      <c r="H39" s="194">
        <v>-7.3</v>
      </c>
      <c r="I39" s="194">
        <v>-6.1</v>
      </c>
      <c r="J39" s="194">
        <v>-4.4000000000000004</v>
      </c>
      <c r="K39" s="194">
        <v>-2.4</v>
      </c>
      <c r="L39" s="194">
        <v>-0.6</v>
      </c>
      <c r="M39" s="194">
        <v>0.9</v>
      </c>
      <c r="N39" s="194">
        <v>2.6</v>
      </c>
      <c r="O39" s="194">
        <v>5.5</v>
      </c>
      <c r="P39" s="194">
        <v>9.1</v>
      </c>
      <c r="Q39" s="194">
        <v>12.1</v>
      </c>
      <c r="R39" s="194">
        <v>13.3</v>
      </c>
      <c r="S39" s="194">
        <v>11.1</v>
      </c>
      <c r="T39" s="195">
        <v>6.2</v>
      </c>
      <c r="U39" s="195">
        <v>2.1</v>
      </c>
      <c r="V39" s="195">
        <v>-0.7</v>
      </c>
      <c r="W39" s="195">
        <v>-2.6</v>
      </c>
      <c r="X39" s="195">
        <v>-4</v>
      </c>
      <c r="Y39" s="196">
        <v>-5</v>
      </c>
    </row>
    <row r="40" spans="1:25" ht="12" customHeight="1">
      <c r="A40" s="164" t="s">
        <v>77</v>
      </c>
      <c r="B40" s="197">
        <v>-6</v>
      </c>
      <c r="C40" s="198">
        <v>-6.5</v>
      </c>
      <c r="D40" s="198">
        <v>-6.9</v>
      </c>
      <c r="E40" s="198">
        <v>-7.2</v>
      </c>
      <c r="F40" s="198">
        <v>-7.4</v>
      </c>
      <c r="G40" s="198">
        <v>-7.6</v>
      </c>
      <c r="H40" s="198">
        <v>-7.3</v>
      </c>
      <c r="I40" s="198">
        <v>-6.1</v>
      </c>
      <c r="J40" s="198">
        <v>-4.4000000000000004</v>
      </c>
      <c r="K40" s="198">
        <v>-2.4</v>
      </c>
      <c r="L40" s="198">
        <v>-0.6</v>
      </c>
      <c r="M40" s="198">
        <v>0.9</v>
      </c>
      <c r="N40" s="198">
        <v>2.2000000000000002</v>
      </c>
      <c r="O40" s="198">
        <v>3.1</v>
      </c>
      <c r="P40" s="198">
        <v>3.7</v>
      </c>
      <c r="Q40" s="198">
        <v>4.5</v>
      </c>
      <c r="R40" s="198">
        <v>5.0999999999999996</v>
      </c>
      <c r="S40" s="198">
        <v>4.3</v>
      </c>
      <c r="T40" s="199">
        <v>1.7</v>
      </c>
      <c r="U40" s="199">
        <v>-0.7</v>
      </c>
      <c r="V40" s="199">
        <v>-2.5</v>
      </c>
      <c r="W40" s="199">
        <v>-3.7</v>
      </c>
      <c r="X40" s="199">
        <v>-4.7</v>
      </c>
      <c r="Y40" s="200">
        <v>-5.4</v>
      </c>
    </row>
    <row r="42" spans="1:25" ht="12" customHeight="1">
      <c r="A42" s="146" t="s">
        <v>78</v>
      </c>
      <c r="B42" s="146"/>
      <c r="C42" s="146"/>
      <c r="D42" s="146"/>
      <c r="E42" s="146"/>
      <c r="G42" s="146"/>
      <c r="H42" s="146"/>
      <c r="I42" s="146"/>
      <c r="J42" s="146"/>
      <c r="K42" s="146"/>
    </row>
    <row r="43" spans="1:25" ht="15" customHeight="1">
      <c r="A43" s="169" t="s">
        <v>79</v>
      </c>
      <c r="B43" s="170" t="s">
        <v>80</v>
      </c>
      <c r="C43" s="171" t="s">
        <v>81</v>
      </c>
      <c r="D43" s="170" t="s">
        <v>80</v>
      </c>
      <c r="E43" s="171" t="s">
        <v>81</v>
      </c>
      <c r="F43" s="170" t="s">
        <v>80</v>
      </c>
      <c r="G43" s="171" t="s">
        <v>81</v>
      </c>
      <c r="H43" s="170" t="s">
        <v>80</v>
      </c>
      <c r="I43" s="171" t="s">
        <v>81</v>
      </c>
      <c r="J43" s="170" t="s">
        <v>80</v>
      </c>
      <c r="K43" s="171" t="s">
        <v>81</v>
      </c>
      <c r="L43" s="170" t="s">
        <v>80</v>
      </c>
      <c r="M43" s="172" t="s">
        <v>80</v>
      </c>
      <c r="N43" s="170" t="s">
        <v>80</v>
      </c>
      <c r="P43" s="73" t="s">
        <v>51</v>
      </c>
    </row>
    <row r="44" spans="1:25" ht="12" customHeight="1">
      <c r="A44" s="173">
        <v>0</v>
      </c>
      <c r="B44" s="174">
        <v>6.8000000000000005E-2</v>
      </c>
      <c r="C44" s="175">
        <f t="shared" ref="C44:C67" si="0">A44+24</f>
        <v>24</v>
      </c>
      <c r="D44" s="174">
        <v>0</v>
      </c>
      <c r="E44" s="175">
        <f t="shared" ref="E44:E67" si="1">C44+24</f>
        <v>48</v>
      </c>
      <c r="F44" s="174">
        <v>0</v>
      </c>
      <c r="G44" s="175">
        <f t="shared" ref="G44:G67" si="2">E44+24</f>
        <v>72</v>
      </c>
      <c r="H44" s="176">
        <v>0</v>
      </c>
      <c r="I44" s="175">
        <f t="shared" ref="I44:I67" si="3">G44+24</f>
        <v>96</v>
      </c>
      <c r="J44" s="176">
        <v>0</v>
      </c>
      <c r="K44" s="175">
        <f t="shared" ref="K44:K67" si="4">I44+24</f>
        <v>120</v>
      </c>
      <c r="L44" s="176">
        <v>0</v>
      </c>
      <c r="M44" s="177">
        <f t="shared" ref="M44:M67" si="5">K44+24</f>
        <v>144</v>
      </c>
      <c r="N44" s="178">
        <v>0</v>
      </c>
      <c r="P44" s="179" t="s">
        <v>85</v>
      </c>
    </row>
    <row r="45" spans="1:25" ht="12" customHeight="1">
      <c r="A45" s="180">
        <v>1</v>
      </c>
      <c r="B45" s="181">
        <v>0.29799999999999999</v>
      </c>
      <c r="C45" s="182">
        <f t="shared" si="0"/>
        <v>25</v>
      </c>
      <c r="D45" s="181">
        <v>0</v>
      </c>
      <c r="E45" s="182">
        <f t="shared" si="1"/>
        <v>49</v>
      </c>
      <c r="F45" s="181">
        <v>0</v>
      </c>
      <c r="G45" s="182">
        <f t="shared" si="2"/>
        <v>73</v>
      </c>
      <c r="H45" s="183">
        <v>0</v>
      </c>
      <c r="I45" s="182">
        <f t="shared" si="3"/>
        <v>97</v>
      </c>
      <c r="J45" s="183">
        <v>0</v>
      </c>
      <c r="K45" s="182">
        <f t="shared" si="4"/>
        <v>121</v>
      </c>
      <c r="L45" s="183">
        <v>0</v>
      </c>
      <c r="M45" s="184">
        <f t="shared" si="5"/>
        <v>145</v>
      </c>
      <c r="N45" s="185">
        <v>0</v>
      </c>
      <c r="P45" s="186" t="s">
        <v>86</v>
      </c>
    </row>
    <row r="46" spans="1:25" ht="12" customHeight="1">
      <c r="A46" s="180">
        <v>2</v>
      </c>
      <c r="B46" s="181">
        <v>0.23799999999999999</v>
      </c>
      <c r="C46" s="182">
        <f t="shared" si="0"/>
        <v>26</v>
      </c>
      <c r="D46" s="181">
        <v>0</v>
      </c>
      <c r="E46" s="182">
        <f t="shared" si="1"/>
        <v>50</v>
      </c>
      <c r="F46" s="181">
        <v>0</v>
      </c>
      <c r="G46" s="182">
        <f t="shared" si="2"/>
        <v>74</v>
      </c>
      <c r="H46" s="183">
        <v>0</v>
      </c>
      <c r="I46" s="182">
        <f t="shared" si="3"/>
        <v>98</v>
      </c>
      <c r="J46" s="183">
        <v>0</v>
      </c>
      <c r="K46" s="182">
        <f t="shared" si="4"/>
        <v>122</v>
      </c>
      <c r="L46" s="183">
        <v>0</v>
      </c>
      <c r="M46" s="184">
        <f t="shared" si="5"/>
        <v>146</v>
      </c>
      <c r="N46" s="185">
        <v>0</v>
      </c>
      <c r="P46" s="179" t="s">
        <v>87</v>
      </c>
    </row>
    <row r="47" spans="1:25" ht="12" customHeight="1">
      <c r="A47" s="180">
        <v>3</v>
      </c>
      <c r="B47" s="181">
        <v>0.14899999999999999</v>
      </c>
      <c r="C47" s="182">
        <f t="shared" si="0"/>
        <v>27</v>
      </c>
      <c r="D47" s="181">
        <v>0</v>
      </c>
      <c r="E47" s="182">
        <f t="shared" si="1"/>
        <v>51</v>
      </c>
      <c r="F47" s="181">
        <v>0</v>
      </c>
      <c r="G47" s="182">
        <f t="shared" si="2"/>
        <v>75</v>
      </c>
      <c r="H47" s="183">
        <v>0</v>
      </c>
      <c r="I47" s="182">
        <f t="shared" si="3"/>
        <v>99</v>
      </c>
      <c r="J47" s="183">
        <v>0</v>
      </c>
      <c r="K47" s="182">
        <f t="shared" si="4"/>
        <v>123</v>
      </c>
      <c r="L47" s="183">
        <v>0</v>
      </c>
      <c r="M47" s="184">
        <f t="shared" si="5"/>
        <v>147</v>
      </c>
      <c r="N47" s="185">
        <v>0</v>
      </c>
      <c r="P47" s="179" t="s">
        <v>88</v>
      </c>
    </row>
    <row r="48" spans="1:25" ht="12" customHeight="1">
      <c r="A48" s="180">
        <v>4</v>
      </c>
      <c r="B48" s="181">
        <v>9.2999999999999999E-2</v>
      </c>
      <c r="C48" s="182">
        <f t="shared" si="0"/>
        <v>28</v>
      </c>
      <c r="D48" s="181">
        <v>0</v>
      </c>
      <c r="E48" s="182">
        <f t="shared" si="1"/>
        <v>52</v>
      </c>
      <c r="F48" s="181">
        <v>0</v>
      </c>
      <c r="G48" s="182">
        <f t="shared" si="2"/>
        <v>76</v>
      </c>
      <c r="H48" s="183">
        <v>0</v>
      </c>
      <c r="I48" s="182">
        <f t="shared" si="3"/>
        <v>100</v>
      </c>
      <c r="J48" s="183">
        <v>0</v>
      </c>
      <c r="K48" s="182">
        <f t="shared" si="4"/>
        <v>124</v>
      </c>
      <c r="L48" s="183">
        <v>0</v>
      </c>
      <c r="M48" s="184">
        <f t="shared" si="5"/>
        <v>148</v>
      </c>
      <c r="N48" s="185">
        <v>0</v>
      </c>
      <c r="P48" s="179" t="s">
        <v>89</v>
      </c>
    </row>
    <row r="49" spans="1:16" ht="12" customHeight="1">
      <c r="A49" s="180">
        <v>5</v>
      </c>
      <c r="B49" s="181">
        <v>5.8000000000000003E-2</v>
      </c>
      <c r="C49" s="182">
        <f t="shared" si="0"/>
        <v>29</v>
      </c>
      <c r="D49" s="181">
        <v>0</v>
      </c>
      <c r="E49" s="182">
        <f t="shared" si="1"/>
        <v>53</v>
      </c>
      <c r="F49" s="181">
        <v>0</v>
      </c>
      <c r="G49" s="182">
        <f t="shared" si="2"/>
        <v>77</v>
      </c>
      <c r="H49" s="183">
        <v>0</v>
      </c>
      <c r="I49" s="182">
        <f t="shared" si="3"/>
        <v>101</v>
      </c>
      <c r="J49" s="183">
        <v>0</v>
      </c>
      <c r="K49" s="182">
        <f t="shared" si="4"/>
        <v>125</v>
      </c>
      <c r="L49" s="183">
        <v>0</v>
      </c>
      <c r="M49" s="184">
        <f t="shared" si="5"/>
        <v>149</v>
      </c>
      <c r="N49" s="185">
        <v>0</v>
      </c>
      <c r="P49" s="179" t="s">
        <v>90</v>
      </c>
    </row>
    <row r="50" spans="1:16" ht="12" customHeight="1">
      <c r="A50" s="180">
        <v>6</v>
      </c>
      <c r="B50" s="181">
        <v>3.5999999999999997E-2</v>
      </c>
      <c r="C50" s="182">
        <f t="shared" si="0"/>
        <v>30</v>
      </c>
      <c r="D50" s="181">
        <v>0</v>
      </c>
      <c r="E50" s="182">
        <f t="shared" si="1"/>
        <v>54</v>
      </c>
      <c r="F50" s="181">
        <v>0</v>
      </c>
      <c r="G50" s="182">
        <f t="shared" si="2"/>
        <v>78</v>
      </c>
      <c r="H50" s="183">
        <v>0</v>
      </c>
      <c r="I50" s="182">
        <f t="shared" si="3"/>
        <v>102</v>
      </c>
      <c r="J50" s="183">
        <v>0</v>
      </c>
      <c r="K50" s="182">
        <f t="shared" si="4"/>
        <v>126</v>
      </c>
      <c r="L50" s="183">
        <v>0</v>
      </c>
      <c r="M50" s="184">
        <f t="shared" si="5"/>
        <v>150</v>
      </c>
      <c r="N50" s="185">
        <v>0</v>
      </c>
      <c r="P50" s="179" t="s">
        <v>91</v>
      </c>
    </row>
    <row r="51" spans="1:16" ht="12" customHeight="1">
      <c r="A51" s="180">
        <v>7</v>
      </c>
      <c r="B51" s="181">
        <v>2.1999999999999999E-2</v>
      </c>
      <c r="C51" s="182">
        <f t="shared" si="0"/>
        <v>31</v>
      </c>
      <c r="D51" s="181">
        <v>0</v>
      </c>
      <c r="E51" s="182">
        <f t="shared" si="1"/>
        <v>55</v>
      </c>
      <c r="F51" s="181">
        <v>0</v>
      </c>
      <c r="G51" s="182">
        <f t="shared" si="2"/>
        <v>79</v>
      </c>
      <c r="H51" s="183">
        <v>0</v>
      </c>
      <c r="I51" s="182">
        <f t="shared" si="3"/>
        <v>103</v>
      </c>
      <c r="J51" s="183">
        <v>0</v>
      </c>
      <c r="K51" s="182">
        <f t="shared" si="4"/>
        <v>127</v>
      </c>
      <c r="L51" s="183">
        <v>0</v>
      </c>
      <c r="M51" s="184">
        <f t="shared" si="5"/>
        <v>151</v>
      </c>
      <c r="N51" s="185">
        <v>0</v>
      </c>
      <c r="P51" s="179" t="s">
        <v>92</v>
      </c>
    </row>
    <row r="52" spans="1:16" ht="12" customHeight="1">
      <c r="A52" s="180">
        <v>8</v>
      </c>
      <c r="B52" s="181">
        <v>1.4E-2</v>
      </c>
      <c r="C52" s="182">
        <f t="shared" si="0"/>
        <v>32</v>
      </c>
      <c r="D52" s="181">
        <v>0</v>
      </c>
      <c r="E52" s="182">
        <f t="shared" si="1"/>
        <v>56</v>
      </c>
      <c r="F52" s="181">
        <v>0</v>
      </c>
      <c r="G52" s="182">
        <f t="shared" si="2"/>
        <v>80</v>
      </c>
      <c r="H52" s="183">
        <v>0</v>
      </c>
      <c r="I52" s="182">
        <f t="shared" si="3"/>
        <v>104</v>
      </c>
      <c r="J52" s="183">
        <v>0</v>
      </c>
      <c r="K52" s="182">
        <f t="shared" si="4"/>
        <v>128</v>
      </c>
      <c r="L52" s="183">
        <v>0</v>
      </c>
      <c r="M52" s="184">
        <f t="shared" si="5"/>
        <v>152</v>
      </c>
      <c r="N52" s="185">
        <v>0</v>
      </c>
      <c r="P52" s="179" t="s">
        <v>93</v>
      </c>
    </row>
    <row r="53" spans="1:16" ht="12" customHeight="1">
      <c r="A53" s="180">
        <v>9</v>
      </c>
      <c r="B53" s="181">
        <v>8.9999999999999993E-3</v>
      </c>
      <c r="C53" s="182">
        <f t="shared" si="0"/>
        <v>33</v>
      </c>
      <c r="D53" s="181">
        <v>0</v>
      </c>
      <c r="E53" s="182">
        <f t="shared" si="1"/>
        <v>57</v>
      </c>
      <c r="F53" s="181">
        <v>0</v>
      </c>
      <c r="G53" s="182">
        <f t="shared" si="2"/>
        <v>81</v>
      </c>
      <c r="H53" s="183">
        <v>0</v>
      </c>
      <c r="I53" s="182">
        <f t="shared" si="3"/>
        <v>105</v>
      </c>
      <c r="J53" s="183">
        <v>0</v>
      </c>
      <c r="K53" s="182">
        <f t="shared" si="4"/>
        <v>129</v>
      </c>
      <c r="L53" s="183">
        <v>0</v>
      </c>
      <c r="M53" s="184">
        <f t="shared" si="5"/>
        <v>153</v>
      </c>
      <c r="N53" s="185">
        <v>0</v>
      </c>
      <c r="P53" s="179" t="s">
        <v>94</v>
      </c>
    </row>
    <row r="54" spans="1:16" ht="12" customHeight="1">
      <c r="A54" s="180">
        <v>10</v>
      </c>
      <c r="B54" s="181">
        <v>5.0000000000000001E-3</v>
      </c>
      <c r="C54" s="182">
        <f t="shared" si="0"/>
        <v>34</v>
      </c>
      <c r="D54" s="181">
        <v>0</v>
      </c>
      <c r="E54" s="182">
        <f t="shared" si="1"/>
        <v>58</v>
      </c>
      <c r="F54" s="181">
        <v>0</v>
      </c>
      <c r="G54" s="182">
        <f t="shared" si="2"/>
        <v>82</v>
      </c>
      <c r="H54" s="183">
        <v>0</v>
      </c>
      <c r="I54" s="182">
        <f t="shared" si="3"/>
        <v>106</v>
      </c>
      <c r="J54" s="183">
        <v>0</v>
      </c>
      <c r="K54" s="182">
        <f t="shared" si="4"/>
        <v>130</v>
      </c>
      <c r="L54" s="183">
        <v>0</v>
      </c>
      <c r="M54" s="184">
        <f t="shared" si="5"/>
        <v>154</v>
      </c>
      <c r="N54" s="185">
        <v>0</v>
      </c>
      <c r="P54" s="179" t="s">
        <v>95</v>
      </c>
    </row>
    <row r="55" spans="1:16" ht="12" customHeight="1">
      <c r="A55" s="180">
        <v>11</v>
      </c>
      <c r="B55" s="181">
        <v>3.0000000000000001E-3</v>
      </c>
      <c r="C55" s="182">
        <f t="shared" si="0"/>
        <v>35</v>
      </c>
      <c r="D55" s="181">
        <v>0</v>
      </c>
      <c r="E55" s="182">
        <f t="shared" si="1"/>
        <v>59</v>
      </c>
      <c r="F55" s="181">
        <v>0</v>
      </c>
      <c r="G55" s="182">
        <f t="shared" si="2"/>
        <v>83</v>
      </c>
      <c r="H55" s="183">
        <v>0</v>
      </c>
      <c r="I55" s="182">
        <f t="shared" si="3"/>
        <v>107</v>
      </c>
      <c r="J55" s="183">
        <v>0</v>
      </c>
      <c r="K55" s="182">
        <f t="shared" si="4"/>
        <v>131</v>
      </c>
      <c r="L55" s="183">
        <v>0</v>
      </c>
      <c r="M55" s="184">
        <f t="shared" si="5"/>
        <v>155</v>
      </c>
      <c r="N55" s="185">
        <v>0</v>
      </c>
      <c r="P55" s="179"/>
    </row>
    <row r="56" spans="1:16" ht="12" customHeight="1">
      <c r="A56" s="180">
        <v>12</v>
      </c>
      <c r="B56" s="181">
        <v>2E-3</v>
      </c>
      <c r="C56" s="182">
        <f t="shared" si="0"/>
        <v>36</v>
      </c>
      <c r="D56" s="181">
        <v>0</v>
      </c>
      <c r="E56" s="182">
        <f t="shared" si="1"/>
        <v>60</v>
      </c>
      <c r="F56" s="181">
        <v>0</v>
      </c>
      <c r="G56" s="182">
        <f t="shared" si="2"/>
        <v>84</v>
      </c>
      <c r="H56" s="183">
        <v>0</v>
      </c>
      <c r="I56" s="182">
        <f t="shared" si="3"/>
        <v>108</v>
      </c>
      <c r="J56" s="183">
        <v>0</v>
      </c>
      <c r="K56" s="182">
        <f t="shared" si="4"/>
        <v>132</v>
      </c>
      <c r="L56" s="183">
        <v>0</v>
      </c>
      <c r="M56" s="184">
        <f t="shared" si="5"/>
        <v>156</v>
      </c>
      <c r="N56" s="185">
        <v>0</v>
      </c>
      <c r="P56" s="179"/>
    </row>
    <row r="57" spans="1:16" ht="12" customHeight="1">
      <c r="A57" s="180">
        <v>13</v>
      </c>
      <c r="B57" s="181">
        <v>1E-3</v>
      </c>
      <c r="C57" s="182">
        <f t="shared" si="0"/>
        <v>37</v>
      </c>
      <c r="D57" s="181">
        <v>0</v>
      </c>
      <c r="E57" s="182">
        <f t="shared" si="1"/>
        <v>61</v>
      </c>
      <c r="F57" s="181">
        <v>0</v>
      </c>
      <c r="G57" s="182">
        <f t="shared" si="2"/>
        <v>85</v>
      </c>
      <c r="H57" s="183">
        <v>0</v>
      </c>
      <c r="I57" s="182">
        <f t="shared" si="3"/>
        <v>109</v>
      </c>
      <c r="J57" s="183">
        <v>0</v>
      </c>
      <c r="K57" s="182">
        <f t="shared" si="4"/>
        <v>133</v>
      </c>
      <c r="L57" s="183">
        <v>0</v>
      </c>
      <c r="M57" s="184">
        <f t="shared" si="5"/>
        <v>157</v>
      </c>
      <c r="N57" s="185">
        <v>0</v>
      </c>
      <c r="P57" s="179"/>
    </row>
    <row r="58" spans="1:16" ht="12" customHeight="1">
      <c r="A58" s="180">
        <v>14</v>
      </c>
      <c r="B58" s="181">
        <v>1E-3</v>
      </c>
      <c r="C58" s="182">
        <f t="shared" si="0"/>
        <v>38</v>
      </c>
      <c r="D58" s="181">
        <v>0</v>
      </c>
      <c r="E58" s="182">
        <f t="shared" si="1"/>
        <v>62</v>
      </c>
      <c r="F58" s="181">
        <v>0</v>
      </c>
      <c r="G58" s="182">
        <f t="shared" si="2"/>
        <v>86</v>
      </c>
      <c r="H58" s="183">
        <v>0</v>
      </c>
      <c r="I58" s="182">
        <f t="shared" si="3"/>
        <v>110</v>
      </c>
      <c r="J58" s="183">
        <v>0</v>
      </c>
      <c r="K58" s="182">
        <f t="shared" si="4"/>
        <v>134</v>
      </c>
      <c r="L58" s="183">
        <v>0</v>
      </c>
      <c r="M58" s="184">
        <f t="shared" si="5"/>
        <v>158</v>
      </c>
      <c r="N58" s="185">
        <v>0</v>
      </c>
      <c r="P58" s="179"/>
    </row>
    <row r="59" spans="1:16" ht="12" customHeight="1">
      <c r="A59" s="180">
        <v>15</v>
      </c>
      <c r="B59" s="181">
        <v>1E-3</v>
      </c>
      <c r="C59" s="182">
        <f t="shared" si="0"/>
        <v>39</v>
      </c>
      <c r="D59" s="181">
        <v>0</v>
      </c>
      <c r="E59" s="182">
        <f t="shared" si="1"/>
        <v>63</v>
      </c>
      <c r="F59" s="181">
        <v>0</v>
      </c>
      <c r="G59" s="182">
        <f t="shared" si="2"/>
        <v>87</v>
      </c>
      <c r="H59" s="183">
        <v>0</v>
      </c>
      <c r="I59" s="182">
        <f t="shared" si="3"/>
        <v>111</v>
      </c>
      <c r="J59" s="183">
        <v>0</v>
      </c>
      <c r="K59" s="182">
        <f t="shared" si="4"/>
        <v>135</v>
      </c>
      <c r="L59" s="183">
        <v>0</v>
      </c>
      <c r="M59" s="184">
        <f t="shared" si="5"/>
        <v>159</v>
      </c>
      <c r="N59" s="185">
        <v>0</v>
      </c>
      <c r="P59" s="179"/>
    </row>
    <row r="60" spans="1:16" ht="12" customHeight="1">
      <c r="A60" s="180">
        <v>16</v>
      </c>
      <c r="B60" s="181">
        <v>0</v>
      </c>
      <c r="C60" s="182">
        <f t="shared" si="0"/>
        <v>40</v>
      </c>
      <c r="D60" s="181">
        <v>0</v>
      </c>
      <c r="E60" s="182">
        <f t="shared" si="1"/>
        <v>64</v>
      </c>
      <c r="F60" s="181">
        <v>0</v>
      </c>
      <c r="G60" s="182">
        <f t="shared" si="2"/>
        <v>88</v>
      </c>
      <c r="H60" s="183">
        <v>0</v>
      </c>
      <c r="I60" s="182">
        <f t="shared" si="3"/>
        <v>112</v>
      </c>
      <c r="J60" s="183">
        <v>0</v>
      </c>
      <c r="K60" s="182">
        <f t="shared" si="4"/>
        <v>136</v>
      </c>
      <c r="L60" s="183">
        <v>0</v>
      </c>
      <c r="M60" s="184">
        <f t="shared" si="5"/>
        <v>160</v>
      </c>
      <c r="N60" s="185">
        <v>0</v>
      </c>
      <c r="P60" s="179"/>
    </row>
    <row r="61" spans="1:16" ht="12" customHeight="1">
      <c r="A61" s="180">
        <v>17</v>
      </c>
      <c r="B61" s="181">
        <v>0</v>
      </c>
      <c r="C61" s="182">
        <f t="shared" si="0"/>
        <v>41</v>
      </c>
      <c r="D61" s="181">
        <v>0</v>
      </c>
      <c r="E61" s="182">
        <f t="shared" si="1"/>
        <v>65</v>
      </c>
      <c r="F61" s="181">
        <v>0</v>
      </c>
      <c r="G61" s="182">
        <f t="shared" si="2"/>
        <v>89</v>
      </c>
      <c r="H61" s="183">
        <v>0</v>
      </c>
      <c r="I61" s="182">
        <f t="shared" si="3"/>
        <v>113</v>
      </c>
      <c r="J61" s="183">
        <v>0</v>
      </c>
      <c r="K61" s="182">
        <f t="shared" si="4"/>
        <v>137</v>
      </c>
      <c r="L61" s="183">
        <v>0</v>
      </c>
      <c r="M61" s="184">
        <f t="shared" si="5"/>
        <v>161</v>
      </c>
      <c r="N61" s="185">
        <v>0</v>
      </c>
      <c r="P61" s="179"/>
    </row>
    <row r="62" spans="1:16" ht="12" customHeight="1">
      <c r="A62" s="180">
        <v>18</v>
      </c>
      <c r="B62" s="181">
        <v>0</v>
      </c>
      <c r="C62" s="182">
        <f t="shared" si="0"/>
        <v>42</v>
      </c>
      <c r="D62" s="181">
        <v>0</v>
      </c>
      <c r="E62" s="182">
        <f t="shared" si="1"/>
        <v>66</v>
      </c>
      <c r="F62" s="181">
        <v>0</v>
      </c>
      <c r="G62" s="182">
        <f t="shared" si="2"/>
        <v>90</v>
      </c>
      <c r="H62" s="183">
        <v>0</v>
      </c>
      <c r="I62" s="182">
        <f t="shared" si="3"/>
        <v>114</v>
      </c>
      <c r="J62" s="183">
        <v>0</v>
      </c>
      <c r="K62" s="182">
        <f t="shared" si="4"/>
        <v>138</v>
      </c>
      <c r="L62" s="183">
        <v>0</v>
      </c>
      <c r="M62" s="184">
        <f t="shared" si="5"/>
        <v>162</v>
      </c>
      <c r="N62" s="185">
        <v>0</v>
      </c>
      <c r="P62" s="179"/>
    </row>
    <row r="63" spans="1:16" ht="12" customHeight="1">
      <c r="A63" s="180">
        <v>19</v>
      </c>
      <c r="B63" s="181">
        <v>0</v>
      </c>
      <c r="C63" s="182">
        <f t="shared" si="0"/>
        <v>43</v>
      </c>
      <c r="D63" s="181">
        <v>0</v>
      </c>
      <c r="E63" s="182">
        <f t="shared" si="1"/>
        <v>67</v>
      </c>
      <c r="F63" s="181">
        <v>0</v>
      </c>
      <c r="G63" s="182">
        <f t="shared" si="2"/>
        <v>91</v>
      </c>
      <c r="H63" s="183">
        <v>0</v>
      </c>
      <c r="I63" s="182">
        <f t="shared" si="3"/>
        <v>115</v>
      </c>
      <c r="J63" s="183">
        <v>0</v>
      </c>
      <c r="K63" s="182">
        <f t="shared" si="4"/>
        <v>139</v>
      </c>
      <c r="L63" s="183">
        <v>0</v>
      </c>
      <c r="M63" s="184">
        <f t="shared" si="5"/>
        <v>163</v>
      </c>
      <c r="N63" s="185">
        <v>0</v>
      </c>
      <c r="P63" s="179"/>
    </row>
    <row r="64" spans="1:16" ht="12" customHeight="1">
      <c r="A64" s="180">
        <v>20</v>
      </c>
      <c r="B64" s="181">
        <v>0</v>
      </c>
      <c r="C64" s="182">
        <f t="shared" si="0"/>
        <v>44</v>
      </c>
      <c r="D64" s="181">
        <v>0</v>
      </c>
      <c r="E64" s="182">
        <f t="shared" si="1"/>
        <v>68</v>
      </c>
      <c r="F64" s="181">
        <v>0</v>
      </c>
      <c r="G64" s="182">
        <f t="shared" si="2"/>
        <v>92</v>
      </c>
      <c r="H64" s="183">
        <v>0</v>
      </c>
      <c r="I64" s="182">
        <f t="shared" si="3"/>
        <v>116</v>
      </c>
      <c r="J64" s="183">
        <v>0</v>
      </c>
      <c r="K64" s="182">
        <f t="shared" si="4"/>
        <v>140</v>
      </c>
      <c r="L64" s="183">
        <v>0</v>
      </c>
      <c r="M64" s="184">
        <f t="shared" si="5"/>
        <v>164</v>
      </c>
      <c r="N64" s="185">
        <v>0</v>
      </c>
      <c r="P64" s="179"/>
    </row>
    <row r="65" spans="1:16" ht="12" customHeight="1">
      <c r="A65" s="180">
        <v>21</v>
      </c>
      <c r="B65" s="181">
        <v>0</v>
      </c>
      <c r="C65" s="182">
        <f t="shared" si="0"/>
        <v>45</v>
      </c>
      <c r="D65" s="181">
        <v>0</v>
      </c>
      <c r="E65" s="182">
        <f t="shared" si="1"/>
        <v>69</v>
      </c>
      <c r="F65" s="181">
        <v>0</v>
      </c>
      <c r="G65" s="182">
        <f t="shared" si="2"/>
        <v>93</v>
      </c>
      <c r="H65" s="183">
        <v>0</v>
      </c>
      <c r="I65" s="182">
        <f t="shared" si="3"/>
        <v>117</v>
      </c>
      <c r="J65" s="183">
        <v>0</v>
      </c>
      <c r="K65" s="182">
        <f t="shared" si="4"/>
        <v>141</v>
      </c>
      <c r="L65" s="183">
        <v>0</v>
      </c>
      <c r="M65" s="184">
        <f t="shared" si="5"/>
        <v>165</v>
      </c>
      <c r="N65" s="185">
        <v>0</v>
      </c>
      <c r="P65" s="179"/>
    </row>
    <row r="66" spans="1:16" ht="12" customHeight="1">
      <c r="A66" s="180">
        <v>22</v>
      </c>
      <c r="B66" s="181">
        <v>0</v>
      </c>
      <c r="C66" s="182">
        <f t="shared" si="0"/>
        <v>46</v>
      </c>
      <c r="D66" s="181">
        <v>0</v>
      </c>
      <c r="E66" s="182">
        <f t="shared" si="1"/>
        <v>70</v>
      </c>
      <c r="F66" s="181">
        <v>0</v>
      </c>
      <c r="G66" s="182">
        <f t="shared" si="2"/>
        <v>94</v>
      </c>
      <c r="H66" s="183">
        <v>0</v>
      </c>
      <c r="I66" s="182">
        <f t="shared" si="3"/>
        <v>118</v>
      </c>
      <c r="J66" s="183">
        <v>0</v>
      </c>
      <c r="K66" s="182">
        <f t="shared" si="4"/>
        <v>142</v>
      </c>
      <c r="L66" s="183">
        <v>0</v>
      </c>
      <c r="M66" s="184">
        <f t="shared" si="5"/>
        <v>166</v>
      </c>
      <c r="N66" s="185">
        <v>0</v>
      </c>
      <c r="P66" s="179"/>
    </row>
    <row r="67" spans="1:16" ht="12" customHeight="1">
      <c r="A67" s="187">
        <v>23</v>
      </c>
      <c r="B67" s="188">
        <v>0</v>
      </c>
      <c r="C67" s="189">
        <f t="shared" si="0"/>
        <v>47</v>
      </c>
      <c r="D67" s="188">
        <v>0</v>
      </c>
      <c r="E67" s="189">
        <f t="shared" si="1"/>
        <v>71</v>
      </c>
      <c r="F67" s="188">
        <v>0</v>
      </c>
      <c r="G67" s="189">
        <f t="shared" si="2"/>
        <v>95</v>
      </c>
      <c r="H67" s="190">
        <v>0</v>
      </c>
      <c r="I67" s="189">
        <f t="shared" si="3"/>
        <v>119</v>
      </c>
      <c r="J67" s="190">
        <v>0</v>
      </c>
      <c r="K67" s="189">
        <f t="shared" si="4"/>
        <v>143</v>
      </c>
      <c r="L67" s="190">
        <v>0</v>
      </c>
      <c r="M67" s="191">
        <f t="shared" si="5"/>
        <v>167</v>
      </c>
      <c r="N67" s="192">
        <v>0</v>
      </c>
      <c r="P67" s="179"/>
    </row>
  </sheetData>
  <phoneticPr fontId="4"/>
  <pageMargins left="1.1811023622047245" right="0.70866141732283472" top="0.59055118110236227" bottom="0.39370078740157483" header="0.39370078740157483" footer="0.11811023622047245"/>
  <pageSetup paperSize="9" scale="67" orientation="landscape" horizontalDpi="1200" verticalDpi="1200" r:id="rId1"/>
  <headerFooter scaleWithDoc="0" alignWithMargins="0">
    <oddFooter>&amp;C&amp;"ＭＳ Ｐゴシック,標準"&amp;9( &amp;P /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Y67"/>
  <sheetViews>
    <sheetView showGridLines="0" zoomScale="80" zoomScaleNormal="80" workbookViewId="0"/>
  </sheetViews>
  <sheetFormatPr defaultColWidth="8" defaultRowHeight="12" customHeight="1"/>
  <cols>
    <col min="1" max="1" width="8.7109375" style="73" customWidth="1"/>
    <col min="2" max="19" width="7.5703125" style="73" customWidth="1"/>
    <col min="20" max="16384" width="8" style="73"/>
  </cols>
  <sheetData>
    <row r="1" spans="1:25" s="145" customFormat="1" ht="24" customHeight="1">
      <c r="A1" s="141" t="s">
        <v>105</v>
      </c>
      <c r="B1" s="142"/>
      <c r="C1" s="142"/>
      <c r="D1" s="142"/>
      <c r="E1" s="142"/>
      <c r="F1" s="142"/>
      <c r="G1" s="142"/>
      <c r="H1" s="142"/>
      <c r="I1" s="142"/>
      <c r="J1" s="142"/>
      <c r="K1" s="142"/>
      <c r="L1" s="142"/>
      <c r="M1" s="142"/>
      <c r="N1" s="142"/>
      <c r="O1" s="142"/>
      <c r="P1" s="142"/>
      <c r="Q1" s="142"/>
      <c r="R1" s="142"/>
      <c r="S1" s="143"/>
      <c r="T1" s="143"/>
      <c r="U1" s="143"/>
      <c r="V1" s="143"/>
      <c r="W1" s="143"/>
      <c r="X1" s="143"/>
      <c r="Y1" s="144"/>
    </row>
    <row r="2" spans="1:25" ht="12" customHeight="1" thickBot="1">
      <c r="S2" s="63"/>
    </row>
    <row r="3" spans="1:25" ht="12" customHeight="1">
      <c r="A3" s="146" t="s">
        <v>68</v>
      </c>
      <c r="B3" s="146"/>
      <c r="C3" s="146"/>
      <c r="D3" s="37" t="s">
        <v>30</v>
      </c>
      <c r="E3" s="146"/>
      <c r="F3" s="146"/>
      <c r="G3" s="146"/>
      <c r="H3" s="146"/>
      <c r="I3" s="146"/>
      <c r="J3" s="146"/>
      <c r="K3" s="146"/>
      <c r="L3" s="146"/>
      <c r="M3" s="146"/>
      <c r="N3" s="146"/>
      <c r="O3" s="146"/>
      <c r="P3" s="146"/>
      <c r="Q3" s="146"/>
      <c r="R3" s="146"/>
      <c r="S3" s="147"/>
      <c r="T3" s="146"/>
      <c r="U3" s="146"/>
      <c r="V3" s="146"/>
      <c r="W3" s="146"/>
      <c r="X3" s="146"/>
      <c r="Y3" s="146"/>
    </row>
    <row r="4" spans="1:25" ht="16.5" customHeight="1">
      <c r="A4" s="148"/>
      <c r="B4" s="149">
        <v>1</v>
      </c>
      <c r="C4" s="150">
        <v>2</v>
      </c>
      <c r="D4" s="151">
        <v>3</v>
      </c>
      <c r="E4" s="150">
        <v>4</v>
      </c>
      <c r="F4" s="150">
        <v>5</v>
      </c>
      <c r="G4" s="150">
        <v>6</v>
      </c>
      <c r="H4" s="150">
        <v>7</v>
      </c>
      <c r="I4" s="150">
        <v>8</v>
      </c>
      <c r="J4" s="150">
        <v>9</v>
      </c>
      <c r="K4" s="150">
        <v>10</v>
      </c>
      <c r="L4" s="150">
        <v>11</v>
      </c>
      <c r="M4" s="150">
        <v>12</v>
      </c>
      <c r="N4" s="150">
        <v>13</v>
      </c>
      <c r="O4" s="150">
        <v>14</v>
      </c>
      <c r="P4" s="150">
        <v>15</v>
      </c>
      <c r="Q4" s="150">
        <v>16</v>
      </c>
      <c r="R4" s="150">
        <v>17</v>
      </c>
      <c r="S4" s="150">
        <v>18</v>
      </c>
      <c r="T4" s="152">
        <v>19</v>
      </c>
      <c r="U4" s="152">
        <v>20</v>
      </c>
      <c r="V4" s="152">
        <v>21</v>
      </c>
      <c r="W4" s="152">
        <v>22</v>
      </c>
      <c r="X4" s="152">
        <v>23</v>
      </c>
      <c r="Y4" s="153">
        <v>24</v>
      </c>
    </row>
    <row r="5" spans="1:25" ht="12" customHeight="1">
      <c r="A5" s="154" t="s">
        <v>99</v>
      </c>
      <c r="B5" s="201">
        <v>6.3</v>
      </c>
      <c r="C5" s="202">
        <v>5.7</v>
      </c>
      <c r="D5" s="202">
        <v>5.0999999999999996</v>
      </c>
      <c r="E5" s="202">
        <v>4.5</v>
      </c>
      <c r="F5" s="202">
        <v>3.9</v>
      </c>
      <c r="G5" s="202">
        <v>3.3</v>
      </c>
      <c r="H5" s="202">
        <v>2.8</v>
      </c>
      <c r="I5" s="202">
        <v>2.2999999999999998</v>
      </c>
      <c r="J5" s="202">
        <v>2</v>
      </c>
      <c r="K5" s="202">
        <v>1.8</v>
      </c>
      <c r="L5" s="202">
        <v>2</v>
      </c>
      <c r="M5" s="202">
        <v>2.2999999999999998</v>
      </c>
      <c r="N5" s="202">
        <v>2.9</v>
      </c>
      <c r="O5" s="202">
        <v>3.7</v>
      </c>
      <c r="P5" s="202">
        <v>4.5999999999999996</v>
      </c>
      <c r="Q5" s="202">
        <v>5.5</v>
      </c>
      <c r="R5" s="202">
        <v>6.4</v>
      </c>
      <c r="S5" s="202">
        <v>7.1</v>
      </c>
      <c r="T5" s="203">
        <v>7.7</v>
      </c>
      <c r="U5" s="203">
        <v>8</v>
      </c>
      <c r="V5" s="203">
        <v>8</v>
      </c>
      <c r="W5" s="203">
        <v>7.8</v>
      </c>
      <c r="X5" s="203">
        <v>7.4</v>
      </c>
      <c r="Y5" s="204">
        <v>6.9</v>
      </c>
    </row>
    <row r="6" spans="1:25" ht="12" customHeight="1">
      <c r="A6" s="159" t="s">
        <v>69</v>
      </c>
      <c r="B6" s="160">
        <v>10.3</v>
      </c>
      <c r="C6" s="161">
        <v>9.3000000000000007</v>
      </c>
      <c r="D6" s="161">
        <v>8.4</v>
      </c>
      <c r="E6" s="161">
        <v>7.5</v>
      </c>
      <c r="F6" s="161">
        <v>6.6</v>
      </c>
      <c r="G6" s="161">
        <v>5.8</v>
      </c>
      <c r="H6" s="161">
        <v>5</v>
      </c>
      <c r="I6" s="161">
        <v>4.3</v>
      </c>
      <c r="J6" s="161">
        <v>3.8</v>
      </c>
      <c r="K6" s="161">
        <v>3.7</v>
      </c>
      <c r="L6" s="161">
        <v>3.8</v>
      </c>
      <c r="M6" s="161">
        <v>4.4000000000000004</v>
      </c>
      <c r="N6" s="161">
        <v>5.4</v>
      </c>
      <c r="O6" s="161">
        <v>6.7</v>
      </c>
      <c r="P6" s="161">
        <v>8.1999999999999993</v>
      </c>
      <c r="Q6" s="161">
        <v>9.6999999999999993</v>
      </c>
      <c r="R6" s="161">
        <v>11.1</v>
      </c>
      <c r="S6" s="161">
        <v>12.2</v>
      </c>
      <c r="T6" s="162">
        <v>13</v>
      </c>
      <c r="U6" s="162">
        <v>13.3</v>
      </c>
      <c r="V6" s="162">
        <v>13.2</v>
      </c>
      <c r="W6" s="162">
        <v>12.7</v>
      </c>
      <c r="X6" s="162">
        <v>12</v>
      </c>
      <c r="Y6" s="163">
        <v>11.2</v>
      </c>
    </row>
    <row r="7" spans="1:25" ht="12" customHeight="1">
      <c r="A7" s="159" t="s">
        <v>70</v>
      </c>
      <c r="B7" s="160" t="s">
        <v>100</v>
      </c>
      <c r="C7" s="161" t="s">
        <v>100</v>
      </c>
      <c r="D7" s="161" t="s">
        <v>100</v>
      </c>
      <c r="E7" s="161" t="s">
        <v>100</v>
      </c>
      <c r="F7" s="161" t="s">
        <v>100</v>
      </c>
      <c r="G7" s="161" t="s">
        <v>100</v>
      </c>
      <c r="H7" s="161" t="s">
        <v>100</v>
      </c>
      <c r="I7" s="161" t="s">
        <v>100</v>
      </c>
      <c r="J7" s="161" t="s">
        <v>100</v>
      </c>
      <c r="K7" s="161" t="s">
        <v>100</v>
      </c>
      <c r="L7" s="161" t="s">
        <v>100</v>
      </c>
      <c r="M7" s="161" t="s">
        <v>100</v>
      </c>
      <c r="N7" s="161" t="s">
        <v>100</v>
      </c>
      <c r="O7" s="161" t="s">
        <v>100</v>
      </c>
      <c r="P7" s="161" t="s">
        <v>100</v>
      </c>
      <c r="Q7" s="161" t="s">
        <v>100</v>
      </c>
      <c r="R7" s="161" t="s">
        <v>100</v>
      </c>
      <c r="S7" s="161" t="s">
        <v>100</v>
      </c>
      <c r="T7" s="162" t="s">
        <v>100</v>
      </c>
      <c r="U7" s="162" t="s">
        <v>100</v>
      </c>
      <c r="V7" s="162" t="s">
        <v>100</v>
      </c>
      <c r="W7" s="162" t="s">
        <v>100</v>
      </c>
      <c r="X7" s="162" t="s">
        <v>100</v>
      </c>
      <c r="Y7" s="163" t="s">
        <v>100</v>
      </c>
    </row>
    <row r="8" spans="1:25" ht="12" customHeight="1">
      <c r="A8" s="159" t="s">
        <v>71</v>
      </c>
      <c r="B8" s="160" t="s">
        <v>100</v>
      </c>
      <c r="C8" s="161" t="s">
        <v>100</v>
      </c>
      <c r="D8" s="161" t="s">
        <v>100</v>
      </c>
      <c r="E8" s="161" t="s">
        <v>100</v>
      </c>
      <c r="F8" s="161" t="s">
        <v>100</v>
      </c>
      <c r="G8" s="161" t="s">
        <v>100</v>
      </c>
      <c r="H8" s="161" t="s">
        <v>100</v>
      </c>
      <c r="I8" s="161" t="s">
        <v>100</v>
      </c>
      <c r="J8" s="161" t="s">
        <v>100</v>
      </c>
      <c r="K8" s="161" t="s">
        <v>100</v>
      </c>
      <c r="L8" s="161" t="s">
        <v>100</v>
      </c>
      <c r="M8" s="161" t="s">
        <v>100</v>
      </c>
      <c r="N8" s="161" t="s">
        <v>100</v>
      </c>
      <c r="O8" s="161" t="s">
        <v>100</v>
      </c>
      <c r="P8" s="161" t="s">
        <v>100</v>
      </c>
      <c r="Q8" s="161" t="s">
        <v>100</v>
      </c>
      <c r="R8" s="161" t="s">
        <v>100</v>
      </c>
      <c r="S8" s="161" t="s">
        <v>100</v>
      </c>
      <c r="T8" s="162" t="s">
        <v>100</v>
      </c>
      <c r="U8" s="162" t="s">
        <v>100</v>
      </c>
      <c r="V8" s="162" t="s">
        <v>100</v>
      </c>
      <c r="W8" s="162" t="s">
        <v>100</v>
      </c>
      <c r="X8" s="162" t="s">
        <v>100</v>
      </c>
      <c r="Y8" s="163" t="s">
        <v>100</v>
      </c>
    </row>
    <row r="9" spans="1:25" ht="12" customHeight="1">
      <c r="A9" s="159" t="s">
        <v>72</v>
      </c>
      <c r="B9" s="160" t="s">
        <v>100</v>
      </c>
      <c r="C9" s="161" t="s">
        <v>100</v>
      </c>
      <c r="D9" s="161" t="s">
        <v>100</v>
      </c>
      <c r="E9" s="161" t="s">
        <v>100</v>
      </c>
      <c r="F9" s="161" t="s">
        <v>100</v>
      </c>
      <c r="G9" s="161" t="s">
        <v>100</v>
      </c>
      <c r="H9" s="161" t="s">
        <v>100</v>
      </c>
      <c r="I9" s="161" t="s">
        <v>100</v>
      </c>
      <c r="J9" s="161" t="s">
        <v>100</v>
      </c>
      <c r="K9" s="161" t="s">
        <v>100</v>
      </c>
      <c r="L9" s="161" t="s">
        <v>100</v>
      </c>
      <c r="M9" s="161" t="s">
        <v>100</v>
      </c>
      <c r="N9" s="161" t="s">
        <v>100</v>
      </c>
      <c r="O9" s="161" t="s">
        <v>100</v>
      </c>
      <c r="P9" s="161" t="s">
        <v>100</v>
      </c>
      <c r="Q9" s="161" t="s">
        <v>100</v>
      </c>
      <c r="R9" s="161" t="s">
        <v>100</v>
      </c>
      <c r="S9" s="161" t="s">
        <v>100</v>
      </c>
      <c r="T9" s="162" t="s">
        <v>100</v>
      </c>
      <c r="U9" s="162" t="s">
        <v>100</v>
      </c>
      <c r="V9" s="162" t="s">
        <v>100</v>
      </c>
      <c r="W9" s="162" t="s">
        <v>100</v>
      </c>
      <c r="X9" s="162" t="s">
        <v>100</v>
      </c>
      <c r="Y9" s="163" t="s">
        <v>100</v>
      </c>
    </row>
    <row r="10" spans="1:25" ht="12" customHeight="1">
      <c r="A10" s="159" t="s">
        <v>73</v>
      </c>
      <c r="B10" s="160" t="s">
        <v>100</v>
      </c>
      <c r="C10" s="161" t="s">
        <v>100</v>
      </c>
      <c r="D10" s="161" t="s">
        <v>100</v>
      </c>
      <c r="E10" s="161" t="s">
        <v>100</v>
      </c>
      <c r="F10" s="161" t="s">
        <v>100</v>
      </c>
      <c r="G10" s="161" t="s">
        <v>100</v>
      </c>
      <c r="H10" s="161" t="s">
        <v>100</v>
      </c>
      <c r="I10" s="161" t="s">
        <v>100</v>
      </c>
      <c r="J10" s="161" t="s">
        <v>100</v>
      </c>
      <c r="K10" s="161" t="s">
        <v>100</v>
      </c>
      <c r="L10" s="161" t="s">
        <v>100</v>
      </c>
      <c r="M10" s="161" t="s">
        <v>100</v>
      </c>
      <c r="N10" s="161" t="s">
        <v>100</v>
      </c>
      <c r="O10" s="161" t="s">
        <v>100</v>
      </c>
      <c r="P10" s="161" t="s">
        <v>100</v>
      </c>
      <c r="Q10" s="161" t="s">
        <v>100</v>
      </c>
      <c r="R10" s="161" t="s">
        <v>100</v>
      </c>
      <c r="S10" s="161" t="s">
        <v>100</v>
      </c>
      <c r="T10" s="162" t="s">
        <v>100</v>
      </c>
      <c r="U10" s="162" t="s">
        <v>100</v>
      </c>
      <c r="V10" s="162" t="s">
        <v>100</v>
      </c>
      <c r="W10" s="162" t="s">
        <v>100</v>
      </c>
      <c r="X10" s="162" t="s">
        <v>100</v>
      </c>
      <c r="Y10" s="163" t="s">
        <v>100</v>
      </c>
    </row>
    <row r="11" spans="1:25" ht="12" customHeight="1">
      <c r="A11" s="159" t="s">
        <v>74</v>
      </c>
      <c r="B11" s="160" t="s">
        <v>100</v>
      </c>
      <c r="C11" s="161" t="s">
        <v>100</v>
      </c>
      <c r="D11" s="161" t="s">
        <v>100</v>
      </c>
      <c r="E11" s="161" t="s">
        <v>100</v>
      </c>
      <c r="F11" s="161" t="s">
        <v>100</v>
      </c>
      <c r="G11" s="161" t="s">
        <v>100</v>
      </c>
      <c r="H11" s="161" t="s">
        <v>100</v>
      </c>
      <c r="I11" s="161" t="s">
        <v>100</v>
      </c>
      <c r="J11" s="161" t="s">
        <v>100</v>
      </c>
      <c r="K11" s="161" t="s">
        <v>100</v>
      </c>
      <c r="L11" s="161" t="s">
        <v>100</v>
      </c>
      <c r="M11" s="161" t="s">
        <v>100</v>
      </c>
      <c r="N11" s="161" t="s">
        <v>100</v>
      </c>
      <c r="O11" s="161" t="s">
        <v>100</v>
      </c>
      <c r="P11" s="161" t="s">
        <v>100</v>
      </c>
      <c r="Q11" s="161" t="s">
        <v>100</v>
      </c>
      <c r="R11" s="161" t="s">
        <v>100</v>
      </c>
      <c r="S11" s="161" t="s">
        <v>100</v>
      </c>
      <c r="T11" s="162" t="s">
        <v>100</v>
      </c>
      <c r="U11" s="162" t="s">
        <v>100</v>
      </c>
      <c r="V11" s="162" t="s">
        <v>100</v>
      </c>
      <c r="W11" s="162" t="s">
        <v>100</v>
      </c>
      <c r="X11" s="162" t="s">
        <v>100</v>
      </c>
      <c r="Y11" s="163" t="s">
        <v>100</v>
      </c>
    </row>
    <row r="12" spans="1:25" ht="12" customHeight="1">
      <c r="A12" s="159" t="s">
        <v>75</v>
      </c>
      <c r="B12" s="160" t="s">
        <v>100</v>
      </c>
      <c r="C12" s="161" t="s">
        <v>100</v>
      </c>
      <c r="D12" s="161" t="s">
        <v>100</v>
      </c>
      <c r="E12" s="161" t="s">
        <v>100</v>
      </c>
      <c r="F12" s="161" t="s">
        <v>100</v>
      </c>
      <c r="G12" s="161" t="s">
        <v>100</v>
      </c>
      <c r="H12" s="161" t="s">
        <v>100</v>
      </c>
      <c r="I12" s="161" t="s">
        <v>100</v>
      </c>
      <c r="J12" s="161" t="s">
        <v>100</v>
      </c>
      <c r="K12" s="161" t="s">
        <v>100</v>
      </c>
      <c r="L12" s="161" t="s">
        <v>100</v>
      </c>
      <c r="M12" s="161" t="s">
        <v>100</v>
      </c>
      <c r="N12" s="161" t="s">
        <v>100</v>
      </c>
      <c r="O12" s="161" t="s">
        <v>100</v>
      </c>
      <c r="P12" s="161" t="s">
        <v>100</v>
      </c>
      <c r="Q12" s="161" t="s">
        <v>100</v>
      </c>
      <c r="R12" s="161" t="s">
        <v>100</v>
      </c>
      <c r="S12" s="161" t="s">
        <v>100</v>
      </c>
      <c r="T12" s="162" t="s">
        <v>100</v>
      </c>
      <c r="U12" s="162" t="s">
        <v>100</v>
      </c>
      <c r="V12" s="162" t="s">
        <v>100</v>
      </c>
      <c r="W12" s="162" t="s">
        <v>100</v>
      </c>
      <c r="X12" s="162" t="s">
        <v>100</v>
      </c>
      <c r="Y12" s="163" t="s">
        <v>100</v>
      </c>
    </row>
    <row r="13" spans="1:25" ht="12" customHeight="1">
      <c r="A13" s="159" t="s">
        <v>76</v>
      </c>
      <c r="B13" s="160" t="s">
        <v>100</v>
      </c>
      <c r="C13" s="161" t="s">
        <v>100</v>
      </c>
      <c r="D13" s="161" t="s">
        <v>100</v>
      </c>
      <c r="E13" s="161" t="s">
        <v>100</v>
      </c>
      <c r="F13" s="161" t="s">
        <v>100</v>
      </c>
      <c r="G13" s="161" t="s">
        <v>100</v>
      </c>
      <c r="H13" s="161" t="s">
        <v>100</v>
      </c>
      <c r="I13" s="161" t="s">
        <v>100</v>
      </c>
      <c r="J13" s="161" t="s">
        <v>100</v>
      </c>
      <c r="K13" s="161" t="s">
        <v>100</v>
      </c>
      <c r="L13" s="161" t="s">
        <v>100</v>
      </c>
      <c r="M13" s="161" t="s">
        <v>100</v>
      </c>
      <c r="N13" s="161" t="s">
        <v>100</v>
      </c>
      <c r="O13" s="161" t="s">
        <v>100</v>
      </c>
      <c r="P13" s="161" t="s">
        <v>100</v>
      </c>
      <c r="Q13" s="161" t="s">
        <v>100</v>
      </c>
      <c r="R13" s="161" t="s">
        <v>100</v>
      </c>
      <c r="S13" s="161" t="s">
        <v>100</v>
      </c>
      <c r="T13" s="162" t="s">
        <v>100</v>
      </c>
      <c r="U13" s="162" t="s">
        <v>100</v>
      </c>
      <c r="V13" s="162" t="s">
        <v>100</v>
      </c>
      <c r="W13" s="162" t="s">
        <v>100</v>
      </c>
      <c r="X13" s="162" t="s">
        <v>100</v>
      </c>
      <c r="Y13" s="163" t="s">
        <v>100</v>
      </c>
    </row>
    <row r="14" spans="1:25" ht="12" customHeight="1">
      <c r="A14" s="164" t="s">
        <v>77</v>
      </c>
      <c r="B14" s="165" t="s">
        <v>100</v>
      </c>
      <c r="C14" s="166" t="s">
        <v>100</v>
      </c>
      <c r="D14" s="166" t="s">
        <v>100</v>
      </c>
      <c r="E14" s="166" t="s">
        <v>100</v>
      </c>
      <c r="F14" s="166" t="s">
        <v>100</v>
      </c>
      <c r="G14" s="166" t="s">
        <v>100</v>
      </c>
      <c r="H14" s="166" t="s">
        <v>100</v>
      </c>
      <c r="I14" s="166" t="s">
        <v>100</v>
      </c>
      <c r="J14" s="166" t="s">
        <v>100</v>
      </c>
      <c r="K14" s="166" t="s">
        <v>100</v>
      </c>
      <c r="L14" s="166" t="s">
        <v>100</v>
      </c>
      <c r="M14" s="166" t="s">
        <v>100</v>
      </c>
      <c r="N14" s="166" t="s">
        <v>100</v>
      </c>
      <c r="O14" s="166" t="s">
        <v>100</v>
      </c>
      <c r="P14" s="166" t="s">
        <v>100</v>
      </c>
      <c r="Q14" s="166" t="s">
        <v>100</v>
      </c>
      <c r="R14" s="166" t="s">
        <v>100</v>
      </c>
      <c r="S14" s="166" t="s">
        <v>100</v>
      </c>
      <c r="T14" s="167" t="s">
        <v>100</v>
      </c>
      <c r="U14" s="167" t="s">
        <v>100</v>
      </c>
      <c r="V14" s="167" t="s">
        <v>100</v>
      </c>
      <c r="W14" s="167" t="s">
        <v>100</v>
      </c>
      <c r="X14" s="167" t="s">
        <v>100</v>
      </c>
      <c r="Y14" s="168" t="s">
        <v>100</v>
      </c>
    </row>
    <row r="15" spans="1:25" ht="12" customHeight="1" thickBot="1"/>
    <row r="16" spans="1:25" ht="12" customHeight="1">
      <c r="A16" s="146" t="s">
        <v>68</v>
      </c>
      <c r="B16" s="146"/>
      <c r="C16" s="146"/>
      <c r="D16" s="38" t="s">
        <v>35</v>
      </c>
      <c r="E16" s="146"/>
      <c r="F16" s="146"/>
      <c r="G16" s="146"/>
      <c r="H16" s="146"/>
      <c r="I16" s="146"/>
      <c r="J16" s="146"/>
      <c r="K16" s="146"/>
      <c r="L16" s="146"/>
      <c r="M16" s="146"/>
      <c r="N16" s="146"/>
      <c r="O16" s="146"/>
      <c r="P16" s="146"/>
      <c r="Q16" s="146"/>
      <c r="R16" s="146"/>
      <c r="S16" s="147"/>
      <c r="T16" s="146"/>
      <c r="U16" s="146"/>
      <c r="V16" s="146"/>
      <c r="W16" s="146"/>
      <c r="X16" s="146"/>
      <c r="Y16" s="146"/>
    </row>
    <row r="17" spans="1:25" ht="16.5" customHeight="1">
      <c r="A17" s="148"/>
      <c r="B17" s="149">
        <v>1</v>
      </c>
      <c r="C17" s="150">
        <v>2</v>
      </c>
      <c r="D17" s="151">
        <v>3</v>
      </c>
      <c r="E17" s="150">
        <v>4</v>
      </c>
      <c r="F17" s="150">
        <v>5</v>
      </c>
      <c r="G17" s="150">
        <v>6</v>
      </c>
      <c r="H17" s="150">
        <v>7</v>
      </c>
      <c r="I17" s="150">
        <v>8</v>
      </c>
      <c r="J17" s="150">
        <v>9</v>
      </c>
      <c r="K17" s="150">
        <v>10</v>
      </c>
      <c r="L17" s="150">
        <v>11</v>
      </c>
      <c r="M17" s="150">
        <v>12</v>
      </c>
      <c r="N17" s="150">
        <v>13</v>
      </c>
      <c r="O17" s="150">
        <v>14</v>
      </c>
      <c r="P17" s="150">
        <v>15</v>
      </c>
      <c r="Q17" s="150">
        <v>16</v>
      </c>
      <c r="R17" s="150">
        <v>17</v>
      </c>
      <c r="S17" s="150">
        <v>18</v>
      </c>
      <c r="T17" s="152">
        <v>19</v>
      </c>
      <c r="U17" s="152">
        <v>20</v>
      </c>
      <c r="V17" s="152">
        <v>21</v>
      </c>
      <c r="W17" s="152">
        <v>22</v>
      </c>
      <c r="X17" s="152">
        <v>23</v>
      </c>
      <c r="Y17" s="153">
        <v>24</v>
      </c>
    </row>
    <row r="18" spans="1:25" ht="12" customHeight="1">
      <c r="A18" s="154" t="s">
        <v>101</v>
      </c>
      <c r="B18" s="201">
        <v>5.9</v>
      </c>
      <c r="C18" s="202">
        <v>5.3</v>
      </c>
      <c r="D18" s="202">
        <v>4.7</v>
      </c>
      <c r="E18" s="202">
        <v>4.0999999999999996</v>
      </c>
      <c r="F18" s="202">
        <v>3.5</v>
      </c>
      <c r="G18" s="202">
        <v>2.9</v>
      </c>
      <c r="H18" s="202">
        <v>2.4</v>
      </c>
      <c r="I18" s="202">
        <v>1.9</v>
      </c>
      <c r="J18" s="202">
        <v>1.5</v>
      </c>
      <c r="K18" s="202">
        <v>1.4</v>
      </c>
      <c r="L18" s="202">
        <v>1.5</v>
      </c>
      <c r="M18" s="202">
        <v>1.8</v>
      </c>
      <c r="N18" s="202">
        <v>2.4</v>
      </c>
      <c r="O18" s="202">
        <v>3.1</v>
      </c>
      <c r="P18" s="202">
        <v>4</v>
      </c>
      <c r="Q18" s="202">
        <v>4.9000000000000004</v>
      </c>
      <c r="R18" s="202">
        <v>5.7</v>
      </c>
      <c r="S18" s="202">
        <v>6.4</v>
      </c>
      <c r="T18" s="203">
        <v>7</v>
      </c>
      <c r="U18" s="203">
        <v>7.3</v>
      </c>
      <c r="V18" s="203">
        <v>7.4</v>
      </c>
      <c r="W18" s="203">
        <v>7.3</v>
      </c>
      <c r="X18" s="203">
        <v>6.9</v>
      </c>
      <c r="Y18" s="204">
        <v>6.5</v>
      </c>
    </row>
    <row r="19" spans="1:25" ht="12" customHeight="1">
      <c r="A19" s="159" t="s">
        <v>69</v>
      </c>
      <c r="B19" s="160">
        <v>11.7</v>
      </c>
      <c r="C19" s="161">
        <v>10.6</v>
      </c>
      <c r="D19" s="161">
        <v>9.5</v>
      </c>
      <c r="E19" s="161">
        <v>8.4</v>
      </c>
      <c r="F19" s="161">
        <v>7.4</v>
      </c>
      <c r="G19" s="161">
        <v>6.5</v>
      </c>
      <c r="H19" s="161">
        <v>5.6</v>
      </c>
      <c r="I19" s="161">
        <v>4.8</v>
      </c>
      <c r="J19" s="161">
        <v>4.3</v>
      </c>
      <c r="K19" s="161">
        <v>4.0999999999999996</v>
      </c>
      <c r="L19" s="161">
        <v>4.4000000000000004</v>
      </c>
      <c r="M19" s="161">
        <v>5.2</v>
      </c>
      <c r="N19" s="161">
        <v>6.4</v>
      </c>
      <c r="O19" s="161">
        <v>7.9</v>
      </c>
      <c r="P19" s="161">
        <v>9.5</v>
      </c>
      <c r="Q19" s="161">
        <v>11.1</v>
      </c>
      <c r="R19" s="161">
        <v>12.6</v>
      </c>
      <c r="S19" s="161">
        <v>13.8</v>
      </c>
      <c r="T19" s="162">
        <v>14.7</v>
      </c>
      <c r="U19" s="162">
        <v>15.1</v>
      </c>
      <c r="V19" s="162">
        <v>15</v>
      </c>
      <c r="W19" s="162">
        <v>14.5</v>
      </c>
      <c r="X19" s="162">
        <v>13.7</v>
      </c>
      <c r="Y19" s="163">
        <v>12.7</v>
      </c>
    </row>
    <row r="20" spans="1:25" ht="12" customHeight="1">
      <c r="A20" s="159" t="s">
        <v>70</v>
      </c>
      <c r="B20" s="160" t="s">
        <v>100</v>
      </c>
      <c r="C20" s="161" t="s">
        <v>100</v>
      </c>
      <c r="D20" s="161" t="s">
        <v>100</v>
      </c>
      <c r="E20" s="161" t="s">
        <v>100</v>
      </c>
      <c r="F20" s="161" t="s">
        <v>100</v>
      </c>
      <c r="G20" s="161" t="s">
        <v>100</v>
      </c>
      <c r="H20" s="161" t="s">
        <v>100</v>
      </c>
      <c r="I20" s="161" t="s">
        <v>100</v>
      </c>
      <c r="J20" s="161" t="s">
        <v>100</v>
      </c>
      <c r="K20" s="161" t="s">
        <v>100</v>
      </c>
      <c r="L20" s="161" t="s">
        <v>100</v>
      </c>
      <c r="M20" s="161" t="s">
        <v>100</v>
      </c>
      <c r="N20" s="161" t="s">
        <v>100</v>
      </c>
      <c r="O20" s="161" t="s">
        <v>100</v>
      </c>
      <c r="P20" s="161" t="s">
        <v>100</v>
      </c>
      <c r="Q20" s="161" t="s">
        <v>100</v>
      </c>
      <c r="R20" s="161" t="s">
        <v>100</v>
      </c>
      <c r="S20" s="161" t="s">
        <v>100</v>
      </c>
      <c r="T20" s="162" t="s">
        <v>100</v>
      </c>
      <c r="U20" s="162" t="s">
        <v>100</v>
      </c>
      <c r="V20" s="162" t="s">
        <v>100</v>
      </c>
      <c r="W20" s="162" t="s">
        <v>100</v>
      </c>
      <c r="X20" s="162" t="s">
        <v>100</v>
      </c>
      <c r="Y20" s="163" t="s">
        <v>100</v>
      </c>
    </row>
    <row r="21" spans="1:25" ht="12" customHeight="1">
      <c r="A21" s="159" t="s">
        <v>71</v>
      </c>
      <c r="B21" s="160" t="s">
        <v>100</v>
      </c>
      <c r="C21" s="161" t="s">
        <v>100</v>
      </c>
      <c r="D21" s="161" t="s">
        <v>100</v>
      </c>
      <c r="E21" s="161" t="s">
        <v>100</v>
      </c>
      <c r="F21" s="161" t="s">
        <v>100</v>
      </c>
      <c r="G21" s="161" t="s">
        <v>100</v>
      </c>
      <c r="H21" s="161" t="s">
        <v>100</v>
      </c>
      <c r="I21" s="161" t="s">
        <v>100</v>
      </c>
      <c r="J21" s="161" t="s">
        <v>100</v>
      </c>
      <c r="K21" s="161" t="s">
        <v>100</v>
      </c>
      <c r="L21" s="161" t="s">
        <v>100</v>
      </c>
      <c r="M21" s="161" t="s">
        <v>100</v>
      </c>
      <c r="N21" s="161" t="s">
        <v>100</v>
      </c>
      <c r="O21" s="161" t="s">
        <v>100</v>
      </c>
      <c r="P21" s="161" t="s">
        <v>100</v>
      </c>
      <c r="Q21" s="161" t="s">
        <v>100</v>
      </c>
      <c r="R21" s="161" t="s">
        <v>100</v>
      </c>
      <c r="S21" s="161" t="s">
        <v>100</v>
      </c>
      <c r="T21" s="162" t="s">
        <v>100</v>
      </c>
      <c r="U21" s="162" t="s">
        <v>100</v>
      </c>
      <c r="V21" s="162" t="s">
        <v>100</v>
      </c>
      <c r="W21" s="162" t="s">
        <v>100</v>
      </c>
      <c r="X21" s="162" t="s">
        <v>100</v>
      </c>
      <c r="Y21" s="163" t="s">
        <v>100</v>
      </c>
    </row>
    <row r="22" spans="1:25" ht="12" customHeight="1">
      <c r="A22" s="159" t="s">
        <v>72</v>
      </c>
      <c r="B22" s="160" t="s">
        <v>100</v>
      </c>
      <c r="C22" s="161" t="s">
        <v>100</v>
      </c>
      <c r="D22" s="161" t="s">
        <v>100</v>
      </c>
      <c r="E22" s="161" t="s">
        <v>100</v>
      </c>
      <c r="F22" s="161" t="s">
        <v>100</v>
      </c>
      <c r="G22" s="161" t="s">
        <v>100</v>
      </c>
      <c r="H22" s="161" t="s">
        <v>100</v>
      </c>
      <c r="I22" s="161" t="s">
        <v>100</v>
      </c>
      <c r="J22" s="161" t="s">
        <v>100</v>
      </c>
      <c r="K22" s="161" t="s">
        <v>100</v>
      </c>
      <c r="L22" s="161" t="s">
        <v>100</v>
      </c>
      <c r="M22" s="161" t="s">
        <v>100</v>
      </c>
      <c r="N22" s="161" t="s">
        <v>100</v>
      </c>
      <c r="O22" s="161" t="s">
        <v>100</v>
      </c>
      <c r="P22" s="161" t="s">
        <v>100</v>
      </c>
      <c r="Q22" s="161" t="s">
        <v>100</v>
      </c>
      <c r="R22" s="161" t="s">
        <v>100</v>
      </c>
      <c r="S22" s="161" t="s">
        <v>100</v>
      </c>
      <c r="T22" s="162" t="s">
        <v>100</v>
      </c>
      <c r="U22" s="162" t="s">
        <v>100</v>
      </c>
      <c r="V22" s="162" t="s">
        <v>100</v>
      </c>
      <c r="W22" s="162" t="s">
        <v>100</v>
      </c>
      <c r="X22" s="162" t="s">
        <v>100</v>
      </c>
      <c r="Y22" s="163" t="s">
        <v>100</v>
      </c>
    </row>
    <row r="23" spans="1:25" ht="12" customHeight="1">
      <c r="A23" s="159" t="s">
        <v>73</v>
      </c>
      <c r="B23" s="160" t="s">
        <v>100</v>
      </c>
      <c r="C23" s="161" t="s">
        <v>100</v>
      </c>
      <c r="D23" s="161" t="s">
        <v>100</v>
      </c>
      <c r="E23" s="161" t="s">
        <v>100</v>
      </c>
      <c r="F23" s="161" t="s">
        <v>100</v>
      </c>
      <c r="G23" s="161" t="s">
        <v>100</v>
      </c>
      <c r="H23" s="161" t="s">
        <v>100</v>
      </c>
      <c r="I23" s="161" t="s">
        <v>100</v>
      </c>
      <c r="J23" s="161" t="s">
        <v>100</v>
      </c>
      <c r="K23" s="161" t="s">
        <v>100</v>
      </c>
      <c r="L23" s="161" t="s">
        <v>100</v>
      </c>
      <c r="M23" s="161" t="s">
        <v>100</v>
      </c>
      <c r="N23" s="161" t="s">
        <v>100</v>
      </c>
      <c r="O23" s="161" t="s">
        <v>100</v>
      </c>
      <c r="P23" s="161" t="s">
        <v>100</v>
      </c>
      <c r="Q23" s="161" t="s">
        <v>100</v>
      </c>
      <c r="R23" s="161" t="s">
        <v>100</v>
      </c>
      <c r="S23" s="161" t="s">
        <v>100</v>
      </c>
      <c r="T23" s="162" t="s">
        <v>100</v>
      </c>
      <c r="U23" s="162" t="s">
        <v>100</v>
      </c>
      <c r="V23" s="162" t="s">
        <v>100</v>
      </c>
      <c r="W23" s="162" t="s">
        <v>100</v>
      </c>
      <c r="X23" s="162" t="s">
        <v>100</v>
      </c>
      <c r="Y23" s="163" t="s">
        <v>100</v>
      </c>
    </row>
    <row r="24" spans="1:25" ht="12" customHeight="1">
      <c r="A24" s="159" t="s">
        <v>74</v>
      </c>
      <c r="B24" s="160" t="s">
        <v>100</v>
      </c>
      <c r="C24" s="161" t="s">
        <v>100</v>
      </c>
      <c r="D24" s="161" t="s">
        <v>100</v>
      </c>
      <c r="E24" s="161" t="s">
        <v>100</v>
      </c>
      <c r="F24" s="161" t="s">
        <v>100</v>
      </c>
      <c r="G24" s="161" t="s">
        <v>100</v>
      </c>
      <c r="H24" s="161" t="s">
        <v>100</v>
      </c>
      <c r="I24" s="161" t="s">
        <v>100</v>
      </c>
      <c r="J24" s="161" t="s">
        <v>100</v>
      </c>
      <c r="K24" s="161" t="s">
        <v>100</v>
      </c>
      <c r="L24" s="161" t="s">
        <v>100</v>
      </c>
      <c r="M24" s="161" t="s">
        <v>100</v>
      </c>
      <c r="N24" s="161" t="s">
        <v>100</v>
      </c>
      <c r="O24" s="161" t="s">
        <v>100</v>
      </c>
      <c r="P24" s="161" t="s">
        <v>100</v>
      </c>
      <c r="Q24" s="161" t="s">
        <v>100</v>
      </c>
      <c r="R24" s="161" t="s">
        <v>100</v>
      </c>
      <c r="S24" s="161" t="s">
        <v>100</v>
      </c>
      <c r="T24" s="162" t="s">
        <v>100</v>
      </c>
      <c r="U24" s="162" t="s">
        <v>100</v>
      </c>
      <c r="V24" s="162" t="s">
        <v>100</v>
      </c>
      <c r="W24" s="162" t="s">
        <v>100</v>
      </c>
      <c r="X24" s="162" t="s">
        <v>100</v>
      </c>
      <c r="Y24" s="163" t="s">
        <v>100</v>
      </c>
    </row>
    <row r="25" spans="1:25" ht="12" customHeight="1">
      <c r="A25" s="159" t="s">
        <v>75</v>
      </c>
      <c r="B25" s="160" t="s">
        <v>100</v>
      </c>
      <c r="C25" s="161" t="s">
        <v>100</v>
      </c>
      <c r="D25" s="161" t="s">
        <v>100</v>
      </c>
      <c r="E25" s="161" t="s">
        <v>100</v>
      </c>
      <c r="F25" s="161" t="s">
        <v>100</v>
      </c>
      <c r="G25" s="161" t="s">
        <v>100</v>
      </c>
      <c r="H25" s="161" t="s">
        <v>100</v>
      </c>
      <c r="I25" s="161" t="s">
        <v>100</v>
      </c>
      <c r="J25" s="161" t="s">
        <v>100</v>
      </c>
      <c r="K25" s="161" t="s">
        <v>100</v>
      </c>
      <c r="L25" s="161" t="s">
        <v>100</v>
      </c>
      <c r="M25" s="161" t="s">
        <v>100</v>
      </c>
      <c r="N25" s="161" t="s">
        <v>100</v>
      </c>
      <c r="O25" s="161" t="s">
        <v>100</v>
      </c>
      <c r="P25" s="161" t="s">
        <v>100</v>
      </c>
      <c r="Q25" s="161" t="s">
        <v>100</v>
      </c>
      <c r="R25" s="161" t="s">
        <v>100</v>
      </c>
      <c r="S25" s="161" t="s">
        <v>100</v>
      </c>
      <c r="T25" s="162" t="s">
        <v>100</v>
      </c>
      <c r="U25" s="162" t="s">
        <v>100</v>
      </c>
      <c r="V25" s="162" t="s">
        <v>100</v>
      </c>
      <c r="W25" s="162" t="s">
        <v>100</v>
      </c>
      <c r="X25" s="162" t="s">
        <v>100</v>
      </c>
      <c r="Y25" s="163" t="s">
        <v>100</v>
      </c>
    </row>
    <row r="26" spans="1:25" ht="12" customHeight="1">
      <c r="A26" s="159" t="s">
        <v>76</v>
      </c>
      <c r="B26" s="160" t="s">
        <v>100</v>
      </c>
      <c r="C26" s="161" t="s">
        <v>100</v>
      </c>
      <c r="D26" s="161" t="s">
        <v>100</v>
      </c>
      <c r="E26" s="161" t="s">
        <v>100</v>
      </c>
      <c r="F26" s="161" t="s">
        <v>100</v>
      </c>
      <c r="G26" s="161" t="s">
        <v>100</v>
      </c>
      <c r="H26" s="161" t="s">
        <v>100</v>
      </c>
      <c r="I26" s="161" t="s">
        <v>100</v>
      </c>
      <c r="J26" s="161" t="s">
        <v>100</v>
      </c>
      <c r="K26" s="161" t="s">
        <v>100</v>
      </c>
      <c r="L26" s="161" t="s">
        <v>100</v>
      </c>
      <c r="M26" s="161" t="s">
        <v>100</v>
      </c>
      <c r="N26" s="161" t="s">
        <v>100</v>
      </c>
      <c r="O26" s="161" t="s">
        <v>100</v>
      </c>
      <c r="P26" s="161" t="s">
        <v>100</v>
      </c>
      <c r="Q26" s="161" t="s">
        <v>100</v>
      </c>
      <c r="R26" s="161" t="s">
        <v>100</v>
      </c>
      <c r="S26" s="161" t="s">
        <v>100</v>
      </c>
      <c r="T26" s="162" t="s">
        <v>100</v>
      </c>
      <c r="U26" s="162" t="s">
        <v>100</v>
      </c>
      <c r="V26" s="162" t="s">
        <v>100</v>
      </c>
      <c r="W26" s="162" t="s">
        <v>100</v>
      </c>
      <c r="X26" s="162" t="s">
        <v>100</v>
      </c>
      <c r="Y26" s="163" t="s">
        <v>100</v>
      </c>
    </row>
    <row r="27" spans="1:25" ht="12" customHeight="1">
      <c r="A27" s="164" t="s">
        <v>77</v>
      </c>
      <c r="B27" s="165" t="s">
        <v>100</v>
      </c>
      <c r="C27" s="166" t="s">
        <v>100</v>
      </c>
      <c r="D27" s="166" t="s">
        <v>100</v>
      </c>
      <c r="E27" s="166" t="s">
        <v>100</v>
      </c>
      <c r="F27" s="166" t="s">
        <v>100</v>
      </c>
      <c r="G27" s="166" t="s">
        <v>100</v>
      </c>
      <c r="H27" s="166" t="s">
        <v>100</v>
      </c>
      <c r="I27" s="166" t="s">
        <v>100</v>
      </c>
      <c r="J27" s="166" t="s">
        <v>100</v>
      </c>
      <c r="K27" s="166" t="s">
        <v>100</v>
      </c>
      <c r="L27" s="166" t="s">
        <v>100</v>
      </c>
      <c r="M27" s="166" t="s">
        <v>100</v>
      </c>
      <c r="N27" s="166" t="s">
        <v>100</v>
      </c>
      <c r="O27" s="166" t="s">
        <v>100</v>
      </c>
      <c r="P27" s="166" t="s">
        <v>100</v>
      </c>
      <c r="Q27" s="166" t="s">
        <v>100</v>
      </c>
      <c r="R27" s="166" t="s">
        <v>100</v>
      </c>
      <c r="S27" s="166" t="s">
        <v>100</v>
      </c>
      <c r="T27" s="167" t="s">
        <v>100</v>
      </c>
      <c r="U27" s="167" t="s">
        <v>100</v>
      </c>
      <c r="V27" s="167" t="s">
        <v>100</v>
      </c>
      <c r="W27" s="167" t="s">
        <v>100</v>
      </c>
      <c r="X27" s="167" t="s">
        <v>100</v>
      </c>
      <c r="Y27" s="168" t="s">
        <v>100</v>
      </c>
    </row>
    <row r="28" spans="1:25" ht="12" customHeight="1" thickBot="1"/>
    <row r="29" spans="1:25" ht="12" customHeight="1">
      <c r="A29" s="146" t="s">
        <v>68</v>
      </c>
      <c r="B29" s="146"/>
      <c r="C29" s="146"/>
      <c r="D29" s="39" t="s">
        <v>36</v>
      </c>
      <c r="E29" s="146"/>
      <c r="F29" s="146"/>
      <c r="G29" s="146"/>
      <c r="H29" s="146"/>
      <c r="I29" s="146"/>
      <c r="J29" s="146"/>
      <c r="K29" s="146"/>
      <c r="L29" s="146"/>
      <c r="M29" s="146"/>
      <c r="N29" s="146"/>
      <c r="O29" s="146"/>
      <c r="P29" s="146"/>
      <c r="Q29" s="146"/>
      <c r="R29" s="146"/>
      <c r="S29" s="147"/>
      <c r="T29" s="146"/>
      <c r="U29" s="146"/>
      <c r="V29" s="146"/>
      <c r="W29" s="146"/>
      <c r="X29" s="146"/>
      <c r="Y29" s="146"/>
    </row>
    <row r="30" spans="1:25" ht="16.5" customHeight="1">
      <c r="A30" s="148"/>
      <c r="B30" s="149">
        <v>1</v>
      </c>
      <c r="C30" s="150">
        <v>2</v>
      </c>
      <c r="D30" s="151">
        <v>3</v>
      </c>
      <c r="E30" s="150">
        <v>4</v>
      </c>
      <c r="F30" s="150">
        <v>5</v>
      </c>
      <c r="G30" s="150">
        <v>6</v>
      </c>
      <c r="H30" s="150">
        <v>7</v>
      </c>
      <c r="I30" s="150">
        <v>8</v>
      </c>
      <c r="J30" s="150">
        <v>9</v>
      </c>
      <c r="K30" s="150">
        <v>10</v>
      </c>
      <c r="L30" s="150">
        <v>11</v>
      </c>
      <c r="M30" s="150">
        <v>12</v>
      </c>
      <c r="N30" s="150">
        <v>13</v>
      </c>
      <c r="O30" s="150">
        <v>14</v>
      </c>
      <c r="P30" s="150">
        <v>15</v>
      </c>
      <c r="Q30" s="150">
        <v>16</v>
      </c>
      <c r="R30" s="150">
        <v>17</v>
      </c>
      <c r="S30" s="150">
        <v>18</v>
      </c>
      <c r="T30" s="152">
        <v>19</v>
      </c>
      <c r="U30" s="152">
        <v>20</v>
      </c>
      <c r="V30" s="152">
        <v>21</v>
      </c>
      <c r="W30" s="152">
        <v>22</v>
      </c>
      <c r="X30" s="152">
        <v>23</v>
      </c>
      <c r="Y30" s="153">
        <v>24</v>
      </c>
    </row>
    <row r="31" spans="1:25" ht="12" customHeight="1">
      <c r="A31" s="154" t="s">
        <v>102</v>
      </c>
      <c r="B31" s="201">
        <v>-1</v>
      </c>
      <c r="C31" s="202">
        <v>-1.4</v>
      </c>
      <c r="D31" s="202">
        <v>-1.9</v>
      </c>
      <c r="E31" s="202">
        <v>-2.2999999999999998</v>
      </c>
      <c r="F31" s="202">
        <v>-2.8</v>
      </c>
      <c r="G31" s="202">
        <v>-3.2</v>
      </c>
      <c r="H31" s="202">
        <v>-3.6</v>
      </c>
      <c r="I31" s="202">
        <v>-4</v>
      </c>
      <c r="J31" s="202">
        <v>-4.3</v>
      </c>
      <c r="K31" s="202">
        <v>-4.4000000000000004</v>
      </c>
      <c r="L31" s="202">
        <v>-4.3</v>
      </c>
      <c r="M31" s="202">
        <v>-4</v>
      </c>
      <c r="N31" s="202">
        <v>-3.6</v>
      </c>
      <c r="O31" s="202">
        <v>-3</v>
      </c>
      <c r="P31" s="202">
        <v>-2.2999999999999998</v>
      </c>
      <c r="Q31" s="202">
        <v>-1.6</v>
      </c>
      <c r="R31" s="202">
        <v>-0.9</v>
      </c>
      <c r="S31" s="202">
        <v>-0.3</v>
      </c>
      <c r="T31" s="203">
        <v>0.1</v>
      </c>
      <c r="U31" s="203">
        <v>0.3</v>
      </c>
      <c r="V31" s="203">
        <v>0.3</v>
      </c>
      <c r="W31" s="203">
        <v>0.2</v>
      </c>
      <c r="X31" s="203">
        <v>-0.1</v>
      </c>
      <c r="Y31" s="204">
        <v>-0.5</v>
      </c>
    </row>
    <row r="32" spans="1:25" ht="12" customHeight="1">
      <c r="A32" s="159" t="s">
        <v>69</v>
      </c>
      <c r="B32" s="160">
        <v>4.5</v>
      </c>
      <c r="C32" s="161">
        <v>3.6</v>
      </c>
      <c r="D32" s="161">
        <v>2.7</v>
      </c>
      <c r="E32" s="161">
        <v>1.8</v>
      </c>
      <c r="F32" s="161">
        <v>0.9</v>
      </c>
      <c r="G32" s="161">
        <v>0.1</v>
      </c>
      <c r="H32" s="161">
        <v>-0.6</v>
      </c>
      <c r="I32" s="161">
        <v>-1.3</v>
      </c>
      <c r="J32" s="161">
        <v>-1.8</v>
      </c>
      <c r="K32" s="161">
        <v>-1.9</v>
      </c>
      <c r="L32" s="161">
        <v>-1.7</v>
      </c>
      <c r="M32" s="161">
        <v>-1</v>
      </c>
      <c r="N32" s="161">
        <v>0.1</v>
      </c>
      <c r="O32" s="161">
        <v>1.6</v>
      </c>
      <c r="P32" s="161">
        <v>3.2</v>
      </c>
      <c r="Q32" s="161">
        <v>4.8</v>
      </c>
      <c r="R32" s="161">
        <v>6.2</v>
      </c>
      <c r="S32" s="161">
        <v>7.3</v>
      </c>
      <c r="T32" s="162">
        <v>7.9</v>
      </c>
      <c r="U32" s="162">
        <v>8.1</v>
      </c>
      <c r="V32" s="162">
        <v>7.8</v>
      </c>
      <c r="W32" s="162">
        <v>7.2</v>
      </c>
      <c r="X32" s="162">
        <v>6.4</v>
      </c>
      <c r="Y32" s="163">
        <v>5.5</v>
      </c>
    </row>
    <row r="33" spans="1:25" ht="12" customHeight="1">
      <c r="A33" s="159" t="s">
        <v>70</v>
      </c>
      <c r="B33" s="160" t="s">
        <v>100</v>
      </c>
      <c r="C33" s="161" t="s">
        <v>100</v>
      </c>
      <c r="D33" s="161" t="s">
        <v>100</v>
      </c>
      <c r="E33" s="161" t="s">
        <v>100</v>
      </c>
      <c r="F33" s="161" t="s">
        <v>100</v>
      </c>
      <c r="G33" s="161" t="s">
        <v>100</v>
      </c>
      <c r="H33" s="161" t="s">
        <v>100</v>
      </c>
      <c r="I33" s="161" t="s">
        <v>100</v>
      </c>
      <c r="J33" s="161" t="s">
        <v>100</v>
      </c>
      <c r="K33" s="161" t="s">
        <v>100</v>
      </c>
      <c r="L33" s="161" t="s">
        <v>100</v>
      </c>
      <c r="M33" s="161" t="s">
        <v>100</v>
      </c>
      <c r="N33" s="161" t="s">
        <v>100</v>
      </c>
      <c r="O33" s="161" t="s">
        <v>100</v>
      </c>
      <c r="P33" s="161" t="s">
        <v>100</v>
      </c>
      <c r="Q33" s="161" t="s">
        <v>100</v>
      </c>
      <c r="R33" s="161" t="s">
        <v>100</v>
      </c>
      <c r="S33" s="161" t="s">
        <v>100</v>
      </c>
      <c r="T33" s="162" t="s">
        <v>100</v>
      </c>
      <c r="U33" s="162" t="s">
        <v>100</v>
      </c>
      <c r="V33" s="162" t="s">
        <v>100</v>
      </c>
      <c r="W33" s="162" t="s">
        <v>100</v>
      </c>
      <c r="X33" s="162" t="s">
        <v>100</v>
      </c>
      <c r="Y33" s="163" t="s">
        <v>100</v>
      </c>
    </row>
    <row r="34" spans="1:25" ht="12" customHeight="1">
      <c r="A34" s="159" t="s">
        <v>71</v>
      </c>
      <c r="B34" s="160" t="s">
        <v>100</v>
      </c>
      <c r="C34" s="161" t="s">
        <v>100</v>
      </c>
      <c r="D34" s="161" t="s">
        <v>100</v>
      </c>
      <c r="E34" s="161" t="s">
        <v>100</v>
      </c>
      <c r="F34" s="161" t="s">
        <v>100</v>
      </c>
      <c r="G34" s="161" t="s">
        <v>100</v>
      </c>
      <c r="H34" s="161" t="s">
        <v>100</v>
      </c>
      <c r="I34" s="161" t="s">
        <v>100</v>
      </c>
      <c r="J34" s="161" t="s">
        <v>100</v>
      </c>
      <c r="K34" s="161" t="s">
        <v>100</v>
      </c>
      <c r="L34" s="161" t="s">
        <v>100</v>
      </c>
      <c r="M34" s="161" t="s">
        <v>100</v>
      </c>
      <c r="N34" s="161" t="s">
        <v>100</v>
      </c>
      <c r="O34" s="161" t="s">
        <v>100</v>
      </c>
      <c r="P34" s="161" t="s">
        <v>100</v>
      </c>
      <c r="Q34" s="161" t="s">
        <v>100</v>
      </c>
      <c r="R34" s="161" t="s">
        <v>100</v>
      </c>
      <c r="S34" s="161" t="s">
        <v>100</v>
      </c>
      <c r="T34" s="162" t="s">
        <v>100</v>
      </c>
      <c r="U34" s="162" t="s">
        <v>100</v>
      </c>
      <c r="V34" s="162" t="s">
        <v>100</v>
      </c>
      <c r="W34" s="162" t="s">
        <v>100</v>
      </c>
      <c r="X34" s="162" t="s">
        <v>100</v>
      </c>
      <c r="Y34" s="163" t="s">
        <v>100</v>
      </c>
    </row>
    <row r="35" spans="1:25" ht="12" customHeight="1">
      <c r="A35" s="159" t="s">
        <v>72</v>
      </c>
      <c r="B35" s="160" t="s">
        <v>100</v>
      </c>
      <c r="C35" s="161" t="s">
        <v>100</v>
      </c>
      <c r="D35" s="161" t="s">
        <v>100</v>
      </c>
      <c r="E35" s="161" t="s">
        <v>100</v>
      </c>
      <c r="F35" s="161" t="s">
        <v>100</v>
      </c>
      <c r="G35" s="161" t="s">
        <v>100</v>
      </c>
      <c r="H35" s="161" t="s">
        <v>100</v>
      </c>
      <c r="I35" s="161" t="s">
        <v>100</v>
      </c>
      <c r="J35" s="161" t="s">
        <v>100</v>
      </c>
      <c r="K35" s="161" t="s">
        <v>100</v>
      </c>
      <c r="L35" s="161" t="s">
        <v>100</v>
      </c>
      <c r="M35" s="161" t="s">
        <v>100</v>
      </c>
      <c r="N35" s="161" t="s">
        <v>100</v>
      </c>
      <c r="O35" s="161" t="s">
        <v>100</v>
      </c>
      <c r="P35" s="161" t="s">
        <v>100</v>
      </c>
      <c r="Q35" s="161" t="s">
        <v>100</v>
      </c>
      <c r="R35" s="161" t="s">
        <v>100</v>
      </c>
      <c r="S35" s="161" t="s">
        <v>100</v>
      </c>
      <c r="T35" s="162" t="s">
        <v>100</v>
      </c>
      <c r="U35" s="162" t="s">
        <v>100</v>
      </c>
      <c r="V35" s="162" t="s">
        <v>100</v>
      </c>
      <c r="W35" s="162" t="s">
        <v>100</v>
      </c>
      <c r="X35" s="162" t="s">
        <v>100</v>
      </c>
      <c r="Y35" s="163" t="s">
        <v>100</v>
      </c>
    </row>
    <row r="36" spans="1:25" ht="12" customHeight="1">
      <c r="A36" s="159" t="s">
        <v>73</v>
      </c>
      <c r="B36" s="160" t="s">
        <v>100</v>
      </c>
      <c r="C36" s="161" t="s">
        <v>100</v>
      </c>
      <c r="D36" s="161" t="s">
        <v>100</v>
      </c>
      <c r="E36" s="161" t="s">
        <v>100</v>
      </c>
      <c r="F36" s="161" t="s">
        <v>100</v>
      </c>
      <c r="G36" s="161" t="s">
        <v>100</v>
      </c>
      <c r="H36" s="161" t="s">
        <v>100</v>
      </c>
      <c r="I36" s="161" t="s">
        <v>100</v>
      </c>
      <c r="J36" s="161" t="s">
        <v>100</v>
      </c>
      <c r="K36" s="161" t="s">
        <v>100</v>
      </c>
      <c r="L36" s="161" t="s">
        <v>100</v>
      </c>
      <c r="M36" s="161" t="s">
        <v>100</v>
      </c>
      <c r="N36" s="161" t="s">
        <v>100</v>
      </c>
      <c r="O36" s="161" t="s">
        <v>100</v>
      </c>
      <c r="P36" s="161" t="s">
        <v>100</v>
      </c>
      <c r="Q36" s="161" t="s">
        <v>100</v>
      </c>
      <c r="R36" s="161" t="s">
        <v>100</v>
      </c>
      <c r="S36" s="161" t="s">
        <v>100</v>
      </c>
      <c r="T36" s="162" t="s">
        <v>100</v>
      </c>
      <c r="U36" s="162" t="s">
        <v>100</v>
      </c>
      <c r="V36" s="162" t="s">
        <v>100</v>
      </c>
      <c r="W36" s="162" t="s">
        <v>100</v>
      </c>
      <c r="X36" s="162" t="s">
        <v>100</v>
      </c>
      <c r="Y36" s="163" t="s">
        <v>100</v>
      </c>
    </row>
    <row r="37" spans="1:25" ht="12" customHeight="1">
      <c r="A37" s="159" t="s">
        <v>74</v>
      </c>
      <c r="B37" s="160" t="s">
        <v>100</v>
      </c>
      <c r="C37" s="161" t="s">
        <v>100</v>
      </c>
      <c r="D37" s="161" t="s">
        <v>100</v>
      </c>
      <c r="E37" s="161" t="s">
        <v>100</v>
      </c>
      <c r="F37" s="161" t="s">
        <v>100</v>
      </c>
      <c r="G37" s="161" t="s">
        <v>100</v>
      </c>
      <c r="H37" s="161" t="s">
        <v>100</v>
      </c>
      <c r="I37" s="161" t="s">
        <v>100</v>
      </c>
      <c r="J37" s="161" t="s">
        <v>100</v>
      </c>
      <c r="K37" s="161" t="s">
        <v>100</v>
      </c>
      <c r="L37" s="161" t="s">
        <v>100</v>
      </c>
      <c r="M37" s="161" t="s">
        <v>100</v>
      </c>
      <c r="N37" s="161" t="s">
        <v>100</v>
      </c>
      <c r="O37" s="161" t="s">
        <v>100</v>
      </c>
      <c r="P37" s="161" t="s">
        <v>100</v>
      </c>
      <c r="Q37" s="161" t="s">
        <v>100</v>
      </c>
      <c r="R37" s="161" t="s">
        <v>100</v>
      </c>
      <c r="S37" s="161" t="s">
        <v>100</v>
      </c>
      <c r="T37" s="162" t="s">
        <v>100</v>
      </c>
      <c r="U37" s="162" t="s">
        <v>100</v>
      </c>
      <c r="V37" s="162" t="s">
        <v>100</v>
      </c>
      <c r="W37" s="162" t="s">
        <v>100</v>
      </c>
      <c r="X37" s="162" t="s">
        <v>100</v>
      </c>
      <c r="Y37" s="163" t="s">
        <v>100</v>
      </c>
    </row>
    <row r="38" spans="1:25" ht="12" customHeight="1">
      <c r="A38" s="159" t="s">
        <v>75</v>
      </c>
      <c r="B38" s="160" t="s">
        <v>100</v>
      </c>
      <c r="C38" s="161" t="s">
        <v>100</v>
      </c>
      <c r="D38" s="161" t="s">
        <v>100</v>
      </c>
      <c r="E38" s="161" t="s">
        <v>100</v>
      </c>
      <c r="F38" s="161" t="s">
        <v>100</v>
      </c>
      <c r="G38" s="161" t="s">
        <v>100</v>
      </c>
      <c r="H38" s="161" t="s">
        <v>100</v>
      </c>
      <c r="I38" s="161" t="s">
        <v>100</v>
      </c>
      <c r="J38" s="161" t="s">
        <v>100</v>
      </c>
      <c r="K38" s="161" t="s">
        <v>100</v>
      </c>
      <c r="L38" s="161" t="s">
        <v>100</v>
      </c>
      <c r="M38" s="161" t="s">
        <v>100</v>
      </c>
      <c r="N38" s="161" t="s">
        <v>100</v>
      </c>
      <c r="O38" s="161" t="s">
        <v>100</v>
      </c>
      <c r="P38" s="161" t="s">
        <v>100</v>
      </c>
      <c r="Q38" s="161" t="s">
        <v>100</v>
      </c>
      <c r="R38" s="161" t="s">
        <v>100</v>
      </c>
      <c r="S38" s="161" t="s">
        <v>100</v>
      </c>
      <c r="T38" s="162" t="s">
        <v>100</v>
      </c>
      <c r="U38" s="162" t="s">
        <v>100</v>
      </c>
      <c r="V38" s="162" t="s">
        <v>100</v>
      </c>
      <c r="W38" s="162" t="s">
        <v>100</v>
      </c>
      <c r="X38" s="162" t="s">
        <v>100</v>
      </c>
      <c r="Y38" s="163" t="s">
        <v>100</v>
      </c>
    </row>
    <row r="39" spans="1:25" ht="12" customHeight="1">
      <c r="A39" s="159" t="s">
        <v>76</v>
      </c>
      <c r="B39" s="160" t="s">
        <v>100</v>
      </c>
      <c r="C39" s="161" t="s">
        <v>100</v>
      </c>
      <c r="D39" s="161" t="s">
        <v>100</v>
      </c>
      <c r="E39" s="161" t="s">
        <v>100</v>
      </c>
      <c r="F39" s="161" t="s">
        <v>100</v>
      </c>
      <c r="G39" s="161" t="s">
        <v>100</v>
      </c>
      <c r="H39" s="161" t="s">
        <v>100</v>
      </c>
      <c r="I39" s="161" t="s">
        <v>100</v>
      </c>
      <c r="J39" s="161" t="s">
        <v>100</v>
      </c>
      <c r="K39" s="161" t="s">
        <v>100</v>
      </c>
      <c r="L39" s="161" t="s">
        <v>100</v>
      </c>
      <c r="M39" s="161" t="s">
        <v>100</v>
      </c>
      <c r="N39" s="161" t="s">
        <v>100</v>
      </c>
      <c r="O39" s="161" t="s">
        <v>100</v>
      </c>
      <c r="P39" s="161" t="s">
        <v>100</v>
      </c>
      <c r="Q39" s="161" t="s">
        <v>100</v>
      </c>
      <c r="R39" s="161" t="s">
        <v>100</v>
      </c>
      <c r="S39" s="161" t="s">
        <v>100</v>
      </c>
      <c r="T39" s="162" t="s">
        <v>100</v>
      </c>
      <c r="U39" s="162" t="s">
        <v>100</v>
      </c>
      <c r="V39" s="162" t="s">
        <v>100</v>
      </c>
      <c r="W39" s="162" t="s">
        <v>100</v>
      </c>
      <c r="X39" s="162" t="s">
        <v>100</v>
      </c>
      <c r="Y39" s="163" t="s">
        <v>100</v>
      </c>
    </row>
    <row r="40" spans="1:25" ht="12" customHeight="1">
      <c r="A40" s="164" t="s">
        <v>77</v>
      </c>
      <c r="B40" s="165" t="s">
        <v>100</v>
      </c>
      <c r="C40" s="166" t="s">
        <v>100</v>
      </c>
      <c r="D40" s="166" t="s">
        <v>100</v>
      </c>
      <c r="E40" s="166" t="s">
        <v>100</v>
      </c>
      <c r="F40" s="166" t="s">
        <v>100</v>
      </c>
      <c r="G40" s="166" t="s">
        <v>100</v>
      </c>
      <c r="H40" s="166" t="s">
        <v>100</v>
      </c>
      <c r="I40" s="166" t="s">
        <v>100</v>
      </c>
      <c r="J40" s="166" t="s">
        <v>100</v>
      </c>
      <c r="K40" s="166" t="s">
        <v>100</v>
      </c>
      <c r="L40" s="166" t="s">
        <v>100</v>
      </c>
      <c r="M40" s="166" t="s">
        <v>100</v>
      </c>
      <c r="N40" s="166" t="s">
        <v>100</v>
      </c>
      <c r="O40" s="166" t="s">
        <v>100</v>
      </c>
      <c r="P40" s="166" t="s">
        <v>100</v>
      </c>
      <c r="Q40" s="166" t="s">
        <v>100</v>
      </c>
      <c r="R40" s="166" t="s">
        <v>100</v>
      </c>
      <c r="S40" s="166" t="s">
        <v>100</v>
      </c>
      <c r="T40" s="167" t="s">
        <v>100</v>
      </c>
      <c r="U40" s="167" t="s">
        <v>100</v>
      </c>
      <c r="V40" s="167" t="s">
        <v>100</v>
      </c>
      <c r="W40" s="167" t="s">
        <v>100</v>
      </c>
      <c r="X40" s="167" t="s">
        <v>100</v>
      </c>
      <c r="Y40" s="168" t="s">
        <v>100</v>
      </c>
    </row>
    <row r="42" spans="1:25" ht="12" customHeight="1">
      <c r="A42" s="146" t="s">
        <v>78</v>
      </c>
      <c r="B42" s="146"/>
      <c r="C42" s="146"/>
      <c r="D42" s="146"/>
      <c r="E42" s="146"/>
      <c r="G42" s="146"/>
      <c r="H42" s="146"/>
      <c r="I42" s="146"/>
      <c r="J42" s="146"/>
      <c r="K42" s="146"/>
    </row>
    <row r="43" spans="1:25" ht="15" customHeight="1">
      <c r="A43" s="169" t="s">
        <v>79</v>
      </c>
      <c r="B43" s="170" t="s">
        <v>80</v>
      </c>
      <c r="C43" s="171" t="s">
        <v>81</v>
      </c>
      <c r="D43" s="170" t="s">
        <v>80</v>
      </c>
      <c r="E43" s="171" t="s">
        <v>81</v>
      </c>
      <c r="F43" s="170" t="s">
        <v>80</v>
      </c>
      <c r="G43" s="171" t="s">
        <v>81</v>
      </c>
      <c r="H43" s="170" t="s">
        <v>80</v>
      </c>
      <c r="I43" s="171" t="s">
        <v>81</v>
      </c>
      <c r="J43" s="170" t="s">
        <v>80</v>
      </c>
      <c r="K43" s="171" t="s">
        <v>81</v>
      </c>
      <c r="L43" s="170" t="s">
        <v>80</v>
      </c>
      <c r="M43" s="172" t="s">
        <v>80</v>
      </c>
      <c r="N43" s="170" t="s">
        <v>80</v>
      </c>
      <c r="P43" s="73" t="s">
        <v>51</v>
      </c>
    </row>
    <row r="44" spans="1:25" ht="12" customHeight="1">
      <c r="A44" s="173">
        <v>0</v>
      </c>
      <c r="B44" s="174">
        <v>0</v>
      </c>
      <c r="C44" s="175">
        <f t="shared" ref="C44:C67" si="0">A44+24</f>
        <v>24</v>
      </c>
      <c r="D44" s="174">
        <v>1.4E-2</v>
      </c>
      <c r="E44" s="175">
        <f t="shared" ref="E44:E67" si="1">C44+24</f>
        <v>48</v>
      </c>
      <c r="F44" s="174">
        <v>1E-3</v>
      </c>
      <c r="G44" s="175">
        <f t="shared" ref="G44:G67" si="2">E44+24</f>
        <v>72</v>
      </c>
      <c r="H44" s="176">
        <v>0</v>
      </c>
      <c r="I44" s="175">
        <f t="shared" ref="I44:I67" si="3">G44+24</f>
        <v>96</v>
      </c>
      <c r="J44" s="176">
        <v>0</v>
      </c>
      <c r="K44" s="175">
        <f t="shared" ref="K44:K67" si="4">I44+24</f>
        <v>120</v>
      </c>
      <c r="L44" s="176">
        <v>0</v>
      </c>
      <c r="M44" s="177">
        <f t="shared" ref="M44:M67" si="5">K44+24</f>
        <v>144</v>
      </c>
      <c r="N44" s="178">
        <v>0</v>
      </c>
      <c r="P44" s="179" t="s">
        <v>85</v>
      </c>
    </row>
    <row r="45" spans="1:25" ht="12" customHeight="1">
      <c r="A45" s="180">
        <v>1</v>
      </c>
      <c r="B45" s="181">
        <v>1E-3</v>
      </c>
      <c r="C45" s="182">
        <f t="shared" si="0"/>
        <v>25</v>
      </c>
      <c r="D45" s="181">
        <v>1.2E-2</v>
      </c>
      <c r="E45" s="182">
        <f t="shared" si="1"/>
        <v>49</v>
      </c>
      <c r="F45" s="181">
        <v>1E-3</v>
      </c>
      <c r="G45" s="182">
        <f t="shared" si="2"/>
        <v>73</v>
      </c>
      <c r="H45" s="183">
        <v>0</v>
      </c>
      <c r="I45" s="182">
        <f t="shared" si="3"/>
        <v>97</v>
      </c>
      <c r="J45" s="183">
        <v>0</v>
      </c>
      <c r="K45" s="182">
        <f t="shared" si="4"/>
        <v>121</v>
      </c>
      <c r="L45" s="183">
        <v>0</v>
      </c>
      <c r="M45" s="184">
        <f t="shared" si="5"/>
        <v>145</v>
      </c>
      <c r="N45" s="185">
        <v>0</v>
      </c>
      <c r="P45" s="186" t="s">
        <v>86</v>
      </c>
    </row>
    <row r="46" spans="1:25" ht="12" customHeight="1">
      <c r="A46" s="180">
        <v>2</v>
      </c>
      <c r="B46" s="181">
        <v>1.0999999999999999E-2</v>
      </c>
      <c r="C46" s="182">
        <f t="shared" si="0"/>
        <v>26</v>
      </c>
      <c r="D46" s="181">
        <v>1.0999999999999999E-2</v>
      </c>
      <c r="E46" s="182">
        <f t="shared" si="1"/>
        <v>50</v>
      </c>
      <c r="F46" s="181">
        <v>1E-3</v>
      </c>
      <c r="G46" s="182">
        <f t="shared" si="2"/>
        <v>74</v>
      </c>
      <c r="H46" s="183">
        <v>0</v>
      </c>
      <c r="I46" s="182">
        <f t="shared" si="3"/>
        <v>98</v>
      </c>
      <c r="J46" s="183">
        <v>0</v>
      </c>
      <c r="K46" s="182">
        <f t="shared" si="4"/>
        <v>122</v>
      </c>
      <c r="L46" s="183">
        <v>0</v>
      </c>
      <c r="M46" s="184">
        <f t="shared" si="5"/>
        <v>146</v>
      </c>
      <c r="N46" s="185">
        <v>0</v>
      </c>
      <c r="P46" s="179" t="s">
        <v>88</v>
      </c>
    </row>
    <row r="47" spans="1:25" ht="12" customHeight="1">
      <c r="A47" s="180">
        <v>3</v>
      </c>
      <c r="B47" s="181">
        <v>3.3000000000000002E-2</v>
      </c>
      <c r="C47" s="182">
        <f t="shared" si="0"/>
        <v>27</v>
      </c>
      <c r="D47" s="181">
        <v>0.01</v>
      </c>
      <c r="E47" s="182">
        <f t="shared" si="1"/>
        <v>51</v>
      </c>
      <c r="F47" s="181">
        <v>1E-3</v>
      </c>
      <c r="G47" s="182">
        <f t="shared" si="2"/>
        <v>75</v>
      </c>
      <c r="H47" s="183">
        <v>0</v>
      </c>
      <c r="I47" s="182">
        <f t="shared" si="3"/>
        <v>99</v>
      </c>
      <c r="J47" s="183">
        <v>0</v>
      </c>
      <c r="K47" s="182">
        <f t="shared" si="4"/>
        <v>123</v>
      </c>
      <c r="L47" s="183">
        <v>0</v>
      </c>
      <c r="M47" s="184">
        <f t="shared" si="5"/>
        <v>147</v>
      </c>
      <c r="N47" s="185">
        <v>0</v>
      </c>
      <c r="P47" s="179" t="s">
        <v>89</v>
      </c>
    </row>
    <row r="48" spans="1:25" ht="12" customHeight="1">
      <c r="A48" s="180">
        <v>4</v>
      </c>
      <c r="B48" s="181">
        <v>5.1999999999999998E-2</v>
      </c>
      <c r="C48" s="182">
        <f t="shared" si="0"/>
        <v>28</v>
      </c>
      <c r="D48" s="181">
        <v>8.9999999999999993E-3</v>
      </c>
      <c r="E48" s="182">
        <f t="shared" si="1"/>
        <v>52</v>
      </c>
      <c r="F48" s="181">
        <v>1E-3</v>
      </c>
      <c r="G48" s="182">
        <f t="shared" si="2"/>
        <v>76</v>
      </c>
      <c r="H48" s="183">
        <v>0</v>
      </c>
      <c r="I48" s="182">
        <f t="shared" si="3"/>
        <v>100</v>
      </c>
      <c r="J48" s="183">
        <v>0</v>
      </c>
      <c r="K48" s="182">
        <f t="shared" si="4"/>
        <v>124</v>
      </c>
      <c r="L48" s="183">
        <v>0</v>
      </c>
      <c r="M48" s="184">
        <f t="shared" si="5"/>
        <v>148</v>
      </c>
      <c r="N48" s="185">
        <v>0</v>
      </c>
      <c r="P48" s="179" t="s">
        <v>90</v>
      </c>
    </row>
    <row r="49" spans="1:16" ht="12" customHeight="1">
      <c r="A49" s="180">
        <v>5</v>
      </c>
      <c r="B49" s="181">
        <v>6.3E-2</v>
      </c>
      <c r="C49" s="182">
        <f t="shared" si="0"/>
        <v>29</v>
      </c>
      <c r="D49" s="181">
        <v>8.0000000000000002E-3</v>
      </c>
      <c r="E49" s="182">
        <f t="shared" si="1"/>
        <v>53</v>
      </c>
      <c r="F49" s="181">
        <v>1E-3</v>
      </c>
      <c r="G49" s="182">
        <f t="shared" si="2"/>
        <v>77</v>
      </c>
      <c r="H49" s="183">
        <v>0</v>
      </c>
      <c r="I49" s="182">
        <f t="shared" si="3"/>
        <v>101</v>
      </c>
      <c r="J49" s="183">
        <v>0</v>
      </c>
      <c r="K49" s="182">
        <f t="shared" si="4"/>
        <v>125</v>
      </c>
      <c r="L49" s="183">
        <v>0</v>
      </c>
      <c r="M49" s="184">
        <f t="shared" si="5"/>
        <v>149</v>
      </c>
      <c r="N49" s="185">
        <v>0</v>
      </c>
      <c r="P49" s="179" t="s">
        <v>91</v>
      </c>
    </row>
    <row r="50" spans="1:16" ht="12" customHeight="1">
      <c r="A50" s="180">
        <v>6</v>
      </c>
      <c r="B50" s="181">
        <v>6.7000000000000004E-2</v>
      </c>
      <c r="C50" s="182">
        <f t="shared" si="0"/>
        <v>30</v>
      </c>
      <c r="D50" s="181">
        <v>7.0000000000000001E-3</v>
      </c>
      <c r="E50" s="182">
        <f t="shared" si="1"/>
        <v>54</v>
      </c>
      <c r="F50" s="181">
        <v>1E-3</v>
      </c>
      <c r="G50" s="182">
        <f t="shared" si="2"/>
        <v>78</v>
      </c>
      <c r="H50" s="183">
        <v>0</v>
      </c>
      <c r="I50" s="182">
        <f t="shared" si="3"/>
        <v>102</v>
      </c>
      <c r="J50" s="183">
        <v>0</v>
      </c>
      <c r="K50" s="182">
        <f t="shared" si="4"/>
        <v>126</v>
      </c>
      <c r="L50" s="183">
        <v>0</v>
      </c>
      <c r="M50" s="184">
        <f t="shared" si="5"/>
        <v>150</v>
      </c>
      <c r="N50" s="185">
        <v>0</v>
      </c>
      <c r="P50" s="179" t="s">
        <v>92</v>
      </c>
    </row>
    <row r="51" spans="1:16" ht="12" customHeight="1">
      <c r="A51" s="180">
        <v>7</v>
      </c>
      <c r="B51" s="181">
        <v>6.7000000000000004E-2</v>
      </c>
      <c r="C51" s="182">
        <f t="shared" si="0"/>
        <v>31</v>
      </c>
      <c r="D51" s="181">
        <v>7.0000000000000001E-3</v>
      </c>
      <c r="E51" s="182">
        <f t="shared" si="1"/>
        <v>55</v>
      </c>
      <c r="F51" s="181">
        <v>1E-3</v>
      </c>
      <c r="G51" s="182">
        <f t="shared" si="2"/>
        <v>79</v>
      </c>
      <c r="H51" s="183">
        <v>0</v>
      </c>
      <c r="I51" s="182">
        <f t="shared" si="3"/>
        <v>103</v>
      </c>
      <c r="J51" s="183">
        <v>0</v>
      </c>
      <c r="K51" s="182">
        <f t="shared" si="4"/>
        <v>127</v>
      </c>
      <c r="L51" s="183">
        <v>0</v>
      </c>
      <c r="M51" s="184">
        <f t="shared" si="5"/>
        <v>151</v>
      </c>
      <c r="N51" s="185">
        <v>0</v>
      </c>
      <c r="P51" s="179" t="s">
        <v>93</v>
      </c>
    </row>
    <row r="52" spans="1:16" ht="12" customHeight="1">
      <c r="A52" s="180">
        <v>8</v>
      </c>
      <c r="B52" s="181">
        <v>6.4000000000000001E-2</v>
      </c>
      <c r="C52" s="182">
        <f t="shared" si="0"/>
        <v>32</v>
      </c>
      <c r="D52" s="181">
        <v>6.0000000000000001E-3</v>
      </c>
      <c r="E52" s="182">
        <f t="shared" si="1"/>
        <v>56</v>
      </c>
      <c r="F52" s="181">
        <v>0</v>
      </c>
      <c r="G52" s="182">
        <f t="shared" si="2"/>
        <v>80</v>
      </c>
      <c r="H52" s="183">
        <v>0</v>
      </c>
      <c r="I52" s="182">
        <f t="shared" si="3"/>
        <v>104</v>
      </c>
      <c r="J52" s="183">
        <v>0</v>
      </c>
      <c r="K52" s="182">
        <f t="shared" si="4"/>
        <v>128</v>
      </c>
      <c r="L52" s="183">
        <v>0</v>
      </c>
      <c r="M52" s="184">
        <f t="shared" si="5"/>
        <v>152</v>
      </c>
      <c r="N52" s="185">
        <v>0</v>
      </c>
      <c r="P52" s="179" t="s">
        <v>103</v>
      </c>
    </row>
    <row r="53" spans="1:16" ht="12" customHeight="1">
      <c r="A53" s="180">
        <v>9</v>
      </c>
      <c r="B53" s="181">
        <v>0.06</v>
      </c>
      <c r="C53" s="182">
        <f t="shared" si="0"/>
        <v>33</v>
      </c>
      <c r="D53" s="181">
        <v>5.0000000000000001E-3</v>
      </c>
      <c r="E53" s="182">
        <f t="shared" si="1"/>
        <v>57</v>
      </c>
      <c r="F53" s="181">
        <v>0</v>
      </c>
      <c r="G53" s="182">
        <f t="shared" si="2"/>
        <v>81</v>
      </c>
      <c r="H53" s="183">
        <v>0</v>
      </c>
      <c r="I53" s="182">
        <f t="shared" si="3"/>
        <v>105</v>
      </c>
      <c r="J53" s="183">
        <v>0</v>
      </c>
      <c r="K53" s="182">
        <f t="shared" si="4"/>
        <v>129</v>
      </c>
      <c r="L53" s="183">
        <v>0</v>
      </c>
      <c r="M53" s="184">
        <f t="shared" si="5"/>
        <v>153</v>
      </c>
      <c r="N53" s="185">
        <v>0</v>
      </c>
      <c r="P53" s="179" t="s">
        <v>104</v>
      </c>
    </row>
    <row r="54" spans="1:16" ht="12" customHeight="1">
      <c r="A54" s="180">
        <v>10</v>
      </c>
      <c r="B54" s="181">
        <v>5.5E-2</v>
      </c>
      <c r="C54" s="182">
        <f t="shared" si="0"/>
        <v>34</v>
      </c>
      <c r="D54" s="181">
        <v>5.0000000000000001E-3</v>
      </c>
      <c r="E54" s="182">
        <f t="shared" si="1"/>
        <v>58</v>
      </c>
      <c r="F54" s="181">
        <v>0</v>
      </c>
      <c r="G54" s="182">
        <f t="shared" si="2"/>
        <v>82</v>
      </c>
      <c r="H54" s="183">
        <v>0</v>
      </c>
      <c r="I54" s="182">
        <f t="shared" si="3"/>
        <v>106</v>
      </c>
      <c r="J54" s="183">
        <v>0</v>
      </c>
      <c r="K54" s="182">
        <f t="shared" si="4"/>
        <v>130</v>
      </c>
      <c r="L54" s="183">
        <v>0</v>
      </c>
      <c r="M54" s="184">
        <f t="shared" si="5"/>
        <v>154</v>
      </c>
      <c r="N54" s="185">
        <v>0</v>
      </c>
      <c r="P54" s="179"/>
    </row>
    <row r="55" spans="1:16" ht="12" customHeight="1">
      <c r="A55" s="180">
        <v>11</v>
      </c>
      <c r="B55" s="181">
        <v>5.0999999999999997E-2</v>
      </c>
      <c r="C55" s="182">
        <f t="shared" si="0"/>
        <v>35</v>
      </c>
      <c r="D55" s="181">
        <v>4.0000000000000001E-3</v>
      </c>
      <c r="E55" s="182">
        <f t="shared" si="1"/>
        <v>59</v>
      </c>
      <c r="F55" s="181">
        <v>0</v>
      </c>
      <c r="G55" s="182">
        <f t="shared" si="2"/>
        <v>83</v>
      </c>
      <c r="H55" s="183">
        <v>0</v>
      </c>
      <c r="I55" s="182">
        <f t="shared" si="3"/>
        <v>107</v>
      </c>
      <c r="J55" s="183">
        <v>0</v>
      </c>
      <c r="K55" s="182">
        <f t="shared" si="4"/>
        <v>131</v>
      </c>
      <c r="L55" s="183">
        <v>0</v>
      </c>
      <c r="M55" s="184">
        <f t="shared" si="5"/>
        <v>155</v>
      </c>
      <c r="N55" s="185">
        <v>0</v>
      </c>
      <c r="P55" s="179"/>
    </row>
    <row r="56" spans="1:16" ht="12" customHeight="1">
      <c r="A56" s="180">
        <v>12</v>
      </c>
      <c r="B56" s="181">
        <v>4.5999999999999999E-2</v>
      </c>
      <c r="C56" s="182">
        <f t="shared" si="0"/>
        <v>36</v>
      </c>
      <c r="D56" s="181">
        <v>4.0000000000000001E-3</v>
      </c>
      <c r="E56" s="182">
        <f t="shared" si="1"/>
        <v>60</v>
      </c>
      <c r="F56" s="181">
        <v>0</v>
      </c>
      <c r="G56" s="182">
        <f t="shared" si="2"/>
        <v>84</v>
      </c>
      <c r="H56" s="183">
        <v>0</v>
      </c>
      <c r="I56" s="182">
        <f t="shared" si="3"/>
        <v>108</v>
      </c>
      <c r="J56" s="183">
        <v>0</v>
      </c>
      <c r="K56" s="182">
        <f t="shared" si="4"/>
        <v>132</v>
      </c>
      <c r="L56" s="183">
        <v>0</v>
      </c>
      <c r="M56" s="184">
        <f t="shared" si="5"/>
        <v>156</v>
      </c>
      <c r="N56" s="185">
        <v>0</v>
      </c>
      <c r="P56" s="179"/>
    </row>
    <row r="57" spans="1:16" ht="12" customHeight="1">
      <c r="A57" s="180">
        <v>13</v>
      </c>
      <c r="B57" s="181">
        <v>4.2000000000000003E-2</v>
      </c>
      <c r="C57" s="182">
        <f t="shared" si="0"/>
        <v>37</v>
      </c>
      <c r="D57" s="181">
        <v>4.0000000000000001E-3</v>
      </c>
      <c r="E57" s="182">
        <f t="shared" si="1"/>
        <v>61</v>
      </c>
      <c r="F57" s="181">
        <v>0</v>
      </c>
      <c r="G57" s="182">
        <f t="shared" si="2"/>
        <v>85</v>
      </c>
      <c r="H57" s="183">
        <v>0</v>
      </c>
      <c r="I57" s="182">
        <f t="shared" si="3"/>
        <v>109</v>
      </c>
      <c r="J57" s="183">
        <v>0</v>
      </c>
      <c r="K57" s="182">
        <f t="shared" si="4"/>
        <v>133</v>
      </c>
      <c r="L57" s="183">
        <v>0</v>
      </c>
      <c r="M57" s="184">
        <f t="shared" si="5"/>
        <v>157</v>
      </c>
      <c r="N57" s="185">
        <v>0</v>
      </c>
      <c r="P57" s="179"/>
    </row>
    <row r="58" spans="1:16" ht="12" customHeight="1">
      <c r="A58" s="180">
        <v>14</v>
      </c>
      <c r="B58" s="181">
        <v>3.7999999999999999E-2</v>
      </c>
      <c r="C58" s="182">
        <f t="shared" si="0"/>
        <v>38</v>
      </c>
      <c r="D58" s="181">
        <v>3.0000000000000001E-3</v>
      </c>
      <c r="E58" s="182">
        <f t="shared" si="1"/>
        <v>62</v>
      </c>
      <c r="F58" s="181">
        <v>0</v>
      </c>
      <c r="G58" s="182">
        <f t="shared" si="2"/>
        <v>86</v>
      </c>
      <c r="H58" s="183">
        <v>0</v>
      </c>
      <c r="I58" s="182">
        <f t="shared" si="3"/>
        <v>110</v>
      </c>
      <c r="J58" s="183">
        <v>0</v>
      </c>
      <c r="K58" s="182">
        <f t="shared" si="4"/>
        <v>134</v>
      </c>
      <c r="L58" s="183">
        <v>0</v>
      </c>
      <c r="M58" s="184">
        <f t="shared" si="5"/>
        <v>158</v>
      </c>
      <c r="N58" s="185">
        <v>0</v>
      </c>
      <c r="P58" s="179"/>
    </row>
    <row r="59" spans="1:16" ht="12" customHeight="1">
      <c r="A59" s="180">
        <v>15</v>
      </c>
      <c r="B59" s="181">
        <v>3.4000000000000002E-2</v>
      </c>
      <c r="C59" s="182">
        <f t="shared" si="0"/>
        <v>39</v>
      </c>
      <c r="D59" s="181">
        <v>3.0000000000000001E-3</v>
      </c>
      <c r="E59" s="182">
        <f t="shared" si="1"/>
        <v>63</v>
      </c>
      <c r="F59" s="181">
        <v>0</v>
      </c>
      <c r="G59" s="182">
        <f t="shared" si="2"/>
        <v>87</v>
      </c>
      <c r="H59" s="183">
        <v>0</v>
      </c>
      <c r="I59" s="182">
        <f t="shared" si="3"/>
        <v>111</v>
      </c>
      <c r="J59" s="183">
        <v>0</v>
      </c>
      <c r="K59" s="182">
        <f t="shared" si="4"/>
        <v>135</v>
      </c>
      <c r="L59" s="183">
        <v>0</v>
      </c>
      <c r="M59" s="184">
        <f t="shared" si="5"/>
        <v>159</v>
      </c>
      <c r="N59" s="185">
        <v>0</v>
      </c>
      <c r="P59" s="179"/>
    </row>
    <row r="60" spans="1:16" ht="12" customHeight="1">
      <c r="A60" s="180">
        <v>16</v>
      </c>
      <c r="B60" s="181">
        <v>3.1E-2</v>
      </c>
      <c r="C60" s="182">
        <f t="shared" si="0"/>
        <v>40</v>
      </c>
      <c r="D60" s="181">
        <v>3.0000000000000001E-3</v>
      </c>
      <c r="E60" s="182">
        <f t="shared" si="1"/>
        <v>64</v>
      </c>
      <c r="F60" s="181">
        <v>0</v>
      </c>
      <c r="G60" s="182">
        <f t="shared" si="2"/>
        <v>88</v>
      </c>
      <c r="H60" s="183">
        <v>0</v>
      </c>
      <c r="I60" s="182">
        <f t="shared" si="3"/>
        <v>112</v>
      </c>
      <c r="J60" s="183">
        <v>0</v>
      </c>
      <c r="K60" s="182">
        <f t="shared" si="4"/>
        <v>136</v>
      </c>
      <c r="L60" s="183">
        <v>0</v>
      </c>
      <c r="M60" s="184">
        <f t="shared" si="5"/>
        <v>160</v>
      </c>
      <c r="N60" s="185">
        <v>0</v>
      </c>
      <c r="P60" s="179"/>
    </row>
    <row r="61" spans="1:16" ht="12" customHeight="1">
      <c r="A61" s="180">
        <v>17</v>
      </c>
      <c r="B61" s="181">
        <v>2.8000000000000001E-2</v>
      </c>
      <c r="C61" s="182">
        <f t="shared" si="0"/>
        <v>41</v>
      </c>
      <c r="D61" s="181">
        <v>2E-3</v>
      </c>
      <c r="E61" s="182">
        <f t="shared" si="1"/>
        <v>65</v>
      </c>
      <c r="F61" s="181">
        <v>0</v>
      </c>
      <c r="G61" s="182">
        <f t="shared" si="2"/>
        <v>89</v>
      </c>
      <c r="H61" s="183">
        <v>0</v>
      </c>
      <c r="I61" s="182">
        <f t="shared" si="3"/>
        <v>113</v>
      </c>
      <c r="J61" s="183">
        <v>0</v>
      </c>
      <c r="K61" s="182">
        <f t="shared" si="4"/>
        <v>137</v>
      </c>
      <c r="L61" s="183">
        <v>0</v>
      </c>
      <c r="M61" s="184">
        <f t="shared" si="5"/>
        <v>161</v>
      </c>
      <c r="N61" s="185">
        <v>0</v>
      </c>
      <c r="P61" s="179"/>
    </row>
    <row r="62" spans="1:16" ht="12" customHeight="1">
      <c r="A62" s="180">
        <v>18</v>
      </c>
      <c r="B62" s="181">
        <v>2.5000000000000001E-2</v>
      </c>
      <c r="C62" s="182">
        <f t="shared" si="0"/>
        <v>42</v>
      </c>
      <c r="D62" s="181">
        <v>2E-3</v>
      </c>
      <c r="E62" s="182">
        <f t="shared" si="1"/>
        <v>66</v>
      </c>
      <c r="F62" s="181">
        <v>0</v>
      </c>
      <c r="G62" s="182">
        <f t="shared" si="2"/>
        <v>90</v>
      </c>
      <c r="H62" s="183">
        <v>0</v>
      </c>
      <c r="I62" s="182">
        <f t="shared" si="3"/>
        <v>114</v>
      </c>
      <c r="J62" s="183">
        <v>0</v>
      </c>
      <c r="K62" s="182">
        <f t="shared" si="4"/>
        <v>138</v>
      </c>
      <c r="L62" s="183">
        <v>0</v>
      </c>
      <c r="M62" s="184">
        <f t="shared" si="5"/>
        <v>162</v>
      </c>
      <c r="N62" s="185">
        <v>0</v>
      </c>
      <c r="P62" s="179"/>
    </row>
    <row r="63" spans="1:16" ht="12" customHeight="1">
      <c r="A63" s="180">
        <v>19</v>
      </c>
      <c r="B63" s="181">
        <v>2.3E-2</v>
      </c>
      <c r="C63" s="182">
        <f t="shared" si="0"/>
        <v>43</v>
      </c>
      <c r="D63" s="181">
        <v>2E-3</v>
      </c>
      <c r="E63" s="182">
        <f t="shared" si="1"/>
        <v>67</v>
      </c>
      <c r="F63" s="181">
        <v>0</v>
      </c>
      <c r="G63" s="182">
        <f t="shared" si="2"/>
        <v>91</v>
      </c>
      <c r="H63" s="183">
        <v>0</v>
      </c>
      <c r="I63" s="182">
        <f t="shared" si="3"/>
        <v>115</v>
      </c>
      <c r="J63" s="183">
        <v>0</v>
      </c>
      <c r="K63" s="182">
        <f t="shared" si="4"/>
        <v>139</v>
      </c>
      <c r="L63" s="183">
        <v>0</v>
      </c>
      <c r="M63" s="184">
        <f t="shared" si="5"/>
        <v>163</v>
      </c>
      <c r="N63" s="185">
        <v>0</v>
      </c>
      <c r="P63" s="179"/>
    </row>
    <row r="64" spans="1:16" ht="12" customHeight="1">
      <c r="A64" s="180">
        <v>20</v>
      </c>
      <c r="B64" s="181">
        <v>2.1000000000000001E-2</v>
      </c>
      <c r="C64" s="182">
        <f t="shared" si="0"/>
        <v>44</v>
      </c>
      <c r="D64" s="181">
        <v>2E-3</v>
      </c>
      <c r="E64" s="182">
        <f t="shared" si="1"/>
        <v>68</v>
      </c>
      <c r="F64" s="181">
        <v>0</v>
      </c>
      <c r="G64" s="182">
        <f t="shared" si="2"/>
        <v>92</v>
      </c>
      <c r="H64" s="183">
        <v>0</v>
      </c>
      <c r="I64" s="182">
        <f t="shared" si="3"/>
        <v>116</v>
      </c>
      <c r="J64" s="183">
        <v>0</v>
      </c>
      <c r="K64" s="182">
        <f t="shared" si="4"/>
        <v>140</v>
      </c>
      <c r="L64" s="183">
        <v>0</v>
      </c>
      <c r="M64" s="184">
        <f t="shared" si="5"/>
        <v>164</v>
      </c>
      <c r="N64" s="185">
        <v>0</v>
      </c>
      <c r="P64" s="179"/>
    </row>
    <row r="65" spans="1:16" ht="12" customHeight="1">
      <c r="A65" s="180">
        <v>21</v>
      </c>
      <c r="B65" s="181">
        <v>1.9E-2</v>
      </c>
      <c r="C65" s="182">
        <f t="shared" si="0"/>
        <v>45</v>
      </c>
      <c r="D65" s="181">
        <v>2E-3</v>
      </c>
      <c r="E65" s="182">
        <f t="shared" si="1"/>
        <v>69</v>
      </c>
      <c r="F65" s="181">
        <v>0</v>
      </c>
      <c r="G65" s="182">
        <f t="shared" si="2"/>
        <v>93</v>
      </c>
      <c r="H65" s="183">
        <v>0</v>
      </c>
      <c r="I65" s="182">
        <f t="shared" si="3"/>
        <v>117</v>
      </c>
      <c r="J65" s="183">
        <v>0</v>
      </c>
      <c r="K65" s="182">
        <f t="shared" si="4"/>
        <v>141</v>
      </c>
      <c r="L65" s="183">
        <v>0</v>
      </c>
      <c r="M65" s="184">
        <f t="shared" si="5"/>
        <v>165</v>
      </c>
      <c r="N65" s="185">
        <v>0</v>
      </c>
      <c r="P65" s="179"/>
    </row>
    <row r="66" spans="1:16" ht="12" customHeight="1">
      <c r="A66" s="180">
        <v>22</v>
      </c>
      <c r="B66" s="181">
        <v>1.7000000000000001E-2</v>
      </c>
      <c r="C66" s="182">
        <f t="shared" si="0"/>
        <v>46</v>
      </c>
      <c r="D66" s="181">
        <v>1E-3</v>
      </c>
      <c r="E66" s="182">
        <f t="shared" si="1"/>
        <v>70</v>
      </c>
      <c r="F66" s="181">
        <v>0</v>
      </c>
      <c r="G66" s="182">
        <f t="shared" si="2"/>
        <v>94</v>
      </c>
      <c r="H66" s="183">
        <v>0</v>
      </c>
      <c r="I66" s="182">
        <f t="shared" si="3"/>
        <v>118</v>
      </c>
      <c r="J66" s="183">
        <v>0</v>
      </c>
      <c r="K66" s="182">
        <f t="shared" si="4"/>
        <v>142</v>
      </c>
      <c r="L66" s="183">
        <v>0</v>
      </c>
      <c r="M66" s="184">
        <f t="shared" si="5"/>
        <v>166</v>
      </c>
      <c r="N66" s="185">
        <v>0</v>
      </c>
      <c r="P66" s="179"/>
    </row>
    <row r="67" spans="1:16" ht="12" customHeight="1">
      <c r="A67" s="187">
        <v>23</v>
      </c>
      <c r="B67" s="188">
        <v>1.4999999999999999E-2</v>
      </c>
      <c r="C67" s="189">
        <f t="shared" si="0"/>
        <v>47</v>
      </c>
      <c r="D67" s="188">
        <v>1E-3</v>
      </c>
      <c r="E67" s="189">
        <f t="shared" si="1"/>
        <v>71</v>
      </c>
      <c r="F67" s="188">
        <v>0</v>
      </c>
      <c r="G67" s="189">
        <f t="shared" si="2"/>
        <v>95</v>
      </c>
      <c r="H67" s="190">
        <v>0</v>
      </c>
      <c r="I67" s="189">
        <f t="shared" si="3"/>
        <v>119</v>
      </c>
      <c r="J67" s="190">
        <v>0</v>
      </c>
      <c r="K67" s="189">
        <f t="shared" si="4"/>
        <v>143</v>
      </c>
      <c r="L67" s="190">
        <v>0</v>
      </c>
      <c r="M67" s="191">
        <f t="shared" si="5"/>
        <v>167</v>
      </c>
      <c r="N67" s="192">
        <v>0</v>
      </c>
      <c r="P67" s="179"/>
    </row>
  </sheetData>
  <phoneticPr fontId="4"/>
  <pageMargins left="1.1811023622047245" right="0.70866141732283472" top="0.59055118110236227" bottom="0.39370078740157483" header="0.39370078740157483" footer="0.11811023622047245"/>
  <pageSetup paperSize="9" scale="67" orientation="landscape" horizontalDpi="1200" verticalDpi="1200" r:id="rId1"/>
  <headerFooter scaleWithDoc="0" alignWithMargins="0">
    <oddFooter>&amp;C&amp;"ＭＳ Ｐゴシック,標準"&amp;9( &amp;P / &amp;N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Z68"/>
  <sheetViews>
    <sheetView showGridLines="0" zoomScale="90" zoomScaleNormal="90" workbookViewId="0"/>
  </sheetViews>
  <sheetFormatPr defaultColWidth="10.28515625" defaultRowHeight="15" customHeight="1"/>
  <cols>
    <col min="1" max="1" width="20.140625" style="208" customWidth="1"/>
    <col min="2" max="2" width="42.7109375" style="208" customWidth="1"/>
    <col min="3" max="5" width="24.7109375" style="208" customWidth="1"/>
    <col min="6" max="16384" width="10.28515625" style="208"/>
  </cols>
  <sheetData>
    <row r="1" spans="1:26" ht="18" customHeight="1">
      <c r="A1" s="205" t="s">
        <v>108</v>
      </c>
      <c r="B1" s="206"/>
      <c r="C1" s="206"/>
      <c r="D1" s="206"/>
      <c r="E1" s="207"/>
    </row>
    <row r="2" spans="1:26" ht="15" customHeight="1">
      <c r="A2" s="209"/>
      <c r="B2" s="210"/>
      <c r="C2" s="210"/>
      <c r="D2" s="210"/>
      <c r="E2" s="211" t="s">
        <v>109</v>
      </c>
    </row>
    <row r="3" spans="1:26" ht="15" customHeight="1">
      <c r="A3" s="212" t="s">
        <v>110</v>
      </c>
      <c r="B3" s="213" t="s">
        <v>111</v>
      </c>
      <c r="C3" s="214" t="s">
        <v>112</v>
      </c>
      <c r="D3" s="214"/>
      <c r="E3" s="215"/>
      <c r="Z3" s="216"/>
    </row>
    <row r="4" spans="1:26" ht="21" customHeight="1">
      <c r="A4" s="217"/>
      <c r="B4" s="218"/>
      <c r="C4" s="219" t="s">
        <v>113</v>
      </c>
      <c r="D4" s="220" t="s">
        <v>114</v>
      </c>
      <c r="E4" s="221" t="s">
        <v>115</v>
      </c>
      <c r="Z4" s="216"/>
    </row>
    <row r="5" spans="1:26" ht="15" customHeight="1">
      <c r="A5" s="222" t="s">
        <v>116</v>
      </c>
      <c r="B5" s="223" t="s">
        <v>117</v>
      </c>
      <c r="C5" s="224" t="s">
        <v>118</v>
      </c>
      <c r="D5" s="224" t="s">
        <v>118</v>
      </c>
      <c r="E5" s="225" t="s">
        <v>118</v>
      </c>
      <c r="F5" s="216"/>
      <c r="G5" s="216"/>
      <c r="H5" s="216"/>
      <c r="I5" s="216"/>
      <c r="J5" s="216"/>
      <c r="K5" s="216"/>
      <c r="L5" s="216"/>
      <c r="M5" s="216"/>
      <c r="N5" s="216"/>
      <c r="O5" s="216"/>
      <c r="P5" s="216"/>
      <c r="Q5" s="216"/>
      <c r="R5" s="216"/>
      <c r="S5" s="216"/>
      <c r="T5" s="216"/>
      <c r="U5" s="216"/>
      <c r="V5" s="216"/>
      <c r="W5" s="216"/>
      <c r="X5" s="216"/>
      <c r="Y5" s="216"/>
      <c r="Z5" s="216"/>
    </row>
    <row r="6" spans="1:26" ht="15" customHeight="1">
      <c r="A6" s="226" t="s">
        <v>119</v>
      </c>
      <c r="B6" s="227" t="s">
        <v>120</v>
      </c>
      <c r="C6" s="228" t="s">
        <v>121</v>
      </c>
      <c r="D6" s="228" t="s">
        <v>121</v>
      </c>
      <c r="E6" s="229" t="s">
        <v>121</v>
      </c>
      <c r="F6" s="216"/>
      <c r="G6" s="216"/>
      <c r="H6" s="216"/>
      <c r="I6" s="216"/>
      <c r="J6" s="216"/>
      <c r="K6" s="216"/>
      <c r="L6" s="216"/>
      <c r="M6" s="216"/>
      <c r="N6" s="216"/>
      <c r="O6" s="216"/>
      <c r="P6" s="216"/>
      <c r="Q6" s="216"/>
      <c r="R6" s="216"/>
      <c r="S6" s="216"/>
      <c r="T6" s="216"/>
      <c r="U6" s="216"/>
      <c r="V6" s="216"/>
      <c r="W6" s="216"/>
      <c r="X6" s="216"/>
      <c r="Y6" s="216"/>
      <c r="Z6" s="216"/>
    </row>
    <row r="7" spans="1:26" ht="15" customHeight="1">
      <c r="A7" s="226" t="s">
        <v>122</v>
      </c>
      <c r="B7" s="227" t="s">
        <v>123</v>
      </c>
      <c r="C7" s="228" t="s">
        <v>121</v>
      </c>
      <c r="D7" s="228" t="s">
        <v>121</v>
      </c>
      <c r="E7" s="229" t="s">
        <v>121</v>
      </c>
      <c r="F7" s="216"/>
      <c r="G7" s="216"/>
      <c r="H7" s="216"/>
      <c r="I7" s="216"/>
      <c r="J7" s="216"/>
      <c r="K7" s="216"/>
      <c r="L7" s="216"/>
      <c r="M7" s="216"/>
      <c r="N7" s="216"/>
      <c r="O7" s="216"/>
      <c r="P7" s="216"/>
      <c r="Q7" s="216"/>
      <c r="R7" s="216"/>
      <c r="S7" s="216"/>
      <c r="T7" s="216"/>
      <c r="U7" s="216"/>
      <c r="V7" s="216"/>
      <c r="W7" s="216"/>
      <c r="X7" s="216"/>
      <c r="Y7" s="216"/>
      <c r="Z7" s="216"/>
    </row>
    <row r="8" spans="1:26" ht="15" customHeight="1">
      <c r="A8" s="226" t="s">
        <v>124</v>
      </c>
      <c r="B8" s="227" t="s">
        <v>125</v>
      </c>
      <c r="C8" s="228" t="s">
        <v>126</v>
      </c>
      <c r="D8" s="228" t="s">
        <v>126</v>
      </c>
      <c r="E8" s="229" t="s">
        <v>126</v>
      </c>
      <c r="F8" s="216"/>
      <c r="G8" s="216"/>
      <c r="H8" s="216"/>
      <c r="I8" s="216"/>
      <c r="J8" s="216"/>
      <c r="K8" s="216"/>
      <c r="L8" s="216"/>
      <c r="M8" s="216"/>
      <c r="N8" s="216"/>
      <c r="O8" s="216"/>
      <c r="P8" s="216"/>
      <c r="Q8" s="216"/>
      <c r="R8" s="216"/>
      <c r="S8" s="216"/>
      <c r="T8" s="216"/>
      <c r="U8" s="216"/>
      <c r="V8" s="216"/>
      <c r="W8" s="216"/>
      <c r="X8" s="216"/>
      <c r="Y8" s="216"/>
      <c r="Z8" s="216"/>
    </row>
    <row r="9" spans="1:26" ht="15" customHeight="1">
      <c r="A9" s="226" t="s">
        <v>127</v>
      </c>
      <c r="B9" s="227" t="s">
        <v>128</v>
      </c>
      <c r="C9" s="228" t="s">
        <v>118</v>
      </c>
      <c r="D9" s="228" t="s">
        <v>118</v>
      </c>
      <c r="E9" s="229" t="s">
        <v>118</v>
      </c>
      <c r="F9" s="216"/>
      <c r="G9" s="216"/>
      <c r="H9" s="216"/>
      <c r="I9" s="216"/>
      <c r="J9" s="216"/>
      <c r="K9" s="216"/>
      <c r="L9" s="216"/>
      <c r="M9" s="216"/>
      <c r="N9" s="216"/>
      <c r="O9" s="216"/>
      <c r="P9" s="216"/>
      <c r="Q9" s="216"/>
      <c r="R9" s="216"/>
      <c r="S9" s="216"/>
      <c r="T9" s="216"/>
      <c r="U9" s="216"/>
      <c r="V9" s="216"/>
      <c r="W9" s="216"/>
      <c r="X9" s="216"/>
      <c r="Y9" s="216"/>
      <c r="Z9" s="216"/>
    </row>
    <row r="10" spans="1:26" ht="15" customHeight="1">
      <c r="A10" s="226" t="s">
        <v>129</v>
      </c>
      <c r="B10" s="227" t="s">
        <v>130</v>
      </c>
      <c r="C10" s="228" t="s">
        <v>131</v>
      </c>
      <c r="D10" s="228" t="s">
        <v>118</v>
      </c>
      <c r="E10" s="229" t="s">
        <v>131</v>
      </c>
      <c r="F10" s="216"/>
      <c r="G10" s="216"/>
      <c r="H10" s="216"/>
      <c r="I10" s="216"/>
      <c r="J10" s="216"/>
      <c r="K10" s="216"/>
      <c r="L10" s="216"/>
      <c r="M10" s="216"/>
      <c r="N10" s="216"/>
      <c r="O10" s="216"/>
      <c r="P10" s="216"/>
      <c r="Q10" s="216"/>
      <c r="R10" s="216"/>
      <c r="S10" s="216"/>
      <c r="T10" s="216"/>
      <c r="U10" s="216"/>
      <c r="V10" s="216"/>
      <c r="W10" s="216"/>
      <c r="X10" s="216"/>
      <c r="Y10" s="216"/>
      <c r="Z10" s="216"/>
    </row>
    <row r="11" spans="1:26" ht="15" customHeight="1">
      <c r="A11" s="230" t="s">
        <v>132</v>
      </c>
      <c r="B11" s="227" t="s">
        <v>133</v>
      </c>
      <c r="C11" s="228" t="s">
        <v>134</v>
      </c>
      <c r="D11" s="228" t="s">
        <v>135</v>
      </c>
      <c r="E11" s="229" t="s">
        <v>135</v>
      </c>
      <c r="F11" s="216"/>
      <c r="G11" s="216"/>
      <c r="H11" s="216"/>
      <c r="I11" s="216"/>
      <c r="J11" s="216"/>
      <c r="K11" s="216"/>
      <c r="L11" s="216"/>
      <c r="M11" s="216"/>
      <c r="N11" s="216"/>
      <c r="O11" s="216"/>
      <c r="P11" s="216"/>
      <c r="Q11" s="216"/>
      <c r="R11" s="216"/>
      <c r="S11" s="216"/>
      <c r="T11" s="216"/>
      <c r="U11" s="216"/>
      <c r="V11" s="216"/>
      <c r="W11" s="216"/>
      <c r="X11" s="216"/>
      <c r="Y11" s="216"/>
      <c r="Z11" s="216"/>
    </row>
    <row r="12" spans="1:26" ht="15" customHeight="1">
      <c r="A12" s="230" t="s">
        <v>136</v>
      </c>
      <c r="B12" s="227" t="s">
        <v>136</v>
      </c>
      <c r="C12" s="228" t="s">
        <v>135</v>
      </c>
      <c r="D12" s="228" t="s">
        <v>135</v>
      </c>
      <c r="E12" s="229" t="s">
        <v>135</v>
      </c>
      <c r="F12" s="216"/>
      <c r="G12" s="216"/>
      <c r="H12" s="216"/>
      <c r="I12" s="216"/>
      <c r="J12" s="216"/>
      <c r="K12" s="216"/>
      <c r="L12" s="216"/>
      <c r="M12" s="216"/>
      <c r="N12" s="216"/>
      <c r="O12" s="216"/>
      <c r="P12" s="216"/>
      <c r="Q12" s="216"/>
      <c r="R12" s="216"/>
      <c r="S12" s="216"/>
      <c r="T12" s="216"/>
      <c r="U12" s="216"/>
      <c r="V12" s="216"/>
      <c r="W12" s="216"/>
      <c r="X12" s="216"/>
      <c r="Y12" s="216"/>
      <c r="Z12" s="216"/>
    </row>
    <row r="13" spans="1:26" ht="15" customHeight="1">
      <c r="A13" s="230" t="s">
        <v>137</v>
      </c>
      <c r="B13" s="227" t="s">
        <v>138</v>
      </c>
      <c r="C13" s="228" t="s">
        <v>134</v>
      </c>
      <c r="D13" s="228" t="s">
        <v>135</v>
      </c>
      <c r="E13" s="229" t="s">
        <v>135</v>
      </c>
      <c r="F13" s="216"/>
      <c r="G13" s="216"/>
      <c r="H13" s="216"/>
      <c r="I13" s="216"/>
      <c r="J13" s="216"/>
      <c r="K13" s="216"/>
      <c r="L13" s="216"/>
      <c r="M13" s="216"/>
      <c r="N13" s="216"/>
      <c r="O13" s="216"/>
      <c r="P13" s="216"/>
      <c r="Q13" s="216"/>
      <c r="R13" s="216"/>
      <c r="S13" s="216"/>
      <c r="T13" s="216"/>
      <c r="U13" s="216"/>
      <c r="V13" s="216"/>
      <c r="W13" s="216"/>
      <c r="X13" s="216"/>
      <c r="Y13" s="216"/>
      <c r="Z13" s="216"/>
    </row>
    <row r="14" spans="1:26" ht="15" customHeight="1">
      <c r="A14" s="226" t="s">
        <v>139</v>
      </c>
      <c r="B14" s="227" t="s">
        <v>140</v>
      </c>
      <c r="C14" s="228" t="s">
        <v>134</v>
      </c>
      <c r="D14" s="228" t="s">
        <v>135</v>
      </c>
      <c r="E14" s="229" t="s">
        <v>135</v>
      </c>
      <c r="F14" s="216"/>
      <c r="G14" s="216"/>
      <c r="H14" s="216"/>
      <c r="I14" s="216"/>
      <c r="J14" s="216"/>
      <c r="K14" s="216"/>
      <c r="L14" s="216"/>
      <c r="M14" s="216"/>
      <c r="N14" s="216"/>
      <c r="O14" s="216"/>
      <c r="P14" s="216"/>
      <c r="Q14" s="216"/>
      <c r="R14" s="216"/>
      <c r="S14" s="216"/>
      <c r="T14" s="216"/>
      <c r="U14" s="216"/>
      <c r="V14" s="216"/>
      <c r="W14" s="216"/>
      <c r="X14" s="216"/>
      <c r="Y14" s="216"/>
      <c r="Z14" s="216"/>
    </row>
    <row r="15" spans="1:26" ht="15" customHeight="1">
      <c r="A15" s="226" t="s">
        <v>141</v>
      </c>
      <c r="B15" s="227" t="s">
        <v>142</v>
      </c>
      <c r="C15" s="228" t="s">
        <v>143</v>
      </c>
      <c r="D15" s="228" t="s">
        <v>143</v>
      </c>
      <c r="E15" s="229" t="s">
        <v>143</v>
      </c>
      <c r="F15" s="216"/>
      <c r="G15" s="216"/>
      <c r="H15" s="216"/>
      <c r="I15" s="216"/>
      <c r="J15" s="216"/>
      <c r="K15" s="216"/>
      <c r="L15" s="216"/>
      <c r="M15" s="216"/>
      <c r="N15" s="216"/>
      <c r="O15" s="216"/>
      <c r="P15" s="216"/>
      <c r="Q15" s="216"/>
      <c r="R15" s="216"/>
      <c r="S15" s="216"/>
      <c r="T15" s="216"/>
      <c r="U15" s="216"/>
      <c r="V15" s="216"/>
      <c r="W15" s="216"/>
      <c r="X15" s="216"/>
      <c r="Y15" s="216"/>
      <c r="Z15" s="216"/>
    </row>
    <row r="16" spans="1:26" ht="15" customHeight="1">
      <c r="A16" s="226" t="s">
        <v>144</v>
      </c>
      <c r="B16" s="227" t="s">
        <v>145</v>
      </c>
      <c r="C16" s="228" t="s">
        <v>134</v>
      </c>
      <c r="D16" s="228" t="s">
        <v>143</v>
      </c>
      <c r="E16" s="229" t="s">
        <v>143</v>
      </c>
      <c r="F16" s="216"/>
      <c r="G16" s="216"/>
      <c r="H16" s="216"/>
      <c r="I16" s="216"/>
      <c r="J16" s="216"/>
      <c r="K16" s="216"/>
      <c r="L16" s="216"/>
      <c r="M16" s="216"/>
      <c r="N16" s="216"/>
      <c r="O16" s="216"/>
      <c r="P16" s="216"/>
      <c r="Q16" s="216"/>
      <c r="R16" s="216"/>
      <c r="S16" s="216"/>
      <c r="T16" s="216"/>
      <c r="U16" s="216"/>
      <c r="V16" s="216"/>
      <c r="W16" s="216"/>
      <c r="X16" s="216"/>
      <c r="Y16" s="216"/>
      <c r="Z16" s="216"/>
    </row>
    <row r="17" spans="1:26" ht="15" customHeight="1">
      <c r="A17" s="226" t="s">
        <v>146</v>
      </c>
      <c r="B17" s="227" t="s">
        <v>147</v>
      </c>
      <c r="C17" s="228" t="s">
        <v>148</v>
      </c>
      <c r="D17" s="228" t="s">
        <v>148</v>
      </c>
      <c r="E17" s="229" t="s">
        <v>148</v>
      </c>
      <c r="F17" s="216"/>
      <c r="G17" s="216"/>
      <c r="H17" s="216"/>
      <c r="I17" s="216"/>
      <c r="J17" s="216"/>
      <c r="K17" s="216"/>
      <c r="L17" s="216"/>
      <c r="M17" s="216"/>
      <c r="N17" s="216"/>
      <c r="O17" s="216"/>
      <c r="P17" s="216"/>
      <c r="Q17" s="216"/>
      <c r="R17" s="216"/>
      <c r="S17" s="216"/>
      <c r="T17" s="216"/>
      <c r="U17" s="216"/>
      <c r="V17" s="216"/>
      <c r="W17" s="216"/>
      <c r="X17" s="216"/>
      <c r="Y17" s="216"/>
      <c r="Z17" s="216"/>
    </row>
    <row r="18" spans="1:26" ht="15" customHeight="1">
      <c r="A18" s="230" t="s">
        <v>149</v>
      </c>
      <c r="B18" s="227" t="s">
        <v>150</v>
      </c>
      <c r="C18" s="228" t="s">
        <v>151</v>
      </c>
      <c r="D18" s="228" t="s">
        <v>151</v>
      </c>
      <c r="E18" s="229" t="s">
        <v>151</v>
      </c>
      <c r="F18" s="216"/>
      <c r="G18" s="216"/>
      <c r="H18" s="216"/>
      <c r="I18" s="216"/>
      <c r="J18" s="216"/>
      <c r="K18" s="216"/>
      <c r="L18" s="216"/>
      <c r="M18" s="216"/>
      <c r="N18" s="216"/>
      <c r="O18" s="216"/>
      <c r="P18" s="216"/>
      <c r="Q18" s="216"/>
      <c r="R18" s="216"/>
      <c r="S18" s="216"/>
      <c r="T18" s="216"/>
      <c r="U18" s="216"/>
      <c r="V18" s="216"/>
      <c r="W18" s="216"/>
      <c r="X18" s="216"/>
      <c r="Y18" s="216"/>
      <c r="Z18" s="216"/>
    </row>
    <row r="19" spans="1:26" ht="15" customHeight="1">
      <c r="A19" s="230" t="s">
        <v>152</v>
      </c>
      <c r="B19" s="227" t="s">
        <v>153</v>
      </c>
      <c r="C19" s="228" t="s">
        <v>154</v>
      </c>
      <c r="D19" s="228" t="s">
        <v>154</v>
      </c>
      <c r="E19" s="229" t="s">
        <v>154</v>
      </c>
      <c r="F19" s="216"/>
      <c r="G19" s="216"/>
      <c r="H19" s="216"/>
      <c r="I19" s="216"/>
      <c r="J19" s="216"/>
      <c r="K19" s="216"/>
      <c r="L19" s="216"/>
      <c r="M19" s="216"/>
      <c r="N19" s="216"/>
      <c r="O19" s="216"/>
      <c r="P19" s="216"/>
      <c r="Q19" s="216"/>
      <c r="R19" s="216"/>
      <c r="S19" s="216"/>
      <c r="T19" s="216"/>
      <c r="U19" s="216"/>
      <c r="V19" s="216"/>
      <c r="W19" s="216"/>
      <c r="X19" s="216"/>
      <c r="Y19" s="216"/>
      <c r="Z19" s="216"/>
    </row>
    <row r="20" spans="1:26" ht="15" customHeight="1">
      <c r="A20" s="230"/>
      <c r="B20" s="227"/>
      <c r="C20" s="228"/>
      <c r="D20" s="228"/>
      <c r="E20" s="229"/>
      <c r="F20" s="216"/>
      <c r="G20" s="216"/>
      <c r="H20" s="216"/>
      <c r="I20" s="216"/>
      <c r="J20" s="216"/>
      <c r="K20" s="216"/>
      <c r="L20" s="216"/>
      <c r="M20" s="216"/>
      <c r="N20" s="216"/>
      <c r="O20" s="216"/>
      <c r="P20" s="216"/>
      <c r="Q20" s="216"/>
      <c r="R20" s="216"/>
      <c r="S20" s="216"/>
      <c r="T20" s="216"/>
      <c r="U20" s="216"/>
      <c r="V20" s="216"/>
      <c r="W20" s="216"/>
      <c r="X20" s="216"/>
      <c r="Y20" s="216"/>
      <c r="Z20" s="216"/>
    </row>
    <row r="21" spans="1:26" ht="15" customHeight="1">
      <c r="A21" s="230"/>
      <c r="B21" s="227"/>
      <c r="C21" s="228"/>
      <c r="D21" s="228"/>
      <c r="E21" s="229"/>
      <c r="F21" s="216"/>
      <c r="G21" s="216"/>
      <c r="H21" s="216"/>
      <c r="I21" s="216"/>
      <c r="J21" s="216"/>
      <c r="K21" s="216"/>
      <c r="L21" s="216"/>
      <c r="M21" s="216"/>
      <c r="N21" s="216"/>
      <c r="O21" s="216"/>
      <c r="P21" s="216"/>
      <c r="Q21" s="216"/>
      <c r="R21" s="216"/>
      <c r="S21" s="216"/>
      <c r="T21" s="216"/>
      <c r="U21" s="216"/>
      <c r="V21" s="216"/>
      <c r="W21" s="216"/>
      <c r="X21" s="216"/>
      <c r="Y21" s="216"/>
      <c r="Z21" s="216"/>
    </row>
    <row r="22" spans="1:26" ht="15" customHeight="1">
      <c r="A22" s="226"/>
      <c r="B22" s="227"/>
      <c r="C22" s="228"/>
      <c r="D22" s="228"/>
      <c r="E22" s="229"/>
      <c r="F22" s="216"/>
      <c r="G22" s="216"/>
      <c r="H22" s="216"/>
      <c r="I22" s="216"/>
      <c r="J22" s="216"/>
      <c r="K22" s="216"/>
      <c r="L22" s="216"/>
      <c r="M22" s="216"/>
      <c r="N22" s="216"/>
      <c r="O22" s="216"/>
      <c r="P22" s="216"/>
      <c r="Q22" s="216"/>
      <c r="R22" s="216"/>
      <c r="S22" s="216"/>
      <c r="T22" s="216"/>
      <c r="U22" s="216"/>
      <c r="V22" s="216"/>
      <c r="W22" s="216"/>
      <c r="X22" s="216"/>
      <c r="Y22" s="216"/>
      <c r="Z22" s="216"/>
    </row>
    <row r="23" spans="1:26" ht="15" customHeight="1">
      <c r="A23" s="226"/>
      <c r="B23" s="227"/>
      <c r="C23" s="228"/>
      <c r="D23" s="228"/>
      <c r="E23" s="229"/>
      <c r="F23" s="216"/>
      <c r="G23" s="216"/>
      <c r="H23" s="216"/>
      <c r="I23" s="216"/>
      <c r="J23" s="216"/>
      <c r="K23" s="216"/>
      <c r="L23" s="216"/>
      <c r="M23" s="216"/>
      <c r="N23" s="216"/>
      <c r="O23" s="216"/>
      <c r="P23" s="216"/>
      <c r="Q23" s="216"/>
      <c r="R23" s="216"/>
      <c r="S23" s="216"/>
      <c r="T23" s="216"/>
      <c r="U23" s="216"/>
      <c r="V23" s="216"/>
      <c r="W23" s="216"/>
      <c r="X23" s="216"/>
      <c r="Y23" s="216"/>
      <c r="Z23" s="216"/>
    </row>
    <row r="24" spans="1:26" ht="15" customHeight="1">
      <c r="A24" s="230"/>
      <c r="B24" s="227"/>
      <c r="C24" s="228"/>
      <c r="D24" s="228"/>
      <c r="E24" s="229"/>
      <c r="F24" s="216"/>
      <c r="G24" s="216"/>
      <c r="H24" s="216"/>
      <c r="I24" s="216"/>
      <c r="J24" s="216"/>
      <c r="K24" s="216"/>
      <c r="L24" s="216"/>
      <c r="M24" s="216"/>
      <c r="N24" s="216"/>
      <c r="O24" s="216"/>
      <c r="P24" s="216"/>
      <c r="Q24" s="216"/>
      <c r="R24" s="216"/>
      <c r="S24" s="216"/>
      <c r="T24" s="216"/>
      <c r="U24" s="216"/>
      <c r="V24" s="216"/>
      <c r="W24" s="216"/>
      <c r="X24" s="216"/>
      <c r="Y24" s="216"/>
      <c r="Z24" s="216"/>
    </row>
    <row r="25" spans="1:26" ht="15" customHeight="1">
      <c r="A25" s="230"/>
      <c r="B25" s="227"/>
      <c r="C25" s="228"/>
      <c r="D25" s="228"/>
      <c r="E25" s="229"/>
      <c r="F25" s="216"/>
      <c r="G25" s="216"/>
      <c r="H25" s="216"/>
      <c r="I25" s="216"/>
      <c r="J25" s="216"/>
      <c r="K25" s="216"/>
      <c r="L25" s="216"/>
      <c r="M25" s="216"/>
      <c r="N25" s="216"/>
      <c r="O25" s="216"/>
      <c r="P25" s="216"/>
      <c r="Q25" s="216"/>
      <c r="R25" s="216"/>
      <c r="S25" s="216"/>
      <c r="T25" s="216"/>
      <c r="U25" s="216"/>
      <c r="V25" s="216"/>
      <c r="W25" s="216"/>
      <c r="X25" s="216"/>
      <c r="Y25" s="216"/>
      <c r="Z25" s="216"/>
    </row>
    <row r="26" spans="1:26" s="216" customFormat="1" ht="15" customHeight="1">
      <c r="A26" s="230"/>
      <c r="B26" s="227"/>
      <c r="C26" s="228"/>
      <c r="D26" s="228"/>
      <c r="E26" s="229"/>
    </row>
    <row r="27" spans="1:26" ht="15" customHeight="1">
      <c r="A27" s="230"/>
      <c r="B27" s="227"/>
      <c r="C27" s="228"/>
      <c r="D27" s="228"/>
      <c r="E27" s="229"/>
      <c r="Z27" s="216"/>
    </row>
    <row r="28" spans="1:26" ht="15" customHeight="1">
      <c r="A28" s="230"/>
      <c r="B28" s="227"/>
      <c r="C28" s="228"/>
      <c r="D28" s="228"/>
      <c r="E28" s="229"/>
      <c r="Z28" s="216"/>
    </row>
    <row r="29" spans="1:26" ht="15" customHeight="1">
      <c r="A29" s="230"/>
      <c r="B29" s="227"/>
      <c r="C29" s="228"/>
      <c r="D29" s="228"/>
      <c r="E29" s="229"/>
      <c r="Z29" s="216"/>
    </row>
    <row r="30" spans="1:26" ht="15" customHeight="1">
      <c r="A30" s="231"/>
      <c r="B30" s="21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row>
    <row r="31" spans="1:26" ht="15" customHeight="1">
      <c r="A31" s="231"/>
      <c r="B31" s="216"/>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row>
    <row r="32" spans="1:26" ht="15" customHeight="1">
      <c r="A32" s="231"/>
      <c r="B32" s="216"/>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row>
    <row r="33" spans="1:26" ht="15" customHeight="1">
      <c r="A33" s="231"/>
      <c r="B33" s="216"/>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row>
    <row r="34" spans="1:26" ht="15" customHeight="1">
      <c r="A34" s="231"/>
      <c r="B34" s="216"/>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row>
    <row r="35" spans="1:26" ht="15" customHeight="1">
      <c r="A35" s="231"/>
      <c r="B35" s="216"/>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216"/>
    </row>
    <row r="36" spans="1:26" ht="15" customHeight="1">
      <c r="A36" s="231"/>
      <c r="B36" s="216"/>
      <c r="C36" s="216"/>
      <c r="D36" s="216"/>
      <c r="E36" s="216"/>
      <c r="F36" s="216"/>
      <c r="G36" s="216"/>
      <c r="H36" s="216"/>
      <c r="I36" s="216"/>
      <c r="J36" s="216"/>
      <c r="K36" s="216"/>
      <c r="L36" s="216"/>
      <c r="M36" s="216"/>
      <c r="N36" s="216"/>
      <c r="O36" s="216"/>
      <c r="P36" s="216"/>
      <c r="Q36" s="216"/>
      <c r="R36" s="216"/>
      <c r="S36" s="216"/>
      <c r="T36" s="216"/>
      <c r="U36" s="216"/>
      <c r="V36" s="216"/>
      <c r="W36" s="216"/>
      <c r="X36" s="216"/>
      <c r="Y36" s="216"/>
      <c r="Z36" s="216"/>
    </row>
    <row r="37" spans="1:26" ht="15" customHeight="1">
      <c r="A37" s="231"/>
      <c r="B37" s="216"/>
      <c r="C37" s="216"/>
      <c r="D37" s="216"/>
      <c r="E37" s="216"/>
      <c r="F37" s="216"/>
      <c r="G37" s="216"/>
      <c r="H37" s="216"/>
      <c r="I37" s="216"/>
      <c r="J37" s="216"/>
      <c r="K37" s="216"/>
      <c r="L37" s="216"/>
      <c r="M37" s="216"/>
      <c r="N37" s="216"/>
      <c r="O37" s="216"/>
      <c r="P37" s="216"/>
      <c r="Q37" s="216"/>
      <c r="R37" s="216"/>
      <c r="S37" s="216"/>
      <c r="T37" s="216"/>
      <c r="U37" s="216"/>
      <c r="V37" s="216"/>
      <c r="W37" s="216"/>
      <c r="X37" s="216"/>
      <c r="Y37" s="216"/>
      <c r="Z37" s="216"/>
    </row>
    <row r="38" spans="1:26" ht="15" customHeight="1">
      <c r="A38" s="231"/>
      <c r="B38" s="216"/>
      <c r="C38" s="216"/>
      <c r="D38" s="216"/>
      <c r="E38" s="216"/>
      <c r="F38" s="216"/>
      <c r="G38" s="216"/>
      <c r="H38" s="216"/>
      <c r="I38" s="216"/>
      <c r="J38" s="216"/>
      <c r="K38" s="216"/>
      <c r="L38" s="216"/>
      <c r="M38" s="216"/>
      <c r="N38" s="216"/>
      <c r="O38" s="216"/>
      <c r="P38" s="216"/>
      <c r="Q38" s="216"/>
      <c r="R38" s="216"/>
      <c r="S38" s="216"/>
      <c r="T38" s="216"/>
      <c r="U38" s="216"/>
      <c r="V38" s="216"/>
      <c r="W38" s="216"/>
      <c r="X38" s="216"/>
      <c r="Y38" s="216"/>
      <c r="Z38" s="216"/>
    </row>
    <row r="39" spans="1:26" ht="15" customHeight="1">
      <c r="A39" s="231"/>
      <c r="B39" s="216"/>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row>
    <row r="40" spans="1:26" ht="15" customHeight="1">
      <c r="A40" s="231"/>
      <c r="B40" s="216"/>
      <c r="C40" s="216"/>
      <c r="D40" s="216"/>
      <c r="E40" s="216"/>
      <c r="F40" s="216"/>
      <c r="G40" s="216"/>
      <c r="H40" s="216"/>
      <c r="I40" s="216"/>
      <c r="J40" s="216"/>
      <c r="K40" s="216"/>
      <c r="L40" s="216"/>
      <c r="M40" s="216"/>
      <c r="N40" s="216"/>
      <c r="O40" s="216"/>
      <c r="P40" s="216"/>
      <c r="Q40" s="216"/>
      <c r="R40" s="216"/>
      <c r="S40" s="216"/>
      <c r="T40" s="216"/>
      <c r="U40" s="216"/>
      <c r="V40" s="216"/>
      <c r="W40" s="216"/>
      <c r="X40" s="216"/>
      <c r="Y40" s="216"/>
      <c r="Z40" s="216"/>
    </row>
    <row r="41" spans="1:26" ht="15" customHeight="1">
      <c r="A41" s="231"/>
      <c r="B41" s="216"/>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row>
    <row r="42" spans="1:26" ht="15" customHeight="1">
      <c r="A42" s="231"/>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row>
    <row r="43" spans="1:26" ht="15" customHeight="1">
      <c r="A43" s="231"/>
      <c r="B43" s="216"/>
      <c r="C43" s="216"/>
      <c r="D43" s="216"/>
      <c r="E43" s="216"/>
      <c r="F43" s="216"/>
      <c r="G43" s="216"/>
      <c r="H43" s="216"/>
      <c r="I43" s="216"/>
      <c r="J43" s="216"/>
      <c r="K43" s="216"/>
      <c r="L43" s="216"/>
      <c r="M43" s="216"/>
      <c r="N43" s="216"/>
      <c r="O43" s="216"/>
      <c r="P43" s="216"/>
      <c r="Q43" s="216"/>
      <c r="R43" s="216"/>
      <c r="S43" s="216"/>
      <c r="T43" s="216"/>
      <c r="U43" s="216"/>
      <c r="V43" s="216"/>
      <c r="W43" s="216"/>
      <c r="X43" s="216"/>
      <c r="Y43" s="216"/>
      <c r="Z43" s="216"/>
    </row>
    <row r="44" spans="1:26" ht="15" customHeight="1">
      <c r="A44" s="231"/>
      <c r="B44" s="216"/>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row>
    <row r="45" spans="1:26" ht="15" customHeight="1">
      <c r="A45" s="231"/>
      <c r="B45" s="216"/>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row>
    <row r="46" spans="1:26" ht="15" customHeight="1">
      <c r="A46" s="231"/>
      <c r="B46" s="216"/>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row>
    <row r="47" spans="1:26" ht="15" customHeight="1">
      <c r="A47" s="232"/>
      <c r="B47" s="233"/>
      <c r="C47" s="233"/>
      <c r="D47" s="233"/>
      <c r="E47" s="233"/>
      <c r="F47" s="233"/>
      <c r="G47" s="233"/>
      <c r="H47" s="233"/>
      <c r="I47" s="233"/>
      <c r="J47" s="233"/>
      <c r="K47" s="233"/>
      <c r="L47" s="233"/>
      <c r="M47" s="233"/>
      <c r="N47" s="233"/>
      <c r="O47" s="233"/>
      <c r="P47" s="233"/>
      <c r="Q47" s="233"/>
      <c r="R47" s="233"/>
      <c r="S47" s="233"/>
      <c r="T47" s="233"/>
      <c r="U47" s="233"/>
      <c r="V47" s="233"/>
      <c r="W47" s="233"/>
      <c r="X47" s="233"/>
      <c r="Y47" s="233"/>
      <c r="Z47" s="216"/>
    </row>
    <row r="48" spans="1:26" ht="15" customHeight="1">
      <c r="Z48" s="216"/>
    </row>
    <row r="49" spans="1:26" ht="15" customHeight="1">
      <c r="Z49" s="216"/>
    </row>
    <row r="50" spans="1:26" ht="15" customHeight="1">
      <c r="Z50" s="216"/>
    </row>
    <row r="51" spans="1:26" ht="15" customHeight="1">
      <c r="A51" s="231"/>
      <c r="B51" s="216"/>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row>
    <row r="52" spans="1:26" ht="15" customHeight="1">
      <c r="A52" s="231"/>
      <c r="B52" s="216"/>
      <c r="C52" s="216"/>
      <c r="D52" s="216"/>
      <c r="E52" s="216"/>
      <c r="F52" s="216"/>
      <c r="G52" s="216"/>
      <c r="H52" s="216"/>
      <c r="I52" s="216"/>
      <c r="J52" s="216"/>
      <c r="K52" s="216"/>
      <c r="L52" s="216"/>
      <c r="M52" s="216"/>
      <c r="N52" s="216"/>
      <c r="O52" s="216"/>
      <c r="P52" s="216"/>
      <c r="Q52" s="216"/>
      <c r="R52" s="216"/>
      <c r="S52" s="216"/>
      <c r="T52" s="216"/>
      <c r="U52" s="216"/>
      <c r="V52" s="216"/>
      <c r="W52" s="216"/>
      <c r="X52" s="216"/>
      <c r="Y52" s="216"/>
      <c r="Z52" s="216"/>
    </row>
    <row r="53" spans="1:26" ht="15" customHeight="1">
      <c r="A53" s="231"/>
      <c r="B53" s="216"/>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row>
    <row r="54" spans="1:26" ht="15" customHeight="1">
      <c r="A54" s="231"/>
      <c r="B54" s="216"/>
      <c r="C54" s="216"/>
      <c r="D54" s="216"/>
      <c r="E54" s="216"/>
      <c r="F54" s="216"/>
      <c r="G54" s="216"/>
      <c r="H54" s="216"/>
      <c r="I54" s="216"/>
      <c r="J54" s="216"/>
      <c r="K54" s="216"/>
      <c r="L54" s="216"/>
      <c r="M54" s="216"/>
      <c r="N54" s="216"/>
      <c r="O54" s="216"/>
      <c r="P54" s="216"/>
      <c r="Q54" s="216"/>
      <c r="R54" s="216"/>
      <c r="S54" s="216"/>
      <c r="T54" s="216"/>
      <c r="U54" s="216"/>
      <c r="V54" s="216"/>
      <c r="W54" s="216"/>
      <c r="X54" s="216"/>
      <c r="Y54" s="216"/>
      <c r="Z54" s="216"/>
    </row>
    <row r="55" spans="1:26" ht="15" customHeight="1">
      <c r="A55" s="231"/>
      <c r="B55" s="216"/>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row>
    <row r="56" spans="1:26" ht="15" customHeight="1">
      <c r="A56" s="231"/>
      <c r="B56" s="216"/>
      <c r="C56" s="216"/>
      <c r="D56" s="216"/>
      <c r="E56" s="216"/>
      <c r="F56" s="216"/>
      <c r="G56" s="216"/>
      <c r="H56" s="216"/>
      <c r="I56" s="216"/>
      <c r="J56" s="216"/>
      <c r="K56" s="216"/>
      <c r="L56" s="216"/>
      <c r="M56" s="216"/>
      <c r="N56" s="216"/>
      <c r="O56" s="216"/>
      <c r="P56" s="216"/>
      <c r="Q56" s="216"/>
      <c r="R56" s="216"/>
      <c r="S56" s="216"/>
      <c r="T56" s="216"/>
      <c r="U56" s="216"/>
      <c r="V56" s="216"/>
      <c r="W56" s="216"/>
      <c r="X56" s="216"/>
      <c r="Y56" s="216"/>
      <c r="Z56" s="216"/>
    </row>
    <row r="57" spans="1:26" ht="15" customHeight="1">
      <c r="A57" s="231"/>
      <c r="B57" s="216"/>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row>
    <row r="58" spans="1:26" ht="15" customHeight="1">
      <c r="A58" s="231"/>
      <c r="B58" s="216"/>
      <c r="C58" s="216"/>
      <c r="D58" s="216"/>
      <c r="E58" s="216"/>
      <c r="F58" s="216"/>
      <c r="G58" s="216"/>
      <c r="H58" s="216"/>
      <c r="I58" s="216"/>
      <c r="J58" s="216"/>
      <c r="K58" s="216"/>
      <c r="L58" s="216"/>
      <c r="M58" s="216"/>
      <c r="N58" s="216"/>
      <c r="O58" s="216"/>
      <c r="P58" s="216"/>
      <c r="Q58" s="216"/>
      <c r="R58" s="216"/>
      <c r="S58" s="216"/>
      <c r="T58" s="216"/>
      <c r="U58" s="216"/>
      <c r="V58" s="216"/>
      <c r="W58" s="216"/>
      <c r="X58" s="216"/>
      <c r="Y58" s="216"/>
      <c r="Z58" s="216"/>
    </row>
    <row r="59" spans="1:26" ht="15" customHeight="1">
      <c r="A59" s="231"/>
      <c r="B59" s="216"/>
      <c r="C59" s="216"/>
      <c r="D59" s="216"/>
      <c r="E59" s="216"/>
      <c r="F59" s="216"/>
      <c r="G59" s="216"/>
      <c r="H59" s="216"/>
      <c r="I59" s="216"/>
      <c r="J59" s="216"/>
      <c r="K59" s="216"/>
      <c r="L59" s="216"/>
      <c r="M59" s="216"/>
      <c r="N59" s="216"/>
      <c r="O59" s="216"/>
      <c r="P59" s="216"/>
      <c r="Q59" s="216"/>
      <c r="R59" s="216"/>
      <c r="S59" s="216"/>
      <c r="T59" s="216"/>
      <c r="U59" s="216"/>
      <c r="V59" s="216"/>
      <c r="W59" s="216"/>
      <c r="X59" s="216"/>
      <c r="Y59" s="216"/>
      <c r="Z59" s="216"/>
    </row>
    <row r="60" spans="1:26" ht="15" customHeight="1">
      <c r="A60" s="231"/>
      <c r="B60" s="216"/>
      <c r="C60" s="216"/>
      <c r="D60" s="216"/>
      <c r="E60" s="216"/>
      <c r="F60" s="216"/>
      <c r="G60" s="216"/>
      <c r="H60" s="216"/>
      <c r="I60" s="216"/>
      <c r="J60" s="216"/>
      <c r="K60" s="216"/>
      <c r="L60" s="216"/>
      <c r="M60" s="216"/>
      <c r="N60" s="216"/>
      <c r="O60" s="216"/>
      <c r="P60" s="216"/>
      <c r="Q60" s="216"/>
      <c r="R60" s="216"/>
      <c r="S60" s="216"/>
      <c r="T60" s="216"/>
      <c r="U60" s="216"/>
      <c r="V60" s="216"/>
      <c r="W60" s="216"/>
      <c r="X60" s="216"/>
      <c r="Y60" s="216"/>
      <c r="Z60" s="216"/>
    </row>
    <row r="61" spans="1:26" ht="15" customHeight="1">
      <c r="A61" s="231"/>
      <c r="B61" s="216"/>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row>
    <row r="62" spans="1:26" ht="15" customHeight="1">
      <c r="A62" s="231"/>
      <c r="B62" s="216"/>
      <c r="C62" s="216"/>
      <c r="D62" s="216"/>
      <c r="E62" s="216"/>
      <c r="F62" s="216"/>
      <c r="G62" s="216"/>
      <c r="H62" s="216"/>
      <c r="I62" s="216"/>
      <c r="J62" s="216"/>
      <c r="K62" s="216"/>
      <c r="L62" s="216"/>
      <c r="M62" s="216"/>
      <c r="N62" s="216"/>
      <c r="O62" s="216"/>
      <c r="P62" s="216"/>
      <c r="Q62" s="216"/>
      <c r="R62" s="216"/>
      <c r="S62" s="216"/>
      <c r="T62" s="216"/>
      <c r="U62" s="216"/>
      <c r="V62" s="216"/>
      <c r="W62" s="216"/>
      <c r="X62" s="216"/>
      <c r="Y62" s="216"/>
      <c r="Z62" s="216"/>
    </row>
    <row r="63" spans="1:26" ht="15" customHeight="1">
      <c r="A63" s="231"/>
      <c r="B63" s="216"/>
      <c r="C63" s="216"/>
      <c r="D63" s="216"/>
      <c r="E63" s="216"/>
      <c r="F63" s="216"/>
      <c r="G63" s="216"/>
      <c r="H63" s="216"/>
      <c r="I63" s="216"/>
      <c r="J63" s="216"/>
      <c r="K63" s="216"/>
      <c r="L63" s="216"/>
      <c r="M63" s="216"/>
      <c r="N63" s="216"/>
      <c r="O63" s="216"/>
      <c r="P63" s="216"/>
      <c r="Q63" s="216"/>
      <c r="R63" s="216"/>
      <c r="S63" s="216"/>
      <c r="T63" s="216"/>
      <c r="U63" s="216"/>
      <c r="V63" s="216"/>
      <c r="W63" s="216"/>
      <c r="X63" s="216"/>
      <c r="Y63" s="216"/>
      <c r="Z63" s="216"/>
    </row>
    <row r="64" spans="1:26" ht="15" customHeight="1">
      <c r="A64" s="231"/>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row>
    <row r="65" spans="1:26" ht="15" customHeight="1">
      <c r="A65" s="231"/>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row>
    <row r="66" spans="1:26" ht="15" customHeight="1">
      <c r="A66" s="231"/>
      <c r="B66" s="216"/>
      <c r="C66" s="216"/>
      <c r="D66" s="216"/>
      <c r="E66" s="216"/>
      <c r="F66" s="216"/>
      <c r="G66" s="216"/>
      <c r="H66" s="216"/>
      <c r="I66" s="216"/>
      <c r="J66" s="216"/>
      <c r="K66" s="216"/>
      <c r="L66" s="216"/>
      <c r="M66" s="216"/>
      <c r="N66" s="216"/>
      <c r="O66" s="216"/>
      <c r="P66" s="216"/>
      <c r="Q66" s="216"/>
      <c r="R66" s="216"/>
      <c r="S66" s="216"/>
      <c r="T66" s="216"/>
      <c r="U66" s="216"/>
      <c r="V66" s="216"/>
      <c r="W66" s="216"/>
      <c r="X66" s="216"/>
      <c r="Y66" s="216"/>
      <c r="Z66" s="216"/>
    </row>
    <row r="67" spans="1:26" ht="15" customHeight="1">
      <c r="A67" s="231"/>
      <c r="B67" s="216"/>
      <c r="C67" s="216"/>
      <c r="D67" s="216"/>
      <c r="E67" s="216"/>
      <c r="F67" s="216"/>
      <c r="G67" s="216"/>
      <c r="H67" s="216"/>
      <c r="I67" s="216"/>
      <c r="J67" s="216"/>
      <c r="K67" s="216"/>
      <c r="L67" s="216"/>
      <c r="M67" s="216"/>
      <c r="N67" s="216"/>
      <c r="O67" s="216"/>
      <c r="P67" s="216"/>
      <c r="Q67" s="216"/>
      <c r="R67" s="216"/>
      <c r="S67" s="216"/>
      <c r="T67" s="216"/>
      <c r="U67" s="216"/>
      <c r="V67" s="216"/>
      <c r="W67" s="216"/>
      <c r="X67" s="216"/>
      <c r="Y67" s="216"/>
      <c r="Z67" s="216"/>
    </row>
    <row r="68" spans="1:26" ht="15" customHeight="1">
      <c r="A68" s="232"/>
      <c r="B68" s="233"/>
      <c r="C68" s="233"/>
      <c r="D68" s="233"/>
      <c r="E68" s="233"/>
      <c r="F68" s="233"/>
      <c r="G68" s="233"/>
      <c r="H68" s="233"/>
      <c r="I68" s="233"/>
      <c r="J68" s="233"/>
      <c r="K68" s="233"/>
      <c r="L68" s="233"/>
      <c r="M68" s="233"/>
      <c r="N68" s="233"/>
      <c r="O68" s="233"/>
      <c r="P68" s="233"/>
      <c r="Q68" s="233"/>
      <c r="R68" s="233"/>
      <c r="S68" s="233"/>
      <c r="T68" s="233"/>
      <c r="U68" s="233"/>
      <c r="V68" s="233"/>
      <c r="W68" s="233"/>
      <c r="X68" s="233"/>
      <c r="Y68" s="233"/>
      <c r="Z68" s="216"/>
    </row>
  </sheetData>
  <mergeCells count="3">
    <mergeCell ref="A3:A4"/>
    <mergeCell ref="B3:B4"/>
    <mergeCell ref="C3:E3"/>
  </mergeCells>
  <phoneticPr fontId="4"/>
  <printOptions horizontalCentered="1"/>
  <pageMargins left="0.74803149606299213" right="0.74803149606299213" top="0.98425196850393704" bottom="0.98425196850393704" header="0.78740157480314965" footer="0.51181102362204722"/>
  <pageSetup paperSize="9" fitToHeight="0" orientation="landscape" horizontalDpi="400" verticalDpi="400" r:id="rId1"/>
  <headerFooter scaleWithDoc="0" alignWithMargins="0">
    <oddFooter>&amp;C&amp;"ＭＳ Ｐゴシック,標準"&amp;9( &amp;P / &amp;N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B96"/>
  <sheetViews>
    <sheetView showGridLines="0" zoomScale="80" zoomScaleNormal="80" workbookViewId="0"/>
  </sheetViews>
  <sheetFormatPr defaultColWidth="8.42578125" defaultRowHeight="15" customHeight="1"/>
  <cols>
    <col min="1" max="1" width="7.7109375" style="111" customWidth="1"/>
    <col min="2" max="26" width="7.7109375" style="54" customWidth="1"/>
    <col min="27" max="16384" width="8.42578125" style="54"/>
  </cols>
  <sheetData>
    <row r="1" spans="1:28" s="53" customFormat="1" ht="26.1" customHeight="1">
      <c r="A1" s="234" t="s">
        <v>177</v>
      </c>
      <c r="B1" s="50"/>
      <c r="C1" s="50"/>
      <c r="D1" s="50"/>
      <c r="E1" s="50"/>
      <c r="F1" s="50"/>
      <c r="G1" s="50"/>
      <c r="H1" s="50"/>
      <c r="I1" s="50"/>
      <c r="J1" s="50"/>
      <c r="K1" s="50"/>
      <c r="L1" s="50"/>
      <c r="M1" s="50"/>
      <c r="N1" s="50"/>
      <c r="O1" s="50"/>
      <c r="P1" s="50"/>
      <c r="Q1" s="50"/>
      <c r="R1" s="50"/>
      <c r="S1" s="50"/>
      <c r="T1" s="50"/>
      <c r="U1" s="50"/>
      <c r="V1" s="50"/>
      <c r="W1" s="50"/>
      <c r="X1" s="50"/>
      <c r="Y1" s="50"/>
      <c r="Z1" s="50"/>
      <c r="AA1" s="50"/>
      <c r="AB1" s="52"/>
    </row>
    <row r="2" spans="1:28" ht="15" customHeight="1">
      <c r="V2" s="235"/>
      <c r="W2" s="235"/>
    </row>
    <row r="3" spans="1:28" ht="15" customHeight="1">
      <c r="A3" s="111" t="s">
        <v>155</v>
      </c>
      <c r="C3" s="236" t="s">
        <v>23</v>
      </c>
      <c r="D3" s="236"/>
      <c r="E3" s="61"/>
      <c r="F3" s="61"/>
      <c r="O3" s="61"/>
      <c r="P3" s="61"/>
      <c r="Q3" s="61"/>
      <c r="R3" s="61"/>
      <c r="S3" s="61"/>
      <c r="T3" s="61"/>
      <c r="U3" s="61"/>
      <c r="V3" s="235"/>
      <c r="W3" s="54" t="s">
        <v>156</v>
      </c>
    </row>
    <row r="4" spans="1:28" ht="15" customHeight="1">
      <c r="A4" s="111" t="s">
        <v>157</v>
      </c>
      <c r="C4" s="236" t="s">
        <v>178</v>
      </c>
      <c r="D4" s="236"/>
      <c r="E4" s="61"/>
      <c r="F4" s="61"/>
      <c r="O4" s="237" t="s">
        <v>158</v>
      </c>
      <c r="P4" s="238"/>
      <c r="Q4" s="238"/>
      <c r="R4" s="238"/>
      <c r="S4" s="238"/>
      <c r="T4" s="238"/>
      <c r="U4" s="239"/>
      <c r="V4" s="235"/>
      <c r="W4" s="179" t="s">
        <v>179</v>
      </c>
    </row>
    <row r="5" spans="1:28" ht="15" customHeight="1">
      <c r="O5" s="240" t="s">
        <v>76</v>
      </c>
      <c r="P5" s="241" t="s">
        <v>159</v>
      </c>
      <c r="Q5" s="241" t="s">
        <v>160</v>
      </c>
      <c r="R5" s="241" t="s">
        <v>161</v>
      </c>
      <c r="S5" s="241" t="s">
        <v>162</v>
      </c>
      <c r="T5" s="241" t="s">
        <v>163</v>
      </c>
      <c r="U5" s="242" t="s">
        <v>164</v>
      </c>
      <c r="W5" s="179" t="s">
        <v>180</v>
      </c>
    </row>
    <row r="6" spans="1:28" ht="15" customHeight="1">
      <c r="O6" s="243"/>
      <c r="P6" s="244"/>
      <c r="Q6" s="244"/>
      <c r="R6" s="244"/>
      <c r="S6" s="244"/>
      <c r="T6" s="244"/>
      <c r="U6" s="245"/>
      <c r="W6" s="179" t="s">
        <v>181</v>
      </c>
    </row>
    <row r="7" spans="1:28" ht="15" customHeight="1">
      <c r="Q7" s="235"/>
      <c r="R7" s="235"/>
      <c r="S7" s="235"/>
      <c r="T7" s="235"/>
      <c r="U7" s="235"/>
      <c r="W7" s="179" t="s">
        <v>182</v>
      </c>
    </row>
    <row r="8" spans="1:28" ht="15" customHeight="1">
      <c r="P8" s="235"/>
      <c r="Q8" s="235"/>
      <c r="R8" s="235"/>
      <c r="S8" s="235"/>
      <c r="T8" s="235"/>
      <c r="U8" s="235"/>
      <c r="W8" s="179" t="s">
        <v>183</v>
      </c>
    </row>
    <row r="9" spans="1:28" ht="15" customHeight="1" thickBot="1">
      <c r="G9" s="54" t="s">
        <v>165</v>
      </c>
      <c r="L9" s="54" t="s">
        <v>166</v>
      </c>
      <c r="P9" s="235"/>
      <c r="Q9" s="235"/>
      <c r="R9" s="235"/>
      <c r="S9" s="235"/>
      <c r="T9" s="235"/>
      <c r="U9" s="235"/>
      <c r="W9" s="86" t="s">
        <v>184</v>
      </c>
    </row>
    <row r="10" spans="1:28" ht="15" customHeight="1">
      <c r="A10" s="246" t="s">
        <v>167</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147"/>
    </row>
    <row r="11" spans="1:28" ht="15" customHeight="1">
      <c r="A11" s="247"/>
      <c r="B11" s="248"/>
      <c r="C11" s="249"/>
      <c r="D11" s="250"/>
      <c r="E11" s="149">
        <v>1</v>
      </c>
      <c r="F11" s="150">
        <v>2</v>
      </c>
      <c r="G11" s="150">
        <v>3</v>
      </c>
      <c r="H11" s="150">
        <v>4</v>
      </c>
      <c r="I11" s="150">
        <v>5</v>
      </c>
      <c r="J11" s="150">
        <v>6</v>
      </c>
      <c r="K11" s="150">
        <v>7</v>
      </c>
      <c r="L11" s="150">
        <v>8</v>
      </c>
      <c r="M11" s="150">
        <v>9</v>
      </c>
      <c r="N11" s="150">
        <v>10</v>
      </c>
      <c r="O11" s="150">
        <v>11</v>
      </c>
      <c r="P11" s="150">
        <v>12</v>
      </c>
      <c r="Q11" s="150">
        <v>13</v>
      </c>
      <c r="R11" s="150">
        <v>14</v>
      </c>
      <c r="S11" s="150">
        <v>15</v>
      </c>
      <c r="T11" s="150">
        <v>16</v>
      </c>
      <c r="U11" s="150">
        <v>17</v>
      </c>
      <c r="V11" s="150">
        <v>18</v>
      </c>
      <c r="W11" s="152">
        <v>19</v>
      </c>
      <c r="X11" s="152">
        <v>20</v>
      </c>
      <c r="Y11" s="152">
        <v>21</v>
      </c>
      <c r="Z11" s="152">
        <v>22</v>
      </c>
      <c r="AA11" s="152">
        <v>23</v>
      </c>
      <c r="AB11" s="153">
        <v>24</v>
      </c>
    </row>
    <row r="12" spans="1:28" ht="15" customHeight="1" thickBot="1">
      <c r="A12" s="251" t="s">
        <v>168</v>
      </c>
      <c r="B12" s="252" t="s">
        <v>169</v>
      </c>
      <c r="C12" s="253"/>
      <c r="D12" s="254"/>
      <c r="E12" s="255">
        <v>0</v>
      </c>
      <c r="F12" s="256">
        <v>0</v>
      </c>
      <c r="G12" s="256">
        <v>0</v>
      </c>
      <c r="H12" s="256">
        <v>0</v>
      </c>
      <c r="I12" s="256">
        <v>9</v>
      </c>
      <c r="J12" s="256">
        <v>60</v>
      </c>
      <c r="K12" s="256">
        <v>125</v>
      </c>
      <c r="L12" s="256">
        <v>185</v>
      </c>
      <c r="M12" s="256">
        <v>236</v>
      </c>
      <c r="N12" s="256">
        <v>272</v>
      </c>
      <c r="O12" s="256">
        <v>292</v>
      </c>
      <c r="P12" s="256">
        <v>296</v>
      </c>
      <c r="Q12" s="256">
        <v>281</v>
      </c>
      <c r="R12" s="256">
        <v>247</v>
      </c>
      <c r="S12" s="256">
        <v>205</v>
      </c>
      <c r="T12" s="256">
        <v>154</v>
      </c>
      <c r="U12" s="256">
        <v>94</v>
      </c>
      <c r="V12" s="256">
        <v>29</v>
      </c>
      <c r="W12" s="256">
        <v>0</v>
      </c>
      <c r="X12" s="256">
        <v>0</v>
      </c>
      <c r="Y12" s="256">
        <v>0</v>
      </c>
      <c r="Z12" s="256">
        <v>0</v>
      </c>
      <c r="AA12" s="256">
        <v>0</v>
      </c>
      <c r="AB12" s="257">
        <v>0</v>
      </c>
    </row>
    <row r="13" spans="1:28" ht="15" customHeight="1" thickBot="1">
      <c r="A13" s="258" t="s">
        <v>170</v>
      </c>
      <c r="B13" s="259" t="s">
        <v>171</v>
      </c>
      <c r="C13" s="260"/>
      <c r="D13" s="261"/>
      <c r="E13" s="262">
        <v>0</v>
      </c>
      <c r="F13" s="263">
        <v>0</v>
      </c>
      <c r="G13" s="263">
        <v>0</v>
      </c>
      <c r="H13" s="263">
        <v>0</v>
      </c>
      <c r="I13" s="263">
        <v>5</v>
      </c>
      <c r="J13" s="263">
        <v>34</v>
      </c>
      <c r="K13" s="263">
        <v>66</v>
      </c>
      <c r="L13" s="263">
        <v>94</v>
      </c>
      <c r="M13" s="263">
        <v>115</v>
      </c>
      <c r="N13" s="263">
        <v>124</v>
      </c>
      <c r="O13" s="263">
        <v>126</v>
      </c>
      <c r="P13" s="263">
        <v>126</v>
      </c>
      <c r="Q13" s="263">
        <v>126</v>
      </c>
      <c r="R13" s="263">
        <v>119</v>
      </c>
      <c r="S13" s="263">
        <v>106</v>
      </c>
      <c r="T13" s="263">
        <v>81</v>
      </c>
      <c r="U13" s="263">
        <v>51</v>
      </c>
      <c r="V13" s="263">
        <v>16</v>
      </c>
      <c r="W13" s="263">
        <v>0</v>
      </c>
      <c r="X13" s="263">
        <v>0</v>
      </c>
      <c r="Y13" s="263">
        <v>0</v>
      </c>
      <c r="Z13" s="263">
        <v>0</v>
      </c>
      <c r="AA13" s="263">
        <v>0</v>
      </c>
      <c r="AB13" s="264">
        <v>0</v>
      </c>
    </row>
    <row r="14" spans="1:28" ht="15" customHeight="1" thickBot="1">
      <c r="A14" s="265" t="s">
        <v>69</v>
      </c>
      <c r="B14" s="259" t="s">
        <v>172</v>
      </c>
      <c r="C14" s="260"/>
      <c r="D14" s="261"/>
      <c r="E14" s="262">
        <v>0</v>
      </c>
      <c r="F14" s="263">
        <v>0</v>
      </c>
      <c r="G14" s="263">
        <v>0</v>
      </c>
      <c r="H14" s="263">
        <v>0</v>
      </c>
      <c r="I14" s="263">
        <v>9</v>
      </c>
      <c r="J14" s="263">
        <v>81</v>
      </c>
      <c r="K14" s="263">
        <v>194</v>
      </c>
      <c r="L14" s="263">
        <v>324</v>
      </c>
      <c r="M14" s="263">
        <v>450</v>
      </c>
      <c r="N14" s="263">
        <v>557</v>
      </c>
      <c r="O14" s="263">
        <v>618</v>
      </c>
      <c r="P14" s="263">
        <v>627</v>
      </c>
      <c r="Q14" s="263">
        <v>602</v>
      </c>
      <c r="R14" s="263">
        <v>526</v>
      </c>
      <c r="S14" s="263">
        <v>418</v>
      </c>
      <c r="T14" s="263">
        <v>275</v>
      </c>
      <c r="U14" s="263">
        <v>145</v>
      </c>
      <c r="V14" s="263">
        <v>33</v>
      </c>
      <c r="W14" s="263">
        <v>0</v>
      </c>
      <c r="X14" s="263">
        <v>0</v>
      </c>
      <c r="Y14" s="263">
        <v>0</v>
      </c>
      <c r="Z14" s="263">
        <v>0</v>
      </c>
      <c r="AA14" s="263">
        <v>0</v>
      </c>
      <c r="AB14" s="264">
        <v>0</v>
      </c>
    </row>
    <row r="15" spans="1:28" ht="15" customHeight="1">
      <c r="A15" s="266" t="s">
        <v>70</v>
      </c>
      <c r="B15" s="267" t="s">
        <v>173</v>
      </c>
      <c r="C15" s="268"/>
      <c r="D15" s="269"/>
      <c r="E15" s="285">
        <v>0</v>
      </c>
      <c r="F15" s="286">
        <v>0</v>
      </c>
      <c r="G15" s="286">
        <v>0</v>
      </c>
      <c r="H15" s="286">
        <v>0</v>
      </c>
      <c r="I15" s="286">
        <v>33</v>
      </c>
      <c r="J15" s="286">
        <v>87</v>
      </c>
      <c r="K15" s="286">
        <v>75</v>
      </c>
      <c r="L15" s="286">
        <v>38</v>
      </c>
      <c r="M15" s="286">
        <v>0</v>
      </c>
      <c r="N15" s="286">
        <v>0</v>
      </c>
      <c r="O15" s="286">
        <v>0</v>
      </c>
      <c r="P15" s="286">
        <v>0</v>
      </c>
      <c r="Q15" s="286">
        <v>0</v>
      </c>
      <c r="R15" s="286">
        <v>0</v>
      </c>
      <c r="S15" s="286">
        <v>0</v>
      </c>
      <c r="T15" s="286">
        <v>0</v>
      </c>
      <c r="U15" s="286">
        <v>0</v>
      </c>
      <c r="V15" s="286">
        <v>0</v>
      </c>
      <c r="W15" s="286">
        <v>0</v>
      </c>
      <c r="X15" s="286">
        <v>0</v>
      </c>
      <c r="Y15" s="286">
        <v>0</v>
      </c>
      <c r="Z15" s="286">
        <v>0</v>
      </c>
      <c r="AA15" s="286">
        <v>0</v>
      </c>
      <c r="AB15" s="287">
        <v>0</v>
      </c>
    </row>
    <row r="16" spans="1:28" ht="15" customHeight="1">
      <c r="A16" s="270"/>
      <c r="B16" s="271" t="s">
        <v>174</v>
      </c>
      <c r="C16" s="272"/>
      <c r="D16" s="273"/>
      <c r="E16" s="288">
        <v>1</v>
      </c>
      <c r="F16" s="289">
        <v>1</v>
      </c>
      <c r="G16" s="289">
        <v>1</v>
      </c>
      <c r="H16" s="289">
        <v>1</v>
      </c>
      <c r="I16" s="289">
        <v>1</v>
      </c>
      <c r="J16" s="289">
        <v>1</v>
      </c>
      <c r="K16" s="289">
        <v>1</v>
      </c>
      <c r="L16" s="289">
        <v>1</v>
      </c>
      <c r="M16" s="289">
        <v>1</v>
      </c>
      <c r="N16" s="289">
        <v>1</v>
      </c>
      <c r="O16" s="289">
        <v>1</v>
      </c>
      <c r="P16" s="289">
        <v>1</v>
      </c>
      <c r="Q16" s="289">
        <v>1</v>
      </c>
      <c r="R16" s="289">
        <v>1</v>
      </c>
      <c r="S16" s="289">
        <v>1</v>
      </c>
      <c r="T16" s="289">
        <v>1</v>
      </c>
      <c r="U16" s="289">
        <v>1</v>
      </c>
      <c r="V16" s="289">
        <v>1</v>
      </c>
      <c r="W16" s="289">
        <v>1</v>
      </c>
      <c r="X16" s="289">
        <v>1</v>
      </c>
      <c r="Y16" s="289">
        <v>1</v>
      </c>
      <c r="Z16" s="289">
        <v>1</v>
      </c>
      <c r="AA16" s="289">
        <v>1</v>
      </c>
      <c r="AB16" s="290">
        <v>1</v>
      </c>
    </row>
    <row r="17" spans="1:28" ht="15" customHeight="1" thickBot="1">
      <c r="A17" s="274"/>
      <c r="B17" s="275" t="s">
        <v>175</v>
      </c>
      <c r="C17" s="276"/>
      <c r="D17" s="277"/>
      <c r="E17" s="291">
        <v>0</v>
      </c>
      <c r="F17" s="292">
        <v>0</v>
      </c>
      <c r="G17" s="292">
        <v>0</v>
      </c>
      <c r="H17" s="292">
        <v>0</v>
      </c>
      <c r="I17" s="292">
        <v>39</v>
      </c>
      <c r="J17" s="292">
        <v>121</v>
      </c>
      <c r="K17" s="292">
        <v>142</v>
      </c>
      <c r="L17" s="292">
        <v>132</v>
      </c>
      <c r="M17" s="292">
        <v>116</v>
      </c>
      <c r="N17" s="292">
        <v>124</v>
      </c>
      <c r="O17" s="292">
        <v>126</v>
      </c>
      <c r="P17" s="292">
        <v>126</v>
      </c>
      <c r="Q17" s="292">
        <v>126</v>
      </c>
      <c r="R17" s="292">
        <v>119</v>
      </c>
      <c r="S17" s="292">
        <v>106</v>
      </c>
      <c r="T17" s="292">
        <v>82</v>
      </c>
      <c r="U17" s="292">
        <v>52</v>
      </c>
      <c r="V17" s="292">
        <v>16</v>
      </c>
      <c r="W17" s="292">
        <v>0</v>
      </c>
      <c r="X17" s="292">
        <v>0</v>
      </c>
      <c r="Y17" s="292">
        <v>0</v>
      </c>
      <c r="Z17" s="292">
        <v>0</v>
      </c>
      <c r="AA17" s="292">
        <v>0</v>
      </c>
      <c r="AB17" s="293">
        <v>0</v>
      </c>
    </row>
    <row r="18" spans="1:28" ht="15" customHeight="1">
      <c r="A18" s="266" t="s">
        <v>71</v>
      </c>
      <c r="B18" s="267" t="s">
        <v>173</v>
      </c>
      <c r="C18" s="268"/>
      <c r="D18" s="269"/>
      <c r="E18" s="285">
        <v>0</v>
      </c>
      <c r="F18" s="286">
        <v>0</v>
      </c>
      <c r="G18" s="286">
        <v>0</v>
      </c>
      <c r="H18" s="286">
        <v>0</v>
      </c>
      <c r="I18" s="286">
        <v>57</v>
      </c>
      <c r="J18" s="286">
        <v>188</v>
      </c>
      <c r="K18" s="286">
        <v>226</v>
      </c>
      <c r="L18" s="286">
        <v>228</v>
      </c>
      <c r="M18" s="286">
        <v>182</v>
      </c>
      <c r="N18" s="286">
        <v>95</v>
      </c>
      <c r="O18" s="286">
        <v>1</v>
      </c>
      <c r="P18" s="286">
        <v>0</v>
      </c>
      <c r="Q18" s="286">
        <v>0</v>
      </c>
      <c r="R18" s="286">
        <v>0</v>
      </c>
      <c r="S18" s="286">
        <v>0</v>
      </c>
      <c r="T18" s="286">
        <v>0</v>
      </c>
      <c r="U18" s="286">
        <v>0</v>
      </c>
      <c r="V18" s="286">
        <v>0</v>
      </c>
      <c r="W18" s="286">
        <v>0</v>
      </c>
      <c r="X18" s="286">
        <v>0</v>
      </c>
      <c r="Y18" s="286">
        <v>0</v>
      </c>
      <c r="Z18" s="286">
        <v>0</v>
      </c>
      <c r="AA18" s="286">
        <v>0</v>
      </c>
      <c r="AB18" s="287">
        <v>0</v>
      </c>
    </row>
    <row r="19" spans="1:28" ht="15" customHeight="1">
      <c r="A19" s="270"/>
      <c r="B19" s="271" t="s">
        <v>174</v>
      </c>
      <c r="C19" s="272"/>
      <c r="D19" s="273"/>
      <c r="E19" s="288">
        <v>1</v>
      </c>
      <c r="F19" s="289">
        <v>1</v>
      </c>
      <c r="G19" s="289">
        <v>1</v>
      </c>
      <c r="H19" s="289">
        <v>1</v>
      </c>
      <c r="I19" s="289">
        <v>1</v>
      </c>
      <c r="J19" s="289">
        <v>1</v>
      </c>
      <c r="K19" s="289">
        <v>1</v>
      </c>
      <c r="L19" s="289">
        <v>1</v>
      </c>
      <c r="M19" s="289">
        <v>1</v>
      </c>
      <c r="N19" s="289">
        <v>1</v>
      </c>
      <c r="O19" s="289">
        <v>1</v>
      </c>
      <c r="P19" s="289">
        <v>1</v>
      </c>
      <c r="Q19" s="289">
        <v>1</v>
      </c>
      <c r="R19" s="289">
        <v>1</v>
      </c>
      <c r="S19" s="289">
        <v>1</v>
      </c>
      <c r="T19" s="289">
        <v>1</v>
      </c>
      <c r="U19" s="289">
        <v>1</v>
      </c>
      <c r="V19" s="289">
        <v>1</v>
      </c>
      <c r="W19" s="289">
        <v>1</v>
      </c>
      <c r="X19" s="289">
        <v>1</v>
      </c>
      <c r="Y19" s="289">
        <v>1</v>
      </c>
      <c r="Z19" s="289">
        <v>1</v>
      </c>
      <c r="AA19" s="289">
        <v>1</v>
      </c>
      <c r="AB19" s="290">
        <v>1</v>
      </c>
    </row>
    <row r="20" spans="1:28" ht="15" customHeight="1" thickBot="1">
      <c r="A20" s="274"/>
      <c r="B20" s="275" t="s">
        <v>175</v>
      </c>
      <c r="C20" s="276"/>
      <c r="D20" s="277"/>
      <c r="E20" s="291">
        <v>0</v>
      </c>
      <c r="F20" s="292">
        <v>0</v>
      </c>
      <c r="G20" s="292">
        <v>0</v>
      </c>
      <c r="H20" s="292">
        <v>0</v>
      </c>
      <c r="I20" s="292">
        <v>63</v>
      </c>
      <c r="J20" s="292">
        <v>222</v>
      </c>
      <c r="K20" s="292">
        <v>293</v>
      </c>
      <c r="L20" s="292">
        <v>322</v>
      </c>
      <c r="M20" s="292">
        <v>298</v>
      </c>
      <c r="N20" s="292">
        <v>219</v>
      </c>
      <c r="O20" s="292">
        <v>127</v>
      </c>
      <c r="P20" s="292">
        <v>126</v>
      </c>
      <c r="Q20" s="292">
        <v>126</v>
      </c>
      <c r="R20" s="292">
        <v>119</v>
      </c>
      <c r="S20" s="292">
        <v>106</v>
      </c>
      <c r="T20" s="292">
        <v>82</v>
      </c>
      <c r="U20" s="292">
        <v>52</v>
      </c>
      <c r="V20" s="292">
        <v>16</v>
      </c>
      <c r="W20" s="292">
        <v>0</v>
      </c>
      <c r="X20" s="292">
        <v>0</v>
      </c>
      <c r="Y20" s="292">
        <v>0</v>
      </c>
      <c r="Z20" s="292">
        <v>0</v>
      </c>
      <c r="AA20" s="292">
        <v>0</v>
      </c>
      <c r="AB20" s="293">
        <v>0</v>
      </c>
    </row>
    <row r="21" spans="1:28" ht="15" customHeight="1">
      <c r="A21" s="266" t="s">
        <v>72</v>
      </c>
      <c r="B21" s="267" t="s">
        <v>173</v>
      </c>
      <c r="C21" s="268"/>
      <c r="D21" s="269"/>
      <c r="E21" s="285">
        <v>0</v>
      </c>
      <c r="F21" s="286">
        <v>0</v>
      </c>
      <c r="G21" s="286">
        <v>0</v>
      </c>
      <c r="H21" s="286">
        <v>0</v>
      </c>
      <c r="I21" s="286">
        <v>44</v>
      </c>
      <c r="J21" s="286">
        <v>169</v>
      </c>
      <c r="K21" s="286">
        <v>233</v>
      </c>
      <c r="L21" s="286">
        <v>273</v>
      </c>
      <c r="M21" s="286">
        <v>269</v>
      </c>
      <c r="N21" s="286">
        <v>227</v>
      </c>
      <c r="O21" s="286">
        <v>111</v>
      </c>
      <c r="P21" s="286">
        <v>5</v>
      </c>
      <c r="Q21" s="286">
        <v>0</v>
      </c>
      <c r="R21" s="286">
        <v>0</v>
      </c>
      <c r="S21" s="286">
        <v>0</v>
      </c>
      <c r="T21" s="286">
        <v>0</v>
      </c>
      <c r="U21" s="286">
        <v>0</v>
      </c>
      <c r="V21" s="286">
        <v>0</v>
      </c>
      <c r="W21" s="286">
        <v>0</v>
      </c>
      <c r="X21" s="286">
        <v>0</v>
      </c>
      <c r="Y21" s="286">
        <v>0</v>
      </c>
      <c r="Z21" s="286">
        <v>0</v>
      </c>
      <c r="AA21" s="286">
        <v>0</v>
      </c>
      <c r="AB21" s="287">
        <v>0</v>
      </c>
    </row>
    <row r="22" spans="1:28" ht="15" customHeight="1">
      <c r="A22" s="270"/>
      <c r="B22" s="271" t="s">
        <v>174</v>
      </c>
      <c r="C22" s="272"/>
      <c r="D22" s="273"/>
      <c r="E22" s="288">
        <v>1</v>
      </c>
      <c r="F22" s="289">
        <v>1</v>
      </c>
      <c r="G22" s="289">
        <v>1</v>
      </c>
      <c r="H22" s="289">
        <v>1</v>
      </c>
      <c r="I22" s="289">
        <v>1</v>
      </c>
      <c r="J22" s="289">
        <v>1</v>
      </c>
      <c r="K22" s="289">
        <v>1</v>
      </c>
      <c r="L22" s="289">
        <v>1</v>
      </c>
      <c r="M22" s="289">
        <v>1</v>
      </c>
      <c r="N22" s="289">
        <v>1</v>
      </c>
      <c r="O22" s="289">
        <v>1</v>
      </c>
      <c r="P22" s="289">
        <v>1</v>
      </c>
      <c r="Q22" s="289">
        <v>1</v>
      </c>
      <c r="R22" s="289">
        <v>1</v>
      </c>
      <c r="S22" s="289">
        <v>1</v>
      </c>
      <c r="T22" s="289">
        <v>1</v>
      </c>
      <c r="U22" s="289">
        <v>1</v>
      </c>
      <c r="V22" s="289">
        <v>1</v>
      </c>
      <c r="W22" s="289">
        <v>1</v>
      </c>
      <c r="X22" s="289">
        <v>1</v>
      </c>
      <c r="Y22" s="289">
        <v>1</v>
      </c>
      <c r="Z22" s="289">
        <v>1</v>
      </c>
      <c r="AA22" s="289">
        <v>1</v>
      </c>
      <c r="AB22" s="290">
        <v>1</v>
      </c>
    </row>
    <row r="23" spans="1:28" ht="15" customHeight="1" thickBot="1">
      <c r="A23" s="274"/>
      <c r="B23" s="275" t="s">
        <v>175</v>
      </c>
      <c r="C23" s="276"/>
      <c r="D23" s="277"/>
      <c r="E23" s="291">
        <v>0</v>
      </c>
      <c r="F23" s="292">
        <v>0</v>
      </c>
      <c r="G23" s="292">
        <v>0</v>
      </c>
      <c r="H23" s="292">
        <v>0</v>
      </c>
      <c r="I23" s="292">
        <v>50</v>
      </c>
      <c r="J23" s="292">
        <v>203</v>
      </c>
      <c r="K23" s="292">
        <v>300</v>
      </c>
      <c r="L23" s="292">
        <v>367</v>
      </c>
      <c r="M23" s="292">
        <v>385</v>
      </c>
      <c r="N23" s="292">
        <v>351</v>
      </c>
      <c r="O23" s="292">
        <v>237</v>
      </c>
      <c r="P23" s="292">
        <v>131</v>
      </c>
      <c r="Q23" s="292">
        <v>126</v>
      </c>
      <c r="R23" s="292">
        <v>119</v>
      </c>
      <c r="S23" s="292">
        <v>106</v>
      </c>
      <c r="T23" s="292">
        <v>82</v>
      </c>
      <c r="U23" s="292">
        <v>52</v>
      </c>
      <c r="V23" s="292">
        <v>16</v>
      </c>
      <c r="W23" s="292">
        <v>0</v>
      </c>
      <c r="X23" s="292">
        <v>0</v>
      </c>
      <c r="Y23" s="292">
        <v>0</v>
      </c>
      <c r="Z23" s="292">
        <v>0</v>
      </c>
      <c r="AA23" s="292">
        <v>0</v>
      </c>
      <c r="AB23" s="293">
        <v>0</v>
      </c>
    </row>
    <row r="24" spans="1:28" ht="15" customHeight="1">
      <c r="A24" s="266" t="s">
        <v>73</v>
      </c>
      <c r="B24" s="267" t="s">
        <v>173</v>
      </c>
      <c r="C24" s="268"/>
      <c r="D24" s="269"/>
      <c r="E24" s="285">
        <v>0</v>
      </c>
      <c r="F24" s="286">
        <v>0</v>
      </c>
      <c r="G24" s="286">
        <v>0</v>
      </c>
      <c r="H24" s="286">
        <v>0</v>
      </c>
      <c r="I24" s="286">
        <v>0</v>
      </c>
      <c r="J24" s="286">
        <v>8</v>
      </c>
      <c r="K24" s="286">
        <v>54</v>
      </c>
      <c r="L24" s="286">
        <v>112</v>
      </c>
      <c r="M24" s="286">
        <v>158</v>
      </c>
      <c r="N24" s="286">
        <v>187</v>
      </c>
      <c r="O24" s="286">
        <v>163</v>
      </c>
      <c r="P24" s="286">
        <v>103</v>
      </c>
      <c r="Q24" s="286">
        <v>33</v>
      </c>
      <c r="R24" s="286">
        <v>0</v>
      </c>
      <c r="S24" s="286">
        <v>0</v>
      </c>
      <c r="T24" s="286">
        <v>0</v>
      </c>
      <c r="U24" s="286">
        <v>0</v>
      </c>
      <c r="V24" s="286">
        <v>0</v>
      </c>
      <c r="W24" s="286">
        <v>0</v>
      </c>
      <c r="X24" s="286">
        <v>0</v>
      </c>
      <c r="Y24" s="286">
        <v>0</v>
      </c>
      <c r="Z24" s="286">
        <v>0</v>
      </c>
      <c r="AA24" s="286">
        <v>0</v>
      </c>
      <c r="AB24" s="287">
        <v>0</v>
      </c>
    </row>
    <row r="25" spans="1:28" ht="15" customHeight="1">
      <c r="A25" s="270"/>
      <c r="B25" s="271" t="s">
        <v>174</v>
      </c>
      <c r="C25" s="272"/>
      <c r="D25" s="273"/>
      <c r="E25" s="288">
        <v>1</v>
      </c>
      <c r="F25" s="289">
        <v>1</v>
      </c>
      <c r="G25" s="289">
        <v>1</v>
      </c>
      <c r="H25" s="289">
        <v>1</v>
      </c>
      <c r="I25" s="289">
        <v>1</v>
      </c>
      <c r="J25" s="289">
        <v>1</v>
      </c>
      <c r="K25" s="289">
        <v>1</v>
      </c>
      <c r="L25" s="289">
        <v>1</v>
      </c>
      <c r="M25" s="289">
        <v>1</v>
      </c>
      <c r="N25" s="289">
        <v>1</v>
      </c>
      <c r="O25" s="289">
        <v>1</v>
      </c>
      <c r="P25" s="289">
        <v>1</v>
      </c>
      <c r="Q25" s="289">
        <v>1</v>
      </c>
      <c r="R25" s="289">
        <v>1</v>
      </c>
      <c r="S25" s="289">
        <v>1</v>
      </c>
      <c r="T25" s="289">
        <v>1</v>
      </c>
      <c r="U25" s="289">
        <v>1</v>
      </c>
      <c r="V25" s="289">
        <v>1</v>
      </c>
      <c r="W25" s="289">
        <v>1</v>
      </c>
      <c r="X25" s="289">
        <v>1</v>
      </c>
      <c r="Y25" s="289">
        <v>1</v>
      </c>
      <c r="Z25" s="289">
        <v>1</v>
      </c>
      <c r="AA25" s="289">
        <v>1</v>
      </c>
      <c r="AB25" s="290">
        <v>1</v>
      </c>
    </row>
    <row r="26" spans="1:28" ht="15" customHeight="1" thickBot="1">
      <c r="A26" s="274"/>
      <c r="B26" s="275" t="s">
        <v>175</v>
      </c>
      <c r="C26" s="276"/>
      <c r="D26" s="277"/>
      <c r="E26" s="291">
        <v>0</v>
      </c>
      <c r="F26" s="292">
        <v>0</v>
      </c>
      <c r="G26" s="292">
        <v>0</v>
      </c>
      <c r="H26" s="292">
        <v>0</v>
      </c>
      <c r="I26" s="292">
        <v>6</v>
      </c>
      <c r="J26" s="292">
        <v>42</v>
      </c>
      <c r="K26" s="292">
        <v>121</v>
      </c>
      <c r="L26" s="292">
        <v>206</v>
      </c>
      <c r="M26" s="292">
        <v>274</v>
      </c>
      <c r="N26" s="292">
        <v>311</v>
      </c>
      <c r="O26" s="292">
        <v>289</v>
      </c>
      <c r="P26" s="292">
        <v>229</v>
      </c>
      <c r="Q26" s="292">
        <v>159</v>
      </c>
      <c r="R26" s="292">
        <v>119</v>
      </c>
      <c r="S26" s="292">
        <v>106</v>
      </c>
      <c r="T26" s="292">
        <v>82</v>
      </c>
      <c r="U26" s="292">
        <v>52</v>
      </c>
      <c r="V26" s="292">
        <v>16</v>
      </c>
      <c r="W26" s="292">
        <v>0</v>
      </c>
      <c r="X26" s="292">
        <v>0</v>
      </c>
      <c r="Y26" s="292">
        <v>0</v>
      </c>
      <c r="Z26" s="292">
        <v>0</v>
      </c>
      <c r="AA26" s="292">
        <v>0</v>
      </c>
      <c r="AB26" s="293">
        <v>0</v>
      </c>
    </row>
    <row r="27" spans="1:28" ht="15" customHeight="1">
      <c r="A27" s="266" t="s">
        <v>74</v>
      </c>
      <c r="B27" s="267" t="s">
        <v>173</v>
      </c>
      <c r="C27" s="268"/>
      <c r="D27" s="269"/>
      <c r="E27" s="285">
        <v>0</v>
      </c>
      <c r="F27" s="286">
        <v>0</v>
      </c>
      <c r="G27" s="286">
        <v>0</v>
      </c>
      <c r="H27" s="286">
        <v>0</v>
      </c>
      <c r="I27" s="286">
        <v>0</v>
      </c>
      <c r="J27" s="286">
        <v>0</v>
      </c>
      <c r="K27" s="286">
        <v>0</v>
      </c>
      <c r="L27" s="286">
        <v>0</v>
      </c>
      <c r="M27" s="286">
        <v>0</v>
      </c>
      <c r="N27" s="286">
        <v>5</v>
      </c>
      <c r="O27" s="286">
        <v>73</v>
      </c>
      <c r="P27" s="286">
        <v>139</v>
      </c>
      <c r="Q27" s="286">
        <v>172</v>
      </c>
      <c r="R27" s="286">
        <v>166</v>
      </c>
      <c r="S27" s="286">
        <v>124</v>
      </c>
      <c r="T27" s="286">
        <v>70</v>
      </c>
      <c r="U27" s="286">
        <v>24</v>
      </c>
      <c r="V27" s="286">
        <v>0</v>
      </c>
      <c r="W27" s="286">
        <v>0</v>
      </c>
      <c r="X27" s="286">
        <v>0</v>
      </c>
      <c r="Y27" s="286">
        <v>0</v>
      </c>
      <c r="Z27" s="286">
        <v>0</v>
      </c>
      <c r="AA27" s="286">
        <v>0</v>
      </c>
      <c r="AB27" s="287">
        <v>0</v>
      </c>
    </row>
    <row r="28" spans="1:28" ht="15" customHeight="1">
      <c r="A28" s="270"/>
      <c r="B28" s="271" t="s">
        <v>174</v>
      </c>
      <c r="C28" s="272"/>
      <c r="D28" s="273"/>
      <c r="E28" s="288">
        <v>1</v>
      </c>
      <c r="F28" s="289">
        <v>1</v>
      </c>
      <c r="G28" s="289">
        <v>1</v>
      </c>
      <c r="H28" s="289">
        <v>1</v>
      </c>
      <c r="I28" s="289">
        <v>1</v>
      </c>
      <c r="J28" s="289">
        <v>1</v>
      </c>
      <c r="K28" s="289">
        <v>1</v>
      </c>
      <c r="L28" s="289">
        <v>1</v>
      </c>
      <c r="M28" s="289">
        <v>1</v>
      </c>
      <c r="N28" s="289">
        <v>1</v>
      </c>
      <c r="O28" s="289">
        <v>1</v>
      </c>
      <c r="P28" s="289">
        <v>1</v>
      </c>
      <c r="Q28" s="289">
        <v>1</v>
      </c>
      <c r="R28" s="289">
        <v>1</v>
      </c>
      <c r="S28" s="289">
        <v>1</v>
      </c>
      <c r="T28" s="289">
        <v>1</v>
      </c>
      <c r="U28" s="289">
        <v>1</v>
      </c>
      <c r="V28" s="289">
        <v>1</v>
      </c>
      <c r="W28" s="289">
        <v>1</v>
      </c>
      <c r="X28" s="289">
        <v>1</v>
      </c>
      <c r="Y28" s="289">
        <v>1</v>
      </c>
      <c r="Z28" s="289">
        <v>1</v>
      </c>
      <c r="AA28" s="289">
        <v>1</v>
      </c>
      <c r="AB28" s="290">
        <v>1</v>
      </c>
    </row>
    <row r="29" spans="1:28" ht="15" customHeight="1" thickBot="1">
      <c r="A29" s="274"/>
      <c r="B29" s="275" t="s">
        <v>175</v>
      </c>
      <c r="C29" s="276"/>
      <c r="D29" s="277"/>
      <c r="E29" s="291">
        <v>0</v>
      </c>
      <c r="F29" s="292">
        <v>0</v>
      </c>
      <c r="G29" s="292">
        <v>0</v>
      </c>
      <c r="H29" s="292">
        <v>0</v>
      </c>
      <c r="I29" s="292">
        <v>6</v>
      </c>
      <c r="J29" s="292">
        <v>34</v>
      </c>
      <c r="K29" s="292">
        <v>67</v>
      </c>
      <c r="L29" s="292">
        <v>94</v>
      </c>
      <c r="M29" s="292">
        <v>116</v>
      </c>
      <c r="N29" s="292">
        <v>129</v>
      </c>
      <c r="O29" s="292">
        <v>199</v>
      </c>
      <c r="P29" s="292">
        <v>265</v>
      </c>
      <c r="Q29" s="292">
        <v>298</v>
      </c>
      <c r="R29" s="292">
        <v>285</v>
      </c>
      <c r="S29" s="292">
        <v>230</v>
      </c>
      <c r="T29" s="292">
        <v>152</v>
      </c>
      <c r="U29" s="292">
        <v>76</v>
      </c>
      <c r="V29" s="292">
        <v>16</v>
      </c>
      <c r="W29" s="292">
        <v>0</v>
      </c>
      <c r="X29" s="292">
        <v>0</v>
      </c>
      <c r="Y29" s="292">
        <v>0</v>
      </c>
      <c r="Z29" s="292">
        <v>0</v>
      </c>
      <c r="AA29" s="292">
        <v>0</v>
      </c>
      <c r="AB29" s="293">
        <v>0</v>
      </c>
    </row>
    <row r="30" spans="1:28" ht="15" customHeight="1">
      <c r="A30" s="266" t="s">
        <v>75</v>
      </c>
      <c r="B30" s="267" t="s">
        <v>173</v>
      </c>
      <c r="C30" s="268"/>
      <c r="D30" s="269"/>
      <c r="E30" s="285">
        <v>0</v>
      </c>
      <c r="F30" s="286">
        <v>0</v>
      </c>
      <c r="G30" s="286">
        <v>0</v>
      </c>
      <c r="H30" s="286">
        <v>0</v>
      </c>
      <c r="I30" s="286">
        <v>0</v>
      </c>
      <c r="J30" s="286">
        <v>0</v>
      </c>
      <c r="K30" s="286">
        <v>0</v>
      </c>
      <c r="L30" s="286">
        <v>0</v>
      </c>
      <c r="M30" s="286">
        <v>0</v>
      </c>
      <c r="N30" s="286">
        <v>0</v>
      </c>
      <c r="O30" s="286">
        <v>0</v>
      </c>
      <c r="P30" s="286">
        <v>52</v>
      </c>
      <c r="Q30" s="286">
        <v>187</v>
      </c>
      <c r="R30" s="286">
        <v>280</v>
      </c>
      <c r="S30" s="286">
        <v>297</v>
      </c>
      <c r="T30" s="286">
        <v>261</v>
      </c>
      <c r="U30" s="286">
        <v>200</v>
      </c>
      <c r="V30" s="286">
        <v>57</v>
      </c>
      <c r="W30" s="286">
        <v>0</v>
      </c>
      <c r="X30" s="286">
        <v>0</v>
      </c>
      <c r="Y30" s="286">
        <v>0</v>
      </c>
      <c r="Z30" s="286">
        <v>0</v>
      </c>
      <c r="AA30" s="286">
        <v>0</v>
      </c>
      <c r="AB30" s="287">
        <v>0</v>
      </c>
    </row>
    <row r="31" spans="1:28" ht="15" customHeight="1">
      <c r="A31" s="270"/>
      <c r="B31" s="271" t="s">
        <v>174</v>
      </c>
      <c r="C31" s="272"/>
      <c r="D31" s="273"/>
      <c r="E31" s="288">
        <v>1</v>
      </c>
      <c r="F31" s="289">
        <v>1</v>
      </c>
      <c r="G31" s="289">
        <v>1</v>
      </c>
      <c r="H31" s="289">
        <v>1</v>
      </c>
      <c r="I31" s="289">
        <v>1</v>
      </c>
      <c r="J31" s="289">
        <v>1</v>
      </c>
      <c r="K31" s="289">
        <v>1</v>
      </c>
      <c r="L31" s="289">
        <v>1</v>
      </c>
      <c r="M31" s="289">
        <v>1</v>
      </c>
      <c r="N31" s="289">
        <v>1</v>
      </c>
      <c r="O31" s="289">
        <v>1</v>
      </c>
      <c r="P31" s="289">
        <v>1</v>
      </c>
      <c r="Q31" s="289">
        <v>1</v>
      </c>
      <c r="R31" s="289">
        <v>1</v>
      </c>
      <c r="S31" s="289">
        <v>1</v>
      </c>
      <c r="T31" s="289">
        <v>1</v>
      </c>
      <c r="U31" s="289">
        <v>1</v>
      </c>
      <c r="V31" s="289">
        <v>1</v>
      </c>
      <c r="W31" s="289">
        <v>1</v>
      </c>
      <c r="X31" s="289">
        <v>1</v>
      </c>
      <c r="Y31" s="289">
        <v>1</v>
      </c>
      <c r="Z31" s="289">
        <v>1</v>
      </c>
      <c r="AA31" s="289">
        <v>1</v>
      </c>
      <c r="AB31" s="290">
        <v>1</v>
      </c>
    </row>
    <row r="32" spans="1:28" ht="15" customHeight="1" thickBot="1">
      <c r="A32" s="274"/>
      <c r="B32" s="275" t="s">
        <v>175</v>
      </c>
      <c r="C32" s="276"/>
      <c r="D32" s="277"/>
      <c r="E32" s="291">
        <v>0</v>
      </c>
      <c r="F32" s="292">
        <v>0</v>
      </c>
      <c r="G32" s="292">
        <v>0</v>
      </c>
      <c r="H32" s="292">
        <v>0</v>
      </c>
      <c r="I32" s="292">
        <v>6</v>
      </c>
      <c r="J32" s="292">
        <v>34</v>
      </c>
      <c r="K32" s="292">
        <v>67</v>
      </c>
      <c r="L32" s="292">
        <v>94</v>
      </c>
      <c r="M32" s="292">
        <v>116</v>
      </c>
      <c r="N32" s="292">
        <v>124</v>
      </c>
      <c r="O32" s="292">
        <v>126</v>
      </c>
      <c r="P32" s="292">
        <v>178</v>
      </c>
      <c r="Q32" s="292">
        <v>313</v>
      </c>
      <c r="R32" s="292">
        <v>399</v>
      </c>
      <c r="S32" s="292">
        <v>403</v>
      </c>
      <c r="T32" s="292">
        <v>343</v>
      </c>
      <c r="U32" s="292">
        <v>252</v>
      </c>
      <c r="V32" s="292">
        <v>73</v>
      </c>
      <c r="W32" s="292">
        <v>0</v>
      </c>
      <c r="X32" s="292">
        <v>0</v>
      </c>
      <c r="Y32" s="292">
        <v>0</v>
      </c>
      <c r="Z32" s="292">
        <v>0</v>
      </c>
      <c r="AA32" s="292">
        <v>0</v>
      </c>
      <c r="AB32" s="293">
        <v>0</v>
      </c>
    </row>
    <row r="33" spans="1:28" ht="15" customHeight="1">
      <c r="A33" s="266" t="s">
        <v>76</v>
      </c>
      <c r="B33" s="267" t="s">
        <v>173</v>
      </c>
      <c r="C33" s="268"/>
      <c r="D33" s="269"/>
      <c r="E33" s="285">
        <v>0</v>
      </c>
      <c r="F33" s="286">
        <v>0</v>
      </c>
      <c r="G33" s="286">
        <v>0</v>
      </c>
      <c r="H33" s="286">
        <v>0</v>
      </c>
      <c r="I33" s="286">
        <v>0</v>
      </c>
      <c r="J33" s="286">
        <v>0</v>
      </c>
      <c r="K33" s="286">
        <v>0</v>
      </c>
      <c r="L33" s="286">
        <v>0</v>
      </c>
      <c r="M33" s="286">
        <v>0</v>
      </c>
      <c r="N33" s="286">
        <v>0</v>
      </c>
      <c r="O33" s="286">
        <v>0</v>
      </c>
      <c r="P33" s="286">
        <v>0</v>
      </c>
      <c r="Q33" s="286">
        <v>44</v>
      </c>
      <c r="R33" s="286">
        <v>184</v>
      </c>
      <c r="S33" s="286">
        <v>272</v>
      </c>
      <c r="T33" s="286">
        <v>285</v>
      </c>
      <c r="U33" s="286">
        <v>254</v>
      </c>
      <c r="V33" s="286">
        <v>84</v>
      </c>
      <c r="W33" s="286">
        <v>0</v>
      </c>
      <c r="X33" s="286">
        <v>0</v>
      </c>
      <c r="Y33" s="286">
        <v>0</v>
      </c>
      <c r="Z33" s="286">
        <v>0</v>
      </c>
      <c r="AA33" s="286">
        <v>0</v>
      </c>
      <c r="AB33" s="287">
        <v>0</v>
      </c>
    </row>
    <row r="34" spans="1:28" ht="15" customHeight="1">
      <c r="A34" s="270"/>
      <c r="B34" s="271" t="s">
        <v>174</v>
      </c>
      <c r="C34" s="272"/>
      <c r="D34" s="273"/>
      <c r="E34" s="288">
        <v>1</v>
      </c>
      <c r="F34" s="289">
        <v>1</v>
      </c>
      <c r="G34" s="289">
        <v>1</v>
      </c>
      <c r="H34" s="289">
        <v>1</v>
      </c>
      <c r="I34" s="289">
        <v>1</v>
      </c>
      <c r="J34" s="289">
        <v>1</v>
      </c>
      <c r="K34" s="289">
        <v>1</v>
      </c>
      <c r="L34" s="289">
        <v>1</v>
      </c>
      <c r="M34" s="289">
        <v>1</v>
      </c>
      <c r="N34" s="289">
        <v>1</v>
      </c>
      <c r="O34" s="289">
        <v>1</v>
      </c>
      <c r="P34" s="289">
        <v>1</v>
      </c>
      <c r="Q34" s="289">
        <v>1</v>
      </c>
      <c r="R34" s="289">
        <v>1</v>
      </c>
      <c r="S34" s="289">
        <v>1</v>
      </c>
      <c r="T34" s="289">
        <v>1</v>
      </c>
      <c r="U34" s="289">
        <v>1</v>
      </c>
      <c r="V34" s="289">
        <v>1</v>
      </c>
      <c r="W34" s="289">
        <v>1</v>
      </c>
      <c r="X34" s="289">
        <v>1</v>
      </c>
      <c r="Y34" s="289">
        <v>1</v>
      </c>
      <c r="Z34" s="289">
        <v>1</v>
      </c>
      <c r="AA34" s="289">
        <v>1</v>
      </c>
      <c r="AB34" s="290">
        <v>1</v>
      </c>
    </row>
    <row r="35" spans="1:28" ht="15" customHeight="1" thickBot="1">
      <c r="A35" s="274"/>
      <c r="B35" s="275" t="s">
        <v>175</v>
      </c>
      <c r="C35" s="276"/>
      <c r="D35" s="277"/>
      <c r="E35" s="291">
        <v>0</v>
      </c>
      <c r="F35" s="292">
        <v>0</v>
      </c>
      <c r="G35" s="292">
        <v>0</v>
      </c>
      <c r="H35" s="292">
        <v>0</v>
      </c>
      <c r="I35" s="292">
        <v>6</v>
      </c>
      <c r="J35" s="292">
        <v>34</v>
      </c>
      <c r="K35" s="292">
        <v>67</v>
      </c>
      <c r="L35" s="292">
        <v>94</v>
      </c>
      <c r="M35" s="292">
        <v>116</v>
      </c>
      <c r="N35" s="292">
        <v>124</v>
      </c>
      <c r="O35" s="292">
        <v>126</v>
      </c>
      <c r="P35" s="292">
        <v>126</v>
      </c>
      <c r="Q35" s="292">
        <v>170</v>
      </c>
      <c r="R35" s="292">
        <v>303</v>
      </c>
      <c r="S35" s="292">
        <v>378</v>
      </c>
      <c r="T35" s="292">
        <v>367</v>
      </c>
      <c r="U35" s="292">
        <v>306</v>
      </c>
      <c r="V35" s="292">
        <v>100</v>
      </c>
      <c r="W35" s="292">
        <v>0</v>
      </c>
      <c r="X35" s="292">
        <v>0</v>
      </c>
      <c r="Y35" s="292">
        <v>0</v>
      </c>
      <c r="Z35" s="292">
        <v>0</v>
      </c>
      <c r="AA35" s="292">
        <v>0</v>
      </c>
      <c r="AB35" s="293">
        <v>0</v>
      </c>
    </row>
    <row r="36" spans="1:28" ht="15" customHeight="1">
      <c r="A36" s="278" t="s">
        <v>77</v>
      </c>
      <c r="B36" s="267" t="s">
        <v>173</v>
      </c>
      <c r="C36" s="268"/>
      <c r="D36" s="269"/>
      <c r="E36" s="285">
        <v>0</v>
      </c>
      <c r="F36" s="286">
        <v>0</v>
      </c>
      <c r="G36" s="286">
        <v>0</v>
      </c>
      <c r="H36" s="286">
        <v>0</v>
      </c>
      <c r="I36" s="286">
        <v>0</v>
      </c>
      <c r="J36" s="286">
        <v>0</v>
      </c>
      <c r="K36" s="286">
        <v>0</v>
      </c>
      <c r="L36" s="286">
        <v>0</v>
      </c>
      <c r="M36" s="286">
        <v>0</v>
      </c>
      <c r="N36" s="286">
        <v>0</v>
      </c>
      <c r="O36" s="286">
        <v>0</v>
      </c>
      <c r="P36" s="286">
        <v>0</v>
      </c>
      <c r="Q36" s="286">
        <v>0</v>
      </c>
      <c r="R36" s="286">
        <v>0</v>
      </c>
      <c r="S36" s="286">
        <v>21</v>
      </c>
      <c r="T36" s="286">
        <v>87</v>
      </c>
      <c r="U36" s="286">
        <v>129</v>
      </c>
      <c r="V36" s="286">
        <v>56</v>
      </c>
      <c r="W36" s="286">
        <v>0</v>
      </c>
      <c r="X36" s="286">
        <v>0</v>
      </c>
      <c r="Y36" s="286">
        <v>0</v>
      </c>
      <c r="Z36" s="286">
        <v>0</v>
      </c>
      <c r="AA36" s="286">
        <v>0</v>
      </c>
      <c r="AB36" s="287">
        <v>0</v>
      </c>
    </row>
    <row r="37" spans="1:28" ht="15" customHeight="1">
      <c r="A37" s="279"/>
      <c r="B37" s="271" t="s">
        <v>174</v>
      </c>
      <c r="C37" s="272"/>
      <c r="D37" s="273"/>
      <c r="E37" s="288">
        <v>1</v>
      </c>
      <c r="F37" s="289">
        <v>1</v>
      </c>
      <c r="G37" s="289">
        <v>1</v>
      </c>
      <c r="H37" s="289">
        <v>1</v>
      </c>
      <c r="I37" s="289">
        <v>1</v>
      </c>
      <c r="J37" s="289">
        <v>1</v>
      </c>
      <c r="K37" s="289">
        <v>1</v>
      </c>
      <c r="L37" s="289">
        <v>1</v>
      </c>
      <c r="M37" s="289">
        <v>1</v>
      </c>
      <c r="N37" s="289">
        <v>1</v>
      </c>
      <c r="O37" s="289">
        <v>1</v>
      </c>
      <c r="P37" s="289">
        <v>1</v>
      </c>
      <c r="Q37" s="289">
        <v>1</v>
      </c>
      <c r="R37" s="289">
        <v>1</v>
      </c>
      <c r="S37" s="289">
        <v>1</v>
      </c>
      <c r="T37" s="289">
        <v>1</v>
      </c>
      <c r="U37" s="289">
        <v>1</v>
      </c>
      <c r="V37" s="289">
        <v>1</v>
      </c>
      <c r="W37" s="289">
        <v>1</v>
      </c>
      <c r="X37" s="289">
        <v>1</v>
      </c>
      <c r="Y37" s="289">
        <v>1</v>
      </c>
      <c r="Z37" s="289">
        <v>1</v>
      </c>
      <c r="AA37" s="289">
        <v>1</v>
      </c>
      <c r="AB37" s="290">
        <v>1</v>
      </c>
    </row>
    <row r="38" spans="1:28" ht="15" customHeight="1" thickBot="1">
      <c r="A38" s="280"/>
      <c r="B38" s="275" t="s">
        <v>175</v>
      </c>
      <c r="C38" s="276"/>
      <c r="D38" s="277"/>
      <c r="E38" s="291">
        <v>0</v>
      </c>
      <c r="F38" s="292">
        <v>0</v>
      </c>
      <c r="G38" s="292">
        <v>0</v>
      </c>
      <c r="H38" s="292">
        <v>0</v>
      </c>
      <c r="I38" s="292">
        <v>6</v>
      </c>
      <c r="J38" s="292">
        <v>34</v>
      </c>
      <c r="K38" s="292">
        <v>67</v>
      </c>
      <c r="L38" s="292">
        <v>94</v>
      </c>
      <c r="M38" s="292">
        <v>116</v>
      </c>
      <c r="N38" s="292">
        <v>124</v>
      </c>
      <c r="O38" s="292">
        <v>126</v>
      </c>
      <c r="P38" s="292">
        <v>126</v>
      </c>
      <c r="Q38" s="292">
        <v>126</v>
      </c>
      <c r="R38" s="292">
        <v>119</v>
      </c>
      <c r="S38" s="292">
        <v>127</v>
      </c>
      <c r="T38" s="292">
        <v>169</v>
      </c>
      <c r="U38" s="292">
        <v>181</v>
      </c>
      <c r="V38" s="292">
        <v>72</v>
      </c>
      <c r="W38" s="292">
        <v>0</v>
      </c>
      <c r="X38" s="292">
        <v>0</v>
      </c>
      <c r="Y38" s="292">
        <v>0</v>
      </c>
      <c r="Z38" s="292">
        <v>0</v>
      </c>
      <c r="AA38" s="292">
        <v>0</v>
      </c>
      <c r="AB38" s="293">
        <v>0</v>
      </c>
    </row>
    <row r="39" spans="1:28" ht="15" customHeight="1">
      <c r="A39" s="281" t="s">
        <v>35</v>
      </c>
      <c r="AB39" s="147"/>
    </row>
    <row r="40" spans="1:28" ht="15" customHeight="1">
      <c r="A40" s="247"/>
      <c r="B40" s="248"/>
      <c r="C40" s="249"/>
      <c r="D40" s="250"/>
      <c r="E40" s="149">
        <v>1</v>
      </c>
      <c r="F40" s="150">
        <v>2</v>
      </c>
      <c r="G40" s="150">
        <v>3</v>
      </c>
      <c r="H40" s="150">
        <v>4</v>
      </c>
      <c r="I40" s="150">
        <v>5</v>
      </c>
      <c r="J40" s="150">
        <v>6</v>
      </c>
      <c r="K40" s="150">
        <v>7</v>
      </c>
      <c r="L40" s="150">
        <v>8</v>
      </c>
      <c r="M40" s="150">
        <v>9</v>
      </c>
      <c r="N40" s="150">
        <v>10</v>
      </c>
      <c r="O40" s="150">
        <v>11</v>
      </c>
      <c r="P40" s="150">
        <v>12</v>
      </c>
      <c r="Q40" s="150">
        <v>13</v>
      </c>
      <c r="R40" s="150">
        <v>14</v>
      </c>
      <c r="S40" s="150">
        <v>15</v>
      </c>
      <c r="T40" s="150">
        <v>16</v>
      </c>
      <c r="U40" s="150">
        <v>17</v>
      </c>
      <c r="V40" s="150">
        <v>18</v>
      </c>
      <c r="W40" s="152">
        <v>19</v>
      </c>
      <c r="X40" s="152">
        <v>20</v>
      </c>
      <c r="Y40" s="152">
        <v>21</v>
      </c>
      <c r="Z40" s="152">
        <v>22</v>
      </c>
      <c r="AA40" s="152">
        <v>23</v>
      </c>
      <c r="AB40" s="153">
        <v>24</v>
      </c>
    </row>
    <row r="41" spans="1:28" ht="15" customHeight="1" thickBot="1">
      <c r="A41" s="251" t="s">
        <v>176</v>
      </c>
      <c r="B41" s="252" t="s">
        <v>169</v>
      </c>
      <c r="C41" s="253"/>
      <c r="D41" s="254"/>
      <c r="E41" s="256">
        <v>0</v>
      </c>
      <c r="F41" s="256">
        <v>0</v>
      </c>
      <c r="G41" s="256">
        <v>0</v>
      </c>
      <c r="H41" s="256">
        <v>0</v>
      </c>
      <c r="I41" s="256">
        <v>9</v>
      </c>
      <c r="J41" s="256">
        <v>58</v>
      </c>
      <c r="K41" s="256">
        <v>102</v>
      </c>
      <c r="L41" s="256">
        <v>136</v>
      </c>
      <c r="M41" s="256">
        <v>174</v>
      </c>
      <c r="N41" s="256">
        <v>216</v>
      </c>
      <c r="O41" s="256">
        <v>247</v>
      </c>
      <c r="P41" s="256">
        <v>252</v>
      </c>
      <c r="Q41" s="256">
        <v>238</v>
      </c>
      <c r="R41" s="256">
        <v>207</v>
      </c>
      <c r="S41" s="256">
        <v>167</v>
      </c>
      <c r="T41" s="256">
        <v>125</v>
      </c>
      <c r="U41" s="256">
        <v>82</v>
      </c>
      <c r="V41" s="256">
        <v>33</v>
      </c>
      <c r="W41" s="256">
        <v>2</v>
      </c>
      <c r="X41" s="256">
        <v>0</v>
      </c>
      <c r="Y41" s="256">
        <v>0</v>
      </c>
      <c r="Z41" s="256">
        <v>0</v>
      </c>
      <c r="AA41" s="256">
        <v>0</v>
      </c>
      <c r="AB41" s="257">
        <v>0</v>
      </c>
    </row>
    <row r="42" spans="1:28" ht="15" customHeight="1" thickBot="1">
      <c r="A42" s="258" t="s">
        <v>170</v>
      </c>
      <c r="B42" s="259" t="s">
        <v>171</v>
      </c>
      <c r="C42" s="260"/>
      <c r="D42" s="261"/>
      <c r="E42" s="263">
        <v>0</v>
      </c>
      <c r="F42" s="263">
        <v>0</v>
      </c>
      <c r="G42" s="263">
        <v>0</v>
      </c>
      <c r="H42" s="263">
        <v>0</v>
      </c>
      <c r="I42" s="263">
        <v>5</v>
      </c>
      <c r="J42" s="263">
        <v>36</v>
      </c>
      <c r="K42" s="263">
        <v>64</v>
      </c>
      <c r="L42" s="263">
        <v>85</v>
      </c>
      <c r="M42" s="263">
        <v>102</v>
      </c>
      <c r="N42" s="263">
        <v>115</v>
      </c>
      <c r="O42" s="263">
        <v>120</v>
      </c>
      <c r="P42" s="263">
        <v>120</v>
      </c>
      <c r="Q42" s="263">
        <v>119</v>
      </c>
      <c r="R42" s="263">
        <v>112</v>
      </c>
      <c r="S42" s="263">
        <v>97</v>
      </c>
      <c r="T42" s="263">
        <v>76</v>
      </c>
      <c r="U42" s="263">
        <v>51</v>
      </c>
      <c r="V42" s="263">
        <v>19</v>
      </c>
      <c r="W42" s="263">
        <v>1</v>
      </c>
      <c r="X42" s="263">
        <v>0</v>
      </c>
      <c r="Y42" s="263">
        <v>0</v>
      </c>
      <c r="Z42" s="263">
        <v>0</v>
      </c>
      <c r="AA42" s="263">
        <v>0</v>
      </c>
      <c r="AB42" s="264">
        <v>0</v>
      </c>
    </row>
    <row r="43" spans="1:28" ht="15" customHeight="1" thickBot="1">
      <c r="A43" s="265" t="s">
        <v>69</v>
      </c>
      <c r="B43" s="259" t="s">
        <v>172</v>
      </c>
      <c r="C43" s="260"/>
      <c r="D43" s="261"/>
      <c r="E43" s="263">
        <v>0</v>
      </c>
      <c r="F43" s="263">
        <v>0</v>
      </c>
      <c r="G43" s="263">
        <v>0</v>
      </c>
      <c r="H43" s="263">
        <v>0</v>
      </c>
      <c r="I43" s="263">
        <v>9</v>
      </c>
      <c r="J43" s="263">
        <v>99</v>
      </c>
      <c r="K43" s="263">
        <v>249</v>
      </c>
      <c r="L43" s="263">
        <v>409</v>
      </c>
      <c r="M43" s="263">
        <v>539</v>
      </c>
      <c r="N43" s="263">
        <v>627</v>
      </c>
      <c r="O43" s="263">
        <v>670</v>
      </c>
      <c r="P43" s="263">
        <v>682</v>
      </c>
      <c r="Q43" s="263">
        <v>649</v>
      </c>
      <c r="R43" s="263">
        <v>576</v>
      </c>
      <c r="S43" s="263">
        <v>469</v>
      </c>
      <c r="T43" s="263">
        <v>325</v>
      </c>
      <c r="U43" s="263">
        <v>171</v>
      </c>
      <c r="V43" s="263">
        <v>41</v>
      </c>
      <c r="W43" s="263">
        <v>2</v>
      </c>
      <c r="X43" s="263">
        <v>0</v>
      </c>
      <c r="Y43" s="263">
        <v>0</v>
      </c>
      <c r="Z43" s="263">
        <v>0</v>
      </c>
      <c r="AA43" s="263">
        <v>0</v>
      </c>
      <c r="AB43" s="264">
        <v>0</v>
      </c>
    </row>
    <row r="44" spans="1:28" ht="15" customHeight="1">
      <c r="A44" s="266" t="s">
        <v>70</v>
      </c>
      <c r="B44" s="267" t="s">
        <v>173</v>
      </c>
      <c r="C44" s="268"/>
      <c r="D44" s="269"/>
      <c r="E44" s="286">
        <v>0</v>
      </c>
      <c r="F44" s="286">
        <v>0</v>
      </c>
      <c r="G44" s="286">
        <v>0</v>
      </c>
      <c r="H44" s="286">
        <v>0</v>
      </c>
      <c r="I44" s="286">
        <v>43</v>
      </c>
      <c r="J44" s="286">
        <v>154</v>
      </c>
      <c r="K44" s="286">
        <v>133</v>
      </c>
      <c r="L44" s="286">
        <v>63</v>
      </c>
      <c r="M44" s="286">
        <v>0</v>
      </c>
      <c r="N44" s="286">
        <v>0</v>
      </c>
      <c r="O44" s="286">
        <v>0</v>
      </c>
      <c r="P44" s="286">
        <v>0</v>
      </c>
      <c r="Q44" s="286">
        <v>0</v>
      </c>
      <c r="R44" s="286">
        <v>0</v>
      </c>
      <c r="S44" s="286">
        <v>0</v>
      </c>
      <c r="T44" s="286">
        <v>0</v>
      </c>
      <c r="U44" s="286">
        <v>0</v>
      </c>
      <c r="V44" s="286">
        <v>0</v>
      </c>
      <c r="W44" s="286">
        <v>0</v>
      </c>
      <c r="X44" s="286">
        <v>0</v>
      </c>
      <c r="Y44" s="286">
        <v>0</v>
      </c>
      <c r="Z44" s="286">
        <v>0</v>
      </c>
      <c r="AA44" s="286">
        <v>0</v>
      </c>
      <c r="AB44" s="287">
        <v>0</v>
      </c>
    </row>
    <row r="45" spans="1:28" ht="15" customHeight="1">
      <c r="A45" s="270"/>
      <c r="B45" s="271" t="s">
        <v>174</v>
      </c>
      <c r="C45" s="272"/>
      <c r="D45" s="273"/>
      <c r="E45" s="289">
        <v>1</v>
      </c>
      <c r="F45" s="289">
        <v>1</v>
      </c>
      <c r="G45" s="289">
        <v>1</v>
      </c>
      <c r="H45" s="289">
        <v>1</v>
      </c>
      <c r="I45" s="289">
        <v>1</v>
      </c>
      <c r="J45" s="289">
        <v>1</v>
      </c>
      <c r="K45" s="289">
        <v>1</v>
      </c>
      <c r="L45" s="289">
        <v>1</v>
      </c>
      <c r="M45" s="289">
        <v>1</v>
      </c>
      <c r="N45" s="289">
        <v>1</v>
      </c>
      <c r="O45" s="289">
        <v>1</v>
      </c>
      <c r="P45" s="289">
        <v>1</v>
      </c>
      <c r="Q45" s="289">
        <v>1</v>
      </c>
      <c r="R45" s="289">
        <v>1</v>
      </c>
      <c r="S45" s="289">
        <v>1</v>
      </c>
      <c r="T45" s="289">
        <v>1</v>
      </c>
      <c r="U45" s="289">
        <v>1</v>
      </c>
      <c r="V45" s="289">
        <v>1</v>
      </c>
      <c r="W45" s="289">
        <v>1</v>
      </c>
      <c r="X45" s="289">
        <v>1</v>
      </c>
      <c r="Y45" s="289">
        <v>1</v>
      </c>
      <c r="Z45" s="289">
        <v>1</v>
      </c>
      <c r="AA45" s="289">
        <v>1</v>
      </c>
      <c r="AB45" s="290">
        <v>1</v>
      </c>
    </row>
    <row r="46" spans="1:28" ht="15" customHeight="1" thickBot="1">
      <c r="A46" s="274"/>
      <c r="B46" s="275" t="s">
        <v>175</v>
      </c>
      <c r="C46" s="276"/>
      <c r="D46" s="277"/>
      <c r="E46" s="292">
        <v>0</v>
      </c>
      <c r="F46" s="292">
        <v>0</v>
      </c>
      <c r="G46" s="292">
        <v>0</v>
      </c>
      <c r="H46" s="292">
        <v>0</v>
      </c>
      <c r="I46" s="292">
        <v>49</v>
      </c>
      <c r="J46" s="292">
        <v>190</v>
      </c>
      <c r="K46" s="292">
        <v>197</v>
      </c>
      <c r="L46" s="292">
        <v>148</v>
      </c>
      <c r="M46" s="292">
        <v>103</v>
      </c>
      <c r="N46" s="292">
        <v>115</v>
      </c>
      <c r="O46" s="292">
        <v>120</v>
      </c>
      <c r="P46" s="292">
        <v>121</v>
      </c>
      <c r="Q46" s="292">
        <v>119</v>
      </c>
      <c r="R46" s="292">
        <v>112</v>
      </c>
      <c r="S46" s="292">
        <v>97</v>
      </c>
      <c r="T46" s="292">
        <v>77</v>
      </c>
      <c r="U46" s="292">
        <v>52</v>
      </c>
      <c r="V46" s="292">
        <v>19</v>
      </c>
      <c r="W46" s="292">
        <v>2</v>
      </c>
      <c r="X46" s="292">
        <v>0</v>
      </c>
      <c r="Y46" s="292">
        <v>0</v>
      </c>
      <c r="Z46" s="292">
        <v>0</v>
      </c>
      <c r="AA46" s="292">
        <v>0</v>
      </c>
      <c r="AB46" s="293">
        <v>0</v>
      </c>
    </row>
    <row r="47" spans="1:28" ht="15" customHeight="1">
      <c r="A47" s="266" t="s">
        <v>71</v>
      </c>
      <c r="B47" s="267" t="s">
        <v>173</v>
      </c>
      <c r="C47" s="268"/>
      <c r="D47" s="269"/>
      <c r="E47" s="286">
        <v>0</v>
      </c>
      <c r="F47" s="286">
        <v>0</v>
      </c>
      <c r="G47" s="286">
        <v>0</v>
      </c>
      <c r="H47" s="286">
        <v>0</v>
      </c>
      <c r="I47" s="286">
        <v>74</v>
      </c>
      <c r="J47" s="286">
        <v>331</v>
      </c>
      <c r="K47" s="286">
        <v>402</v>
      </c>
      <c r="L47" s="286">
        <v>374</v>
      </c>
      <c r="M47" s="286">
        <v>269</v>
      </c>
      <c r="N47" s="286">
        <v>115</v>
      </c>
      <c r="O47" s="286">
        <v>1</v>
      </c>
      <c r="P47" s="286">
        <v>0</v>
      </c>
      <c r="Q47" s="286">
        <v>0</v>
      </c>
      <c r="R47" s="286">
        <v>0</v>
      </c>
      <c r="S47" s="286">
        <v>0</v>
      </c>
      <c r="T47" s="286">
        <v>0</v>
      </c>
      <c r="U47" s="286">
        <v>0</v>
      </c>
      <c r="V47" s="286">
        <v>0</v>
      </c>
      <c r="W47" s="286">
        <v>0</v>
      </c>
      <c r="X47" s="286">
        <v>0</v>
      </c>
      <c r="Y47" s="286">
        <v>0</v>
      </c>
      <c r="Z47" s="286">
        <v>0</v>
      </c>
      <c r="AA47" s="286">
        <v>0</v>
      </c>
      <c r="AB47" s="287">
        <v>0</v>
      </c>
    </row>
    <row r="48" spans="1:28" ht="15" customHeight="1">
      <c r="A48" s="270"/>
      <c r="B48" s="271" t="s">
        <v>174</v>
      </c>
      <c r="C48" s="272"/>
      <c r="D48" s="273"/>
      <c r="E48" s="289">
        <v>1</v>
      </c>
      <c r="F48" s="289">
        <v>1</v>
      </c>
      <c r="G48" s="289">
        <v>1</v>
      </c>
      <c r="H48" s="289">
        <v>1</v>
      </c>
      <c r="I48" s="289">
        <v>1</v>
      </c>
      <c r="J48" s="289">
        <v>1</v>
      </c>
      <c r="K48" s="289">
        <v>1</v>
      </c>
      <c r="L48" s="289">
        <v>1</v>
      </c>
      <c r="M48" s="289">
        <v>1</v>
      </c>
      <c r="N48" s="289">
        <v>1</v>
      </c>
      <c r="O48" s="289">
        <v>1</v>
      </c>
      <c r="P48" s="289">
        <v>1</v>
      </c>
      <c r="Q48" s="289">
        <v>1</v>
      </c>
      <c r="R48" s="289">
        <v>1</v>
      </c>
      <c r="S48" s="289">
        <v>1</v>
      </c>
      <c r="T48" s="289">
        <v>1</v>
      </c>
      <c r="U48" s="289">
        <v>1</v>
      </c>
      <c r="V48" s="289">
        <v>1</v>
      </c>
      <c r="W48" s="289">
        <v>1</v>
      </c>
      <c r="X48" s="289">
        <v>1</v>
      </c>
      <c r="Y48" s="289">
        <v>1</v>
      </c>
      <c r="Z48" s="289">
        <v>1</v>
      </c>
      <c r="AA48" s="289">
        <v>1</v>
      </c>
      <c r="AB48" s="290">
        <v>1</v>
      </c>
    </row>
    <row r="49" spans="1:28" ht="15" customHeight="1" thickBot="1">
      <c r="A49" s="274"/>
      <c r="B49" s="275" t="s">
        <v>175</v>
      </c>
      <c r="C49" s="276"/>
      <c r="D49" s="277"/>
      <c r="E49" s="292">
        <v>0</v>
      </c>
      <c r="F49" s="292">
        <v>0</v>
      </c>
      <c r="G49" s="292">
        <v>0</v>
      </c>
      <c r="H49" s="292">
        <v>0</v>
      </c>
      <c r="I49" s="292">
        <v>80</v>
      </c>
      <c r="J49" s="292">
        <v>367</v>
      </c>
      <c r="K49" s="292">
        <v>466</v>
      </c>
      <c r="L49" s="292">
        <v>459</v>
      </c>
      <c r="M49" s="292">
        <v>372</v>
      </c>
      <c r="N49" s="292">
        <v>230</v>
      </c>
      <c r="O49" s="292">
        <v>121</v>
      </c>
      <c r="P49" s="292">
        <v>121</v>
      </c>
      <c r="Q49" s="292">
        <v>119</v>
      </c>
      <c r="R49" s="292">
        <v>112</v>
      </c>
      <c r="S49" s="292">
        <v>97</v>
      </c>
      <c r="T49" s="292">
        <v>77</v>
      </c>
      <c r="U49" s="292">
        <v>52</v>
      </c>
      <c r="V49" s="292">
        <v>19</v>
      </c>
      <c r="W49" s="292">
        <v>2</v>
      </c>
      <c r="X49" s="292">
        <v>0</v>
      </c>
      <c r="Y49" s="292">
        <v>0</v>
      </c>
      <c r="Z49" s="292">
        <v>0</v>
      </c>
      <c r="AA49" s="292">
        <v>0</v>
      </c>
      <c r="AB49" s="293">
        <v>0</v>
      </c>
    </row>
    <row r="50" spans="1:28" ht="15" customHeight="1">
      <c r="A50" s="266" t="s">
        <v>72</v>
      </c>
      <c r="B50" s="267" t="s">
        <v>173</v>
      </c>
      <c r="C50" s="268"/>
      <c r="D50" s="269"/>
      <c r="E50" s="286">
        <v>0</v>
      </c>
      <c r="F50" s="286">
        <v>0</v>
      </c>
      <c r="G50" s="286">
        <v>0</v>
      </c>
      <c r="H50" s="286">
        <v>0</v>
      </c>
      <c r="I50" s="286">
        <v>57</v>
      </c>
      <c r="J50" s="286">
        <v>298</v>
      </c>
      <c r="K50" s="286">
        <v>414</v>
      </c>
      <c r="L50" s="286">
        <v>447</v>
      </c>
      <c r="M50" s="286">
        <v>398</v>
      </c>
      <c r="N50" s="286">
        <v>275</v>
      </c>
      <c r="O50" s="286">
        <v>126</v>
      </c>
      <c r="P50" s="286">
        <v>6</v>
      </c>
      <c r="Q50" s="286">
        <v>0</v>
      </c>
      <c r="R50" s="286">
        <v>0</v>
      </c>
      <c r="S50" s="286">
        <v>0</v>
      </c>
      <c r="T50" s="286">
        <v>0</v>
      </c>
      <c r="U50" s="286">
        <v>0</v>
      </c>
      <c r="V50" s="286">
        <v>0</v>
      </c>
      <c r="W50" s="286">
        <v>-1</v>
      </c>
      <c r="X50" s="286">
        <v>0</v>
      </c>
      <c r="Y50" s="286">
        <v>0</v>
      </c>
      <c r="Z50" s="286">
        <v>0</v>
      </c>
      <c r="AA50" s="286">
        <v>0</v>
      </c>
      <c r="AB50" s="287">
        <v>0</v>
      </c>
    </row>
    <row r="51" spans="1:28" ht="15" customHeight="1">
      <c r="A51" s="270"/>
      <c r="B51" s="271" t="s">
        <v>174</v>
      </c>
      <c r="C51" s="272"/>
      <c r="D51" s="273"/>
      <c r="E51" s="289">
        <v>1</v>
      </c>
      <c r="F51" s="289">
        <v>1</v>
      </c>
      <c r="G51" s="289">
        <v>1</v>
      </c>
      <c r="H51" s="289">
        <v>1</v>
      </c>
      <c r="I51" s="289">
        <v>1</v>
      </c>
      <c r="J51" s="289">
        <v>1</v>
      </c>
      <c r="K51" s="289">
        <v>1</v>
      </c>
      <c r="L51" s="289">
        <v>1</v>
      </c>
      <c r="M51" s="289">
        <v>1</v>
      </c>
      <c r="N51" s="289">
        <v>1</v>
      </c>
      <c r="O51" s="289">
        <v>1</v>
      </c>
      <c r="P51" s="289">
        <v>1</v>
      </c>
      <c r="Q51" s="289">
        <v>1</v>
      </c>
      <c r="R51" s="289">
        <v>1</v>
      </c>
      <c r="S51" s="289">
        <v>1</v>
      </c>
      <c r="T51" s="289">
        <v>1</v>
      </c>
      <c r="U51" s="289">
        <v>1</v>
      </c>
      <c r="V51" s="289">
        <v>1</v>
      </c>
      <c r="W51" s="289">
        <v>1</v>
      </c>
      <c r="X51" s="289">
        <v>1</v>
      </c>
      <c r="Y51" s="289">
        <v>1</v>
      </c>
      <c r="Z51" s="289">
        <v>1</v>
      </c>
      <c r="AA51" s="289">
        <v>1</v>
      </c>
      <c r="AB51" s="290">
        <v>1</v>
      </c>
    </row>
    <row r="52" spans="1:28" ht="15" customHeight="1" thickBot="1">
      <c r="A52" s="274"/>
      <c r="B52" s="275" t="s">
        <v>175</v>
      </c>
      <c r="C52" s="276"/>
      <c r="D52" s="277"/>
      <c r="E52" s="292">
        <v>0</v>
      </c>
      <c r="F52" s="292">
        <v>0</v>
      </c>
      <c r="G52" s="292">
        <v>0</v>
      </c>
      <c r="H52" s="292">
        <v>0</v>
      </c>
      <c r="I52" s="292">
        <v>63</v>
      </c>
      <c r="J52" s="292">
        <v>334</v>
      </c>
      <c r="K52" s="292">
        <v>478</v>
      </c>
      <c r="L52" s="292">
        <v>532</v>
      </c>
      <c r="M52" s="292">
        <v>501</v>
      </c>
      <c r="N52" s="292">
        <v>390</v>
      </c>
      <c r="O52" s="292">
        <v>246</v>
      </c>
      <c r="P52" s="292">
        <v>127</v>
      </c>
      <c r="Q52" s="292">
        <v>119</v>
      </c>
      <c r="R52" s="292">
        <v>112</v>
      </c>
      <c r="S52" s="292">
        <v>97</v>
      </c>
      <c r="T52" s="292">
        <v>77</v>
      </c>
      <c r="U52" s="292">
        <v>52</v>
      </c>
      <c r="V52" s="292">
        <v>19</v>
      </c>
      <c r="W52" s="292">
        <v>1</v>
      </c>
      <c r="X52" s="292">
        <v>0</v>
      </c>
      <c r="Y52" s="292">
        <v>0</v>
      </c>
      <c r="Z52" s="292">
        <v>0</v>
      </c>
      <c r="AA52" s="292">
        <v>0</v>
      </c>
      <c r="AB52" s="293">
        <v>0</v>
      </c>
    </row>
    <row r="53" spans="1:28" ht="15" customHeight="1">
      <c r="A53" s="266" t="s">
        <v>73</v>
      </c>
      <c r="B53" s="267" t="s">
        <v>173</v>
      </c>
      <c r="C53" s="268"/>
      <c r="D53" s="269"/>
      <c r="E53" s="286">
        <v>0</v>
      </c>
      <c r="F53" s="286">
        <v>0</v>
      </c>
      <c r="G53" s="286">
        <v>0</v>
      </c>
      <c r="H53" s="286">
        <v>0</v>
      </c>
      <c r="I53" s="286">
        <v>0</v>
      </c>
      <c r="J53" s="286">
        <v>14</v>
      </c>
      <c r="K53" s="286">
        <v>96</v>
      </c>
      <c r="L53" s="286">
        <v>183</v>
      </c>
      <c r="M53" s="286">
        <v>233</v>
      </c>
      <c r="N53" s="286">
        <v>227</v>
      </c>
      <c r="O53" s="286">
        <v>185</v>
      </c>
      <c r="P53" s="286">
        <v>117</v>
      </c>
      <c r="Q53" s="286">
        <v>37</v>
      </c>
      <c r="R53" s="286">
        <v>0</v>
      </c>
      <c r="S53" s="286">
        <v>0</v>
      </c>
      <c r="T53" s="286">
        <v>0</v>
      </c>
      <c r="U53" s="286">
        <v>0</v>
      </c>
      <c r="V53" s="286">
        <v>0</v>
      </c>
      <c r="W53" s="286">
        <v>-2</v>
      </c>
      <c r="X53" s="286">
        <v>0</v>
      </c>
      <c r="Y53" s="286">
        <v>0</v>
      </c>
      <c r="Z53" s="286">
        <v>0</v>
      </c>
      <c r="AA53" s="286">
        <v>0</v>
      </c>
      <c r="AB53" s="287">
        <v>0</v>
      </c>
    </row>
    <row r="54" spans="1:28" ht="15" customHeight="1">
      <c r="A54" s="270"/>
      <c r="B54" s="271" t="s">
        <v>174</v>
      </c>
      <c r="C54" s="272"/>
      <c r="D54" s="273"/>
      <c r="E54" s="289">
        <v>1</v>
      </c>
      <c r="F54" s="289">
        <v>1</v>
      </c>
      <c r="G54" s="289">
        <v>1</v>
      </c>
      <c r="H54" s="289">
        <v>1</v>
      </c>
      <c r="I54" s="289">
        <v>1</v>
      </c>
      <c r="J54" s="289">
        <v>1</v>
      </c>
      <c r="K54" s="289">
        <v>1</v>
      </c>
      <c r="L54" s="289">
        <v>1</v>
      </c>
      <c r="M54" s="289">
        <v>1</v>
      </c>
      <c r="N54" s="289">
        <v>1</v>
      </c>
      <c r="O54" s="289">
        <v>1</v>
      </c>
      <c r="P54" s="289">
        <v>1</v>
      </c>
      <c r="Q54" s="289">
        <v>1</v>
      </c>
      <c r="R54" s="289">
        <v>1</v>
      </c>
      <c r="S54" s="289">
        <v>1</v>
      </c>
      <c r="T54" s="289">
        <v>1</v>
      </c>
      <c r="U54" s="289">
        <v>1</v>
      </c>
      <c r="V54" s="289">
        <v>1</v>
      </c>
      <c r="W54" s="289">
        <v>1</v>
      </c>
      <c r="X54" s="289">
        <v>1</v>
      </c>
      <c r="Y54" s="289">
        <v>1</v>
      </c>
      <c r="Z54" s="289">
        <v>1</v>
      </c>
      <c r="AA54" s="289">
        <v>1</v>
      </c>
      <c r="AB54" s="290">
        <v>1</v>
      </c>
    </row>
    <row r="55" spans="1:28" ht="15" customHeight="1" thickBot="1">
      <c r="A55" s="274"/>
      <c r="B55" s="275" t="s">
        <v>175</v>
      </c>
      <c r="C55" s="276"/>
      <c r="D55" s="277"/>
      <c r="E55" s="292">
        <v>0</v>
      </c>
      <c r="F55" s="292">
        <v>0</v>
      </c>
      <c r="G55" s="292">
        <v>0</v>
      </c>
      <c r="H55" s="292">
        <v>0</v>
      </c>
      <c r="I55" s="292">
        <v>6</v>
      </c>
      <c r="J55" s="292">
        <v>50</v>
      </c>
      <c r="K55" s="292">
        <v>160</v>
      </c>
      <c r="L55" s="292">
        <v>268</v>
      </c>
      <c r="M55" s="292">
        <v>336</v>
      </c>
      <c r="N55" s="292">
        <v>342</v>
      </c>
      <c r="O55" s="292">
        <v>305</v>
      </c>
      <c r="P55" s="292">
        <v>238</v>
      </c>
      <c r="Q55" s="292">
        <v>156</v>
      </c>
      <c r="R55" s="292">
        <v>112</v>
      </c>
      <c r="S55" s="292">
        <v>97</v>
      </c>
      <c r="T55" s="292">
        <v>77</v>
      </c>
      <c r="U55" s="292">
        <v>52</v>
      </c>
      <c r="V55" s="292">
        <v>19</v>
      </c>
      <c r="W55" s="292">
        <v>0</v>
      </c>
      <c r="X55" s="292">
        <v>0</v>
      </c>
      <c r="Y55" s="292">
        <v>0</v>
      </c>
      <c r="Z55" s="292">
        <v>0</v>
      </c>
      <c r="AA55" s="292">
        <v>0</v>
      </c>
      <c r="AB55" s="293">
        <v>0</v>
      </c>
    </row>
    <row r="56" spans="1:28" ht="15" customHeight="1">
      <c r="A56" s="266" t="s">
        <v>74</v>
      </c>
      <c r="B56" s="267" t="s">
        <v>173</v>
      </c>
      <c r="C56" s="268"/>
      <c r="D56" s="269"/>
      <c r="E56" s="286">
        <v>0</v>
      </c>
      <c r="F56" s="286">
        <v>0</v>
      </c>
      <c r="G56" s="286">
        <v>0</v>
      </c>
      <c r="H56" s="286">
        <v>0</v>
      </c>
      <c r="I56" s="286">
        <v>0</v>
      </c>
      <c r="J56" s="286">
        <v>0</v>
      </c>
      <c r="K56" s="286">
        <v>0</v>
      </c>
      <c r="L56" s="286">
        <v>0</v>
      </c>
      <c r="M56" s="286">
        <v>0</v>
      </c>
      <c r="N56" s="286">
        <v>6</v>
      </c>
      <c r="O56" s="286">
        <v>83</v>
      </c>
      <c r="P56" s="286">
        <v>158</v>
      </c>
      <c r="Q56" s="286">
        <v>195</v>
      </c>
      <c r="R56" s="286">
        <v>194</v>
      </c>
      <c r="S56" s="286">
        <v>162</v>
      </c>
      <c r="T56" s="286">
        <v>103</v>
      </c>
      <c r="U56" s="286">
        <v>37</v>
      </c>
      <c r="V56" s="286">
        <v>0</v>
      </c>
      <c r="W56" s="286">
        <v>-2</v>
      </c>
      <c r="X56" s="286">
        <v>0</v>
      </c>
      <c r="Y56" s="286">
        <v>0</v>
      </c>
      <c r="Z56" s="286">
        <v>0</v>
      </c>
      <c r="AA56" s="286">
        <v>0</v>
      </c>
      <c r="AB56" s="287">
        <v>0</v>
      </c>
    </row>
    <row r="57" spans="1:28" ht="15" customHeight="1">
      <c r="A57" s="270"/>
      <c r="B57" s="271" t="s">
        <v>174</v>
      </c>
      <c r="C57" s="272"/>
      <c r="D57" s="273"/>
      <c r="E57" s="289">
        <v>1</v>
      </c>
      <c r="F57" s="289">
        <v>1</v>
      </c>
      <c r="G57" s="289">
        <v>1</v>
      </c>
      <c r="H57" s="289">
        <v>1</v>
      </c>
      <c r="I57" s="289">
        <v>1</v>
      </c>
      <c r="J57" s="289">
        <v>1</v>
      </c>
      <c r="K57" s="289">
        <v>1</v>
      </c>
      <c r="L57" s="289">
        <v>1</v>
      </c>
      <c r="M57" s="289">
        <v>1</v>
      </c>
      <c r="N57" s="289">
        <v>1</v>
      </c>
      <c r="O57" s="289">
        <v>1</v>
      </c>
      <c r="P57" s="289">
        <v>1</v>
      </c>
      <c r="Q57" s="289">
        <v>1</v>
      </c>
      <c r="R57" s="289">
        <v>1</v>
      </c>
      <c r="S57" s="289">
        <v>1</v>
      </c>
      <c r="T57" s="289">
        <v>1</v>
      </c>
      <c r="U57" s="289">
        <v>1</v>
      </c>
      <c r="V57" s="289">
        <v>1</v>
      </c>
      <c r="W57" s="289">
        <v>1</v>
      </c>
      <c r="X57" s="289">
        <v>1</v>
      </c>
      <c r="Y57" s="289">
        <v>1</v>
      </c>
      <c r="Z57" s="289">
        <v>1</v>
      </c>
      <c r="AA57" s="289">
        <v>1</v>
      </c>
      <c r="AB57" s="290">
        <v>1</v>
      </c>
    </row>
    <row r="58" spans="1:28" ht="15" customHeight="1" thickBot="1">
      <c r="A58" s="274"/>
      <c r="B58" s="275" t="s">
        <v>175</v>
      </c>
      <c r="C58" s="276"/>
      <c r="D58" s="277"/>
      <c r="E58" s="292">
        <v>0</v>
      </c>
      <c r="F58" s="292">
        <v>0</v>
      </c>
      <c r="G58" s="292">
        <v>0</v>
      </c>
      <c r="H58" s="292">
        <v>0</v>
      </c>
      <c r="I58" s="292">
        <v>6</v>
      </c>
      <c r="J58" s="292">
        <v>36</v>
      </c>
      <c r="K58" s="292">
        <v>64</v>
      </c>
      <c r="L58" s="292">
        <v>85</v>
      </c>
      <c r="M58" s="292">
        <v>103</v>
      </c>
      <c r="N58" s="292">
        <v>121</v>
      </c>
      <c r="O58" s="292">
        <v>203</v>
      </c>
      <c r="P58" s="292">
        <v>279</v>
      </c>
      <c r="Q58" s="292">
        <v>314</v>
      </c>
      <c r="R58" s="292">
        <v>306</v>
      </c>
      <c r="S58" s="292">
        <v>259</v>
      </c>
      <c r="T58" s="292">
        <v>180</v>
      </c>
      <c r="U58" s="292">
        <v>89</v>
      </c>
      <c r="V58" s="292">
        <v>19</v>
      </c>
      <c r="W58" s="292">
        <v>0</v>
      </c>
      <c r="X58" s="292">
        <v>0</v>
      </c>
      <c r="Y58" s="292">
        <v>0</v>
      </c>
      <c r="Z58" s="292">
        <v>0</v>
      </c>
      <c r="AA58" s="292">
        <v>0</v>
      </c>
      <c r="AB58" s="293">
        <v>0</v>
      </c>
    </row>
    <row r="59" spans="1:28" ht="15" customHeight="1">
      <c r="A59" s="266" t="s">
        <v>75</v>
      </c>
      <c r="B59" s="267" t="s">
        <v>173</v>
      </c>
      <c r="C59" s="268"/>
      <c r="D59" s="269"/>
      <c r="E59" s="286">
        <v>0</v>
      </c>
      <c r="F59" s="286">
        <v>0</v>
      </c>
      <c r="G59" s="286">
        <v>0</v>
      </c>
      <c r="H59" s="286">
        <v>0</v>
      </c>
      <c r="I59" s="286">
        <v>0</v>
      </c>
      <c r="J59" s="286">
        <v>0</v>
      </c>
      <c r="K59" s="286">
        <v>0</v>
      </c>
      <c r="L59" s="286">
        <v>0</v>
      </c>
      <c r="M59" s="286">
        <v>0</v>
      </c>
      <c r="N59" s="286">
        <v>0</v>
      </c>
      <c r="O59" s="286">
        <v>0</v>
      </c>
      <c r="P59" s="286">
        <v>59</v>
      </c>
      <c r="Q59" s="286">
        <v>211</v>
      </c>
      <c r="R59" s="286">
        <v>327</v>
      </c>
      <c r="S59" s="286">
        <v>389</v>
      </c>
      <c r="T59" s="286">
        <v>385</v>
      </c>
      <c r="U59" s="286">
        <v>318</v>
      </c>
      <c r="V59" s="286">
        <v>120</v>
      </c>
      <c r="W59" s="286">
        <v>-1</v>
      </c>
      <c r="X59" s="286">
        <v>0</v>
      </c>
      <c r="Y59" s="286">
        <v>0</v>
      </c>
      <c r="Z59" s="286">
        <v>0</v>
      </c>
      <c r="AA59" s="286">
        <v>0</v>
      </c>
      <c r="AB59" s="287">
        <v>0</v>
      </c>
    </row>
    <row r="60" spans="1:28" ht="15" customHeight="1">
      <c r="A60" s="270"/>
      <c r="B60" s="271" t="s">
        <v>174</v>
      </c>
      <c r="C60" s="272"/>
      <c r="D60" s="273"/>
      <c r="E60" s="289">
        <v>1</v>
      </c>
      <c r="F60" s="289">
        <v>1</v>
      </c>
      <c r="G60" s="289">
        <v>1</v>
      </c>
      <c r="H60" s="289">
        <v>1</v>
      </c>
      <c r="I60" s="289">
        <v>1</v>
      </c>
      <c r="J60" s="289">
        <v>1</v>
      </c>
      <c r="K60" s="289">
        <v>1</v>
      </c>
      <c r="L60" s="289">
        <v>1</v>
      </c>
      <c r="M60" s="289">
        <v>1</v>
      </c>
      <c r="N60" s="289">
        <v>1</v>
      </c>
      <c r="O60" s="289">
        <v>1</v>
      </c>
      <c r="P60" s="289">
        <v>1</v>
      </c>
      <c r="Q60" s="289">
        <v>1</v>
      </c>
      <c r="R60" s="289">
        <v>1</v>
      </c>
      <c r="S60" s="289">
        <v>1</v>
      </c>
      <c r="T60" s="289">
        <v>1</v>
      </c>
      <c r="U60" s="289">
        <v>1</v>
      </c>
      <c r="V60" s="289">
        <v>1</v>
      </c>
      <c r="W60" s="289">
        <v>1</v>
      </c>
      <c r="X60" s="289">
        <v>1</v>
      </c>
      <c r="Y60" s="289">
        <v>1</v>
      </c>
      <c r="Z60" s="289">
        <v>1</v>
      </c>
      <c r="AA60" s="289">
        <v>1</v>
      </c>
      <c r="AB60" s="290">
        <v>1</v>
      </c>
    </row>
    <row r="61" spans="1:28" ht="15" customHeight="1" thickBot="1">
      <c r="A61" s="274"/>
      <c r="B61" s="275" t="s">
        <v>175</v>
      </c>
      <c r="C61" s="276"/>
      <c r="D61" s="277"/>
      <c r="E61" s="292">
        <v>0</v>
      </c>
      <c r="F61" s="292">
        <v>0</v>
      </c>
      <c r="G61" s="292">
        <v>0</v>
      </c>
      <c r="H61" s="292">
        <v>0</v>
      </c>
      <c r="I61" s="292">
        <v>6</v>
      </c>
      <c r="J61" s="292">
        <v>36</v>
      </c>
      <c r="K61" s="292">
        <v>64</v>
      </c>
      <c r="L61" s="292">
        <v>85</v>
      </c>
      <c r="M61" s="292">
        <v>103</v>
      </c>
      <c r="N61" s="292">
        <v>115</v>
      </c>
      <c r="O61" s="292">
        <v>120</v>
      </c>
      <c r="P61" s="292">
        <v>180</v>
      </c>
      <c r="Q61" s="292">
        <v>330</v>
      </c>
      <c r="R61" s="292">
        <v>439</v>
      </c>
      <c r="S61" s="292">
        <v>486</v>
      </c>
      <c r="T61" s="292">
        <v>462</v>
      </c>
      <c r="U61" s="292">
        <v>370</v>
      </c>
      <c r="V61" s="292">
        <v>139</v>
      </c>
      <c r="W61" s="292">
        <v>1</v>
      </c>
      <c r="X61" s="292">
        <v>0</v>
      </c>
      <c r="Y61" s="292">
        <v>0</v>
      </c>
      <c r="Z61" s="292">
        <v>0</v>
      </c>
      <c r="AA61" s="292">
        <v>0</v>
      </c>
      <c r="AB61" s="293">
        <v>0</v>
      </c>
    </row>
    <row r="62" spans="1:28" ht="15" customHeight="1">
      <c r="A62" s="266" t="s">
        <v>76</v>
      </c>
      <c r="B62" s="267" t="s">
        <v>173</v>
      </c>
      <c r="C62" s="268"/>
      <c r="D62" s="269"/>
      <c r="E62" s="286">
        <v>0</v>
      </c>
      <c r="F62" s="286">
        <v>0</v>
      </c>
      <c r="G62" s="286">
        <v>0</v>
      </c>
      <c r="H62" s="286">
        <v>0</v>
      </c>
      <c r="I62" s="286">
        <v>0</v>
      </c>
      <c r="J62" s="286">
        <v>0</v>
      </c>
      <c r="K62" s="286">
        <v>0</v>
      </c>
      <c r="L62" s="286">
        <v>0</v>
      </c>
      <c r="M62" s="286">
        <v>0</v>
      </c>
      <c r="N62" s="286">
        <v>0</v>
      </c>
      <c r="O62" s="286">
        <v>0</v>
      </c>
      <c r="P62" s="286">
        <v>0</v>
      </c>
      <c r="Q62" s="286">
        <v>49</v>
      </c>
      <c r="R62" s="286">
        <v>215</v>
      </c>
      <c r="S62" s="286">
        <v>357</v>
      </c>
      <c r="T62" s="286">
        <v>421</v>
      </c>
      <c r="U62" s="286">
        <v>403</v>
      </c>
      <c r="V62" s="286">
        <v>177</v>
      </c>
      <c r="W62" s="286">
        <v>0</v>
      </c>
      <c r="X62" s="286">
        <v>0</v>
      </c>
      <c r="Y62" s="286">
        <v>0</v>
      </c>
      <c r="Z62" s="286">
        <v>0</v>
      </c>
      <c r="AA62" s="286">
        <v>0</v>
      </c>
      <c r="AB62" s="287">
        <v>0</v>
      </c>
    </row>
    <row r="63" spans="1:28" ht="15" customHeight="1">
      <c r="A63" s="270"/>
      <c r="B63" s="271" t="s">
        <v>174</v>
      </c>
      <c r="C63" s="272"/>
      <c r="D63" s="273"/>
      <c r="E63" s="289">
        <v>1</v>
      </c>
      <c r="F63" s="289">
        <v>1</v>
      </c>
      <c r="G63" s="289">
        <v>1</v>
      </c>
      <c r="H63" s="289">
        <v>1</v>
      </c>
      <c r="I63" s="289">
        <v>1</v>
      </c>
      <c r="J63" s="289">
        <v>1</v>
      </c>
      <c r="K63" s="289">
        <v>1</v>
      </c>
      <c r="L63" s="289">
        <v>1</v>
      </c>
      <c r="M63" s="289">
        <v>1</v>
      </c>
      <c r="N63" s="289">
        <v>1</v>
      </c>
      <c r="O63" s="289">
        <v>1</v>
      </c>
      <c r="P63" s="289">
        <v>1</v>
      </c>
      <c r="Q63" s="289">
        <v>1</v>
      </c>
      <c r="R63" s="289">
        <v>1</v>
      </c>
      <c r="S63" s="289">
        <v>1</v>
      </c>
      <c r="T63" s="289">
        <v>1</v>
      </c>
      <c r="U63" s="289">
        <v>1</v>
      </c>
      <c r="V63" s="289">
        <v>1</v>
      </c>
      <c r="W63" s="289">
        <v>1</v>
      </c>
      <c r="X63" s="289">
        <v>1</v>
      </c>
      <c r="Y63" s="289">
        <v>1</v>
      </c>
      <c r="Z63" s="289">
        <v>1</v>
      </c>
      <c r="AA63" s="289">
        <v>1</v>
      </c>
      <c r="AB63" s="290">
        <v>1</v>
      </c>
    </row>
    <row r="64" spans="1:28" ht="15" customHeight="1" thickBot="1">
      <c r="A64" s="274"/>
      <c r="B64" s="275" t="s">
        <v>175</v>
      </c>
      <c r="C64" s="276"/>
      <c r="D64" s="277"/>
      <c r="E64" s="292">
        <v>0</v>
      </c>
      <c r="F64" s="292">
        <v>0</v>
      </c>
      <c r="G64" s="292">
        <v>0</v>
      </c>
      <c r="H64" s="292">
        <v>0</v>
      </c>
      <c r="I64" s="292">
        <v>6</v>
      </c>
      <c r="J64" s="292">
        <v>36</v>
      </c>
      <c r="K64" s="292">
        <v>64</v>
      </c>
      <c r="L64" s="292">
        <v>85</v>
      </c>
      <c r="M64" s="292">
        <v>103</v>
      </c>
      <c r="N64" s="292">
        <v>115</v>
      </c>
      <c r="O64" s="292">
        <v>120</v>
      </c>
      <c r="P64" s="292">
        <v>121</v>
      </c>
      <c r="Q64" s="292">
        <v>168</v>
      </c>
      <c r="R64" s="292">
        <v>327</v>
      </c>
      <c r="S64" s="292">
        <v>454</v>
      </c>
      <c r="T64" s="292">
        <v>498</v>
      </c>
      <c r="U64" s="292">
        <v>455</v>
      </c>
      <c r="V64" s="292">
        <v>196</v>
      </c>
      <c r="W64" s="292">
        <v>2</v>
      </c>
      <c r="X64" s="292">
        <v>0</v>
      </c>
      <c r="Y64" s="292">
        <v>0</v>
      </c>
      <c r="Z64" s="292">
        <v>0</v>
      </c>
      <c r="AA64" s="292">
        <v>0</v>
      </c>
      <c r="AB64" s="293">
        <v>0</v>
      </c>
    </row>
    <row r="65" spans="1:28" ht="15" customHeight="1">
      <c r="A65" s="278" t="s">
        <v>77</v>
      </c>
      <c r="B65" s="267" t="s">
        <v>173</v>
      </c>
      <c r="C65" s="268"/>
      <c r="D65" s="269"/>
      <c r="E65" s="286">
        <v>0</v>
      </c>
      <c r="F65" s="286">
        <v>0</v>
      </c>
      <c r="G65" s="286">
        <v>0</v>
      </c>
      <c r="H65" s="286">
        <v>0</v>
      </c>
      <c r="I65" s="286">
        <v>0</v>
      </c>
      <c r="J65" s="286">
        <v>0</v>
      </c>
      <c r="K65" s="286">
        <v>0</v>
      </c>
      <c r="L65" s="286">
        <v>0</v>
      </c>
      <c r="M65" s="286">
        <v>0</v>
      </c>
      <c r="N65" s="286">
        <v>0</v>
      </c>
      <c r="O65" s="286">
        <v>0</v>
      </c>
      <c r="P65" s="286">
        <v>0</v>
      </c>
      <c r="Q65" s="286">
        <v>0</v>
      </c>
      <c r="R65" s="286">
        <v>0</v>
      </c>
      <c r="S65" s="286">
        <v>27</v>
      </c>
      <c r="T65" s="286">
        <v>129</v>
      </c>
      <c r="U65" s="286">
        <v>205</v>
      </c>
      <c r="V65" s="286">
        <v>118</v>
      </c>
      <c r="W65" s="286">
        <v>0</v>
      </c>
      <c r="X65" s="286">
        <v>0</v>
      </c>
      <c r="Y65" s="286">
        <v>0</v>
      </c>
      <c r="Z65" s="286">
        <v>0</v>
      </c>
      <c r="AA65" s="286">
        <v>0</v>
      </c>
      <c r="AB65" s="287">
        <v>0</v>
      </c>
    </row>
    <row r="66" spans="1:28" ht="15" customHeight="1">
      <c r="A66" s="279"/>
      <c r="B66" s="271" t="s">
        <v>174</v>
      </c>
      <c r="C66" s="272"/>
      <c r="D66" s="273"/>
      <c r="E66" s="289">
        <v>1</v>
      </c>
      <c r="F66" s="289">
        <v>1</v>
      </c>
      <c r="G66" s="289">
        <v>1</v>
      </c>
      <c r="H66" s="289">
        <v>1</v>
      </c>
      <c r="I66" s="289">
        <v>1</v>
      </c>
      <c r="J66" s="289">
        <v>1</v>
      </c>
      <c r="K66" s="289">
        <v>1</v>
      </c>
      <c r="L66" s="289">
        <v>1</v>
      </c>
      <c r="M66" s="289">
        <v>1</v>
      </c>
      <c r="N66" s="289">
        <v>1</v>
      </c>
      <c r="O66" s="289">
        <v>1</v>
      </c>
      <c r="P66" s="289">
        <v>1</v>
      </c>
      <c r="Q66" s="289">
        <v>1</v>
      </c>
      <c r="R66" s="289">
        <v>1</v>
      </c>
      <c r="S66" s="289">
        <v>1</v>
      </c>
      <c r="T66" s="289">
        <v>1</v>
      </c>
      <c r="U66" s="289">
        <v>1</v>
      </c>
      <c r="V66" s="289">
        <v>1</v>
      </c>
      <c r="W66" s="289">
        <v>1</v>
      </c>
      <c r="X66" s="289">
        <v>1</v>
      </c>
      <c r="Y66" s="289">
        <v>1</v>
      </c>
      <c r="Z66" s="289">
        <v>1</v>
      </c>
      <c r="AA66" s="289">
        <v>1</v>
      </c>
      <c r="AB66" s="290">
        <v>1</v>
      </c>
    </row>
    <row r="67" spans="1:28" ht="15" customHeight="1" thickBot="1">
      <c r="A67" s="280"/>
      <c r="B67" s="275" t="s">
        <v>175</v>
      </c>
      <c r="C67" s="276"/>
      <c r="D67" s="277"/>
      <c r="E67" s="292">
        <v>0</v>
      </c>
      <c r="F67" s="292">
        <v>0</v>
      </c>
      <c r="G67" s="292">
        <v>0</v>
      </c>
      <c r="H67" s="292">
        <v>0</v>
      </c>
      <c r="I67" s="292">
        <v>6</v>
      </c>
      <c r="J67" s="292">
        <v>36</v>
      </c>
      <c r="K67" s="292">
        <v>64</v>
      </c>
      <c r="L67" s="292">
        <v>85</v>
      </c>
      <c r="M67" s="292">
        <v>103</v>
      </c>
      <c r="N67" s="292">
        <v>115</v>
      </c>
      <c r="O67" s="292">
        <v>120</v>
      </c>
      <c r="P67" s="292">
        <v>121</v>
      </c>
      <c r="Q67" s="292">
        <v>119</v>
      </c>
      <c r="R67" s="292">
        <v>112</v>
      </c>
      <c r="S67" s="292">
        <v>124</v>
      </c>
      <c r="T67" s="292">
        <v>206</v>
      </c>
      <c r="U67" s="292">
        <v>257</v>
      </c>
      <c r="V67" s="292">
        <v>137</v>
      </c>
      <c r="W67" s="292">
        <v>2</v>
      </c>
      <c r="X67" s="292">
        <v>0</v>
      </c>
      <c r="Y67" s="292">
        <v>0</v>
      </c>
      <c r="Z67" s="292">
        <v>0</v>
      </c>
      <c r="AA67" s="292">
        <v>0</v>
      </c>
      <c r="AB67" s="293">
        <v>0</v>
      </c>
    </row>
    <row r="68" spans="1:28" ht="15" customHeight="1">
      <c r="A68" s="39" t="s">
        <v>36</v>
      </c>
      <c r="AB68" s="147"/>
    </row>
    <row r="69" spans="1:28" ht="15" customHeight="1">
      <c r="A69" s="247"/>
      <c r="B69" s="248"/>
      <c r="C69" s="249"/>
      <c r="D69" s="250"/>
      <c r="E69" s="282">
        <v>1</v>
      </c>
      <c r="F69" s="282">
        <v>2</v>
      </c>
      <c r="G69" s="282">
        <v>3</v>
      </c>
      <c r="H69" s="282">
        <v>4</v>
      </c>
      <c r="I69" s="282">
        <v>5</v>
      </c>
      <c r="J69" s="282">
        <v>6</v>
      </c>
      <c r="K69" s="282">
        <v>7</v>
      </c>
      <c r="L69" s="282">
        <v>8</v>
      </c>
      <c r="M69" s="282">
        <v>9</v>
      </c>
      <c r="N69" s="282">
        <v>10</v>
      </c>
      <c r="O69" s="282">
        <v>11</v>
      </c>
      <c r="P69" s="282">
        <v>12</v>
      </c>
      <c r="Q69" s="282">
        <v>13</v>
      </c>
      <c r="R69" s="282">
        <v>14</v>
      </c>
      <c r="S69" s="282">
        <v>15</v>
      </c>
      <c r="T69" s="282">
        <v>16</v>
      </c>
      <c r="U69" s="282">
        <v>17</v>
      </c>
      <c r="V69" s="282">
        <v>18</v>
      </c>
      <c r="W69" s="283">
        <v>19</v>
      </c>
      <c r="X69" s="283">
        <v>20</v>
      </c>
      <c r="Y69" s="283">
        <v>21</v>
      </c>
      <c r="Z69" s="283">
        <v>22</v>
      </c>
      <c r="AA69" s="283">
        <v>23</v>
      </c>
      <c r="AB69" s="284">
        <v>24</v>
      </c>
    </row>
    <row r="70" spans="1:28" ht="15" customHeight="1" thickBot="1">
      <c r="A70" s="251" t="s">
        <v>176</v>
      </c>
      <c r="B70" s="252" t="s">
        <v>169</v>
      </c>
      <c r="C70" s="253"/>
      <c r="D70" s="254"/>
      <c r="E70" s="256">
        <v>0</v>
      </c>
      <c r="F70" s="256">
        <v>0</v>
      </c>
      <c r="G70" s="256">
        <v>0</v>
      </c>
      <c r="H70" s="256">
        <v>0</v>
      </c>
      <c r="I70" s="256">
        <v>0</v>
      </c>
      <c r="J70" s="256">
        <v>31</v>
      </c>
      <c r="K70" s="256">
        <v>78</v>
      </c>
      <c r="L70" s="256">
        <v>111</v>
      </c>
      <c r="M70" s="256">
        <v>131</v>
      </c>
      <c r="N70" s="256">
        <v>147</v>
      </c>
      <c r="O70" s="256">
        <v>156</v>
      </c>
      <c r="P70" s="256">
        <v>151</v>
      </c>
      <c r="Q70" s="256">
        <v>147</v>
      </c>
      <c r="R70" s="256">
        <v>134</v>
      </c>
      <c r="S70" s="256">
        <v>114</v>
      </c>
      <c r="T70" s="256">
        <v>82</v>
      </c>
      <c r="U70" s="256">
        <v>38</v>
      </c>
      <c r="V70" s="256">
        <v>4</v>
      </c>
      <c r="W70" s="256">
        <v>0</v>
      </c>
      <c r="X70" s="256">
        <v>0</v>
      </c>
      <c r="Y70" s="256">
        <v>0</v>
      </c>
      <c r="Z70" s="256">
        <v>0</v>
      </c>
      <c r="AA70" s="256">
        <v>0</v>
      </c>
      <c r="AB70" s="257">
        <v>0</v>
      </c>
    </row>
    <row r="71" spans="1:28" ht="15" customHeight="1" thickBot="1">
      <c r="A71" s="258" t="s">
        <v>170</v>
      </c>
      <c r="B71" s="259" t="s">
        <v>171</v>
      </c>
      <c r="C71" s="260"/>
      <c r="D71" s="261"/>
      <c r="E71" s="263">
        <v>0</v>
      </c>
      <c r="F71" s="263">
        <v>0</v>
      </c>
      <c r="G71" s="263">
        <v>0</v>
      </c>
      <c r="H71" s="263">
        <v>0</v>
      </c>
      <c r="I71" s="263">
        <v>0</v>
      </c>
      <c r="J71" s="263">
        <v>19</v>
      </c>
      <c r="K71" s="263">
        <v>50</v>
      </c>
      <c r="L71" s="263">
        <v>75</v>
      </c>
      <c r="M71" s="263">
        <v>89</v>
      </c>
      <c r="N71" s="263">
        <v>97</v>
      </c>
      <c r="O71" s="263">
        <v>100</v>
      </c>
      <c r="P71" s="263">
        <v>99</v>
      </c>
      <c r="Q71" s="263">
        <v>97</v>
      </c>
      <c r="R71" s="263">
        <v>90</v>
      </c>
      <c r="S71" s="263">
        <v>78</v>
      </c>
      <c r="T71" s="263">
        <v>53</v>
      </c>
      <c r="U71" s="263">
        <v>24</v>
      </c>
      <c r="V71" s="263">
        <v>3</v>
      </c>
      <c r="W71" s="263">
        <v>0</v>
      </c>
      <c r="X71" s="263">
        <v>0</v>
      </c>
      <c r="Y71" s="263">
        <v>0</v>
      </c>
      <c r="Z71" s="263">
        <v>0</v>
      </c>
      <c r="AA71" s="263">
        <v>0</v>
      </c>
      <c r="AB71" s="264">
        <v>0</v>
      </c>
    </row>
    <row r="72" spans="1:28" ht="15" customHeight="1" thickBot="1">
      <c r="A72" s="265" t="s">
        <v>69</v>
      </c>
      <c r="B72" s="259" t="s">
        <v>172</v>
      </c>
      <c r="C72" s="260"/>
      <c r="D72" s="261"/>
      <c r="E72" s="263">
        <v>0</v>
      </c>
      <c r="F72" s="263">
        <v>0</v>
      </c>
      <c r="G72" s="263">
        <v>0</v>
      </c>
      <c r="H72" s="263">
        <v>0</v>
      </c>
      <c r="I72" s="263">
        <v>0</v>
      </c>
      <c r="J72" s="263">
        <v>40</v>
      </c>
      <c r="K72" s="263">
        <v>170</v>
      </c>
      <c r="L72" s="263">
        <v>330</v>
      </c>
      <c r="M72" s="263">
        <v>481</v>
      </c>
      <c r="N72" s="263">
        <v>590</v>
      </c>
      <c r="O72" s="263">
        <v>649</v>
      </c>
      <c r="P72" s="263">
        <v>655</v>
      </c>
      <c r="Q72" s="263">
        <v>602</v>
      </c>
      <c r="R72" s="263">
        <v>502</v>
      </c>
      <c r="S72" s="263">
        <v>359</v>
      </c>
      <c r="T72" s="263">
        <v>196</v>
      </c>
      <c r="U72" s="263">
        <v>53</v>
      </c>
      <c r="V72" s="263">
        <v>4</v>
      </c>
      <c r="W72" s="263">
        <v>0</v>
      </c>
      <c r="X72" s="263">
        <v>0</v>
      </c>
      <c r="Y72" s="263">
        <v>0</v>
      </c>
      <c r="Z72" s="263">
        <v>0</v>
      </c>
      <c r="AA72" s="263">
        <v>0</v>
      </c>
      <c r="AB72" s="264">
        <v>0</v>
      </c>
    </row>
    <row r="73" spans="1:28" ht="15" customHeight="1">
      <c r="A73" s="266" t="s">
        <v>70</v>
      </c>
      <c r="B73" s="267" t="s">
        <v>173</v>
      </c>
      <c r="C73" s="268"/>
      <c r="D73" s="269"/>
      <c r="E73" s="286">
        <v>0</v>
      </c>
      <c r="F73" s="286">
        <v>0</v>
      </c>
      <c r="G73" s="286">
        <v>0</v>
      </c>
      <c r="H73" s="286">
        <v>0</v>
      </c>
      <c r="I73" s="286">
        <v>0</v>
      </c>
      <c r="J73" s="286">
        <v>56</v>
      </c>
      <c r="K73" s="286">
        <v>25</v>
      </c>
      <c r="L73" s="286">
        <v>0</v>
      </c>
      <c r="M73" s="286">
        <v>0</v>
      </c>
      <c r="N73" s="286">
        <v>0</v>
      </c>
      <c r="O73" s="286">
        <v>0</v>
      </c>
      <c r="P73" s="286">
        <v>0</v>
      </c>
      <c r="Q73" s="286">
        <v>0</v>
      </c>
      <c r="R73" s="286">
        <v>0</v>
      </c>
      <c r="S73" s="286">
        <v>0</v>
      </c>
      <c r="T73" s="286">
        <v>0</v>
      </c>
      <c r="U73" s="286">
        <v>0</v>
      </c>
      <c r="V73" s="286">
        <v>0</v>
      </c>
      <c r="W73" s="286">
        <v>0</v>
      </c>
      <c r="X73" s="286">
        <v>0</v>
      </c>
      <c r="Y73" s="286">
        <v>0</v>
      </c>
      <c r="Z73" s="286">
        <v>0</v>
      </c>
      <c r="AA73" s="286">
        <v>0</v>
      </c>
      <c r="AB73" s="287">
        <v>0</v>
      </c>
    </row>
    <row r="74" spans="1:28" ht="15" customHeight="1">
      <c r="A74" s="270"/>
      <c r="B74" s="271" t="s">
        <v>174</v>
      </c>
      <c r="C74" s="272"/>
      <c r="D74" s="273"/>
      <c r="E74" s="289">
        <v>1</v>
      </c>
      <c r="F74" s="289">
        <v>1</v>
      </c>
      <c r="G74" s="289">
        <v>1</v>
      </c>
      <c r="H74" s="289">
        <v>1</v>
      </c>
      <c r="I74" s="289">
        <v>1</v>
      </c>
      <c r="J74" s="289">
        <v>1</v>
      </c>
      <c r="K74" s="289">
        <v>1</v>
      </c>
      <c r="L74" s="289">
        <v>1</v>
      </c>
      <c r="M74" s="289">
        <v>1</v>
      </c>
      <c r="N74" s="289">
        <v>1</v>
      </c>
      <c r="O74" s="289">
        <v>1</v>
      </c>
      <c r="P74" s="289">
        <v>1</v>
      </c>
      <c r="Q74" s="289">
        <v>1</v>
      </c>
      <c r="R74" s="289">
        <v>1</v>
      </c>
      <c r="S74" s="289">
        <v>1</v>
      </c>
      <c r="T74" s="289">
        <v>1</v>
      </c>
      <c r="U74" s="289">
        <v>1</v>
      </c>
      <c r="V74" s="289">
        <v>1</v>
      </c>
      <c r="W74" s="289">
        <v>1</v>
      </c>
      <c r="X74" s="289">
        <v>1</v>
      </c>
      <c r="Y74" s="289">
        <v>1</v>
      </c>
      <c r="Z74" s="289">
        <v>1</v>
      </c>
      <c r="AA74" s="289">
        <v>1</v>
      </c>
      <c r="AB74" s="290">
        <v>1</v>
      </c>
    </row>
    <row r="75" spans="1:28" ht="15" customHeight="1" thickBot="1">
      <c r="A75" s="274"/>
      <c r="B75" s="275" t="s">
        <v>175</v>
      </c>
      <c r="C75" s="276"/>
      <c r="D75" s="277"/>
      <c r="E75" s="292">
        <v>0</v>
      </c>
      <c r="F75" s="292">
        <v>0</v>
      </c>
      <c r="G75" s="292">
        <v>0</v>
      </c>
      <c r="H75" s="292">
        <v>0</v>
      </c>
      <c r="I75" s="292">
        <v>0</v>
      </c>
      <c r="J75" s="292">
        <v>76</v>
      </c>
      <c r="K75" s="292">
        <v>75</v>
      </c>
      <c r="L75" s="292">
        <v>76</v>
      </c>
      <c r="M75" s="292">
        <v>89</v>
      </c>
      <c r="N75" s="292">
        <v>97</v>
      </c>
      <c r="O75" s="292">
        <v>101</v>
      </c>
      <c r="P75" s="292">
        <v>99</v>
      </c>
      <c r="Q75" s="292">
        <v>97</v>
      </c>
      <c r="R75" s="292">
        <v>91</v>
      </c>
      <c r="S75" s="292">
        <v>78</v>
      </c>
      <c r="T75" s="292">
        <v>54</v>
      </c>
      <c r="U75" s="292">
        <v>24</v>
      </c>
      <c r="V75" s="292">
        <v>3</v>
      </c>
      <c r="W75" s="292">
        <v>0</v>
      </c>
      <c r="X75" s="292">
        <v>0</v>
      </c>
      <c r="Y75" s="292">
        <v>0</v>
      </c>
      <c r="Z75" s="292">
        <v>0</v>
      </c>
      <c r="AA75" s="292">
        <v>0</v>
      </c>
      <c r="AB75" s="293">
        <v>0</v>
      </c>
    </row>
    <row r="76" spans="1:28" ht="15" customHeight="1">
      <c r="A76" s="266" t="s">
        <v>71</v>
      </c>
      <c r="B76" s="267" t="s">
        <v>173</v>
      </c>
      <c r="C76" s="268"/>
      <c r="D76" s="269"/>
      <c r="E76" s="286">
        <v>0</v>
      </c>
      <c r="F76" s="286">
        <v>0</v>
      </c>
      <c r="G76" s="286">
        <v>0</v>
      </c>
      <c r="H76" s="286">
        <v>0</v>
      </c>
      <c r="I76" s="286">
        <v>0</v>
      </c>
      <c r="J76" s="286">
        <v>226</v>
      </c>
      <c r="K76" s="286">
        <v>333</v>
      </c>
      <c r="L76" s="286">
        <v>307</v>
      </c>
      <c r="M76" s="286">
        <v>201</v>
      </c>
      <c r="N76" s="286">
        <v>45</v>
      </c>
      <c r="O76" s="286">
        <v>0</v>
      </c>
      <c r="P76" s="286">
        <v>0</v>
      </c>
      <c r="Q76" s="286">
        <v>0</v>
      </c>
      <c r="R76" s="286">
        <v>0</v>
      </c>
      <c r="S76" s="286">
        <v>0</v>
      </c>
      <c r="T76" s="286">
        <v>0</v>
      </c>
      <c r="U76" s="286">
        <v>0</v>
      </c>
      <c r="V76" s="286">
        <v>0</v>
      </c>
      <c r="W76" s="286">
        <v>0</v>
      </c>
      <c r="X76" s="286">
        <v>0</v>
      </c>
      <c r="Y76" s="286">
        <v>0</v>
      </c>
      <c r="Z76" s="286">
        <v>0</v>
      </c>
      <c r="AA76" s="286">
        <v>0</v>
      </c>
      <c r="AB76" s="287">
        <v>0</v>
      </c>
    </row>
    <row r="77" spans="1:28" ht="15" customHeight="1">
      <c r="A77" s="270"/>
      <c r="B77" s="271" t="s">
        <v>174</v>
      </c>
      <c r="C77" s="272"/>
      <c r="D77" s="273"/>
      <c r="E77" s="289">
        <v>1</v>
      </c>
      <c r="F77" s="289">
        <v>1</v>
      </c>
      <c r="G77" s="289">
        <v>1</v>
      </c>
      <c r="H77" s="289">
        <v>1</v>
      </c>
      <c r="I77" s="289">
        <v>1</v>
      </c>
      <c r="J77" s="289">
        <v>1</v>
      </c>
      <c r="K77" s="289">
        <v>1</v>
      </c>
      <c r="L77" s="289">
        <v>1</v>
      </c>
      <c r="M77" s="289">
        <v>1</v>
      </c>
      <c r="N77" s="289">
        <v>1</v>
      </c>
      <c r="O77" s="289">
        <v>1</v>
      </c>
      <c r="P77" s="289">
        <v>1</v>
      </c>
      <c r="Q77" s="289">
        <v>1</v>
      </c>
      <c r="R77" s="289">
        <v>1</v>
      </c>
      <c r="S77" s="289">
        <v>1</v>
      </c>
      <c r="T77" s="289">
        <v>1</v>
      </c>
      <c r="U77" s="289">
        <v>1</v>
      </c>
      <c r="V77" s="289">
        <v>1</v>
      </c>
      <c r="W77" s="289">
        <v>1</v>
      </c>
      <c r="X77" s="289">
        <v>1</v>
      </c>
      <c r="Y77" s="289">
        <v>1</v>
      </c>
      <c r="Z77" s="289">
        <v>1</v>
      </c>
      <c r="AA77" s="289">
        <v>1</v>
      </c>
      <c r="AB77" s="290">
        <v>1</v>
      </c>
    </row>
    <row r="78" spans="1:28" ht="15" customHeight="1" thickBot="1">
      <c r="A78" s="274"/>
      <c r="B78" s="275" t="s">
        <v>175</v>
      </c>
      <c r="C78" s="276"/>
      <c r="D78" s="277"/>
      <c r="E78" s="292">
        <v>0</v>
      </c>
      <c r="F78" s="292">
        <v>0</v>
      </c>
      <c r="G78" s="292">
        <v>0</v>
      </c>
      <c r="H78" s="292">
        <v>0</v>
      </c>
      <c r="I78" s="292">
        <v>0</v>
      </c>
      <c r="J78" s="292">
        <v>246</v>
      </c>
      <c r="K78" s="292">
        <v>383</v>
      </c>
      <c r="L78" s="292">
        <v>383</v>
      </c>
      <c r="M78" s="292">
        <v>290</v>
      </c>
      <c r="N78" s="292">
        <v>142</v>
      </c>
      <c r="O78" s="292">
        <v>101</v>
      </c>
      <c r="P78" s="292">
        <v>99</v>
      </c>
      <c r="Q78" s="292">
        <v>97</v>
      </c>
      <c r="R78" s="292">
        <v>91</v>
      </c>
      <c r="S78" s="292">
        <v>78</v>
      </c>
      <c r="T78" s="292">
        <v>54</v>
      </c>
      <c r="U78" s="292">
        <v>24</v>
      </c>
      <c r="V78" s="292">
        <v>3</v>
      </c>
      <c r="W78" s="292">
        <v>0</v>
      </c>
      <c r="X78" s="292">
        <v>0</v>
      </c>
      <c r="Y78" s="292">
        <v>0</v>
      </c>
      <c r="Z78" s="292">
        <v>0</v>
      </c>
      <c r="AA78" s="292">
        <v>0</v>
      </c>
      <c r="AB78" s="293">
        <v>0</v>
      </c>
    </row>
    <row r="79" spans="1:28" ht="15" customHeight="1">
      <c r="A79" s="266" t="s">
        <v>72</v>
      </c>
      <c r="B79" s="267" t="s">
        <v>173</v>
      </c>
      <c r="C79" s="268"/>
      <c r="D79" s="269"/>
      <c r="E79" s="286">
        <v>0</v>
      </c>
      <c r="F79" s="286">
        <v>0</v>
      </c>
      <c r="G79" s="286">
        <v>0</v>
      </c>
      <c r="H79" s="286">
        <v>0</v>
      </c>
      <c r="I79" s="286">
        <v>0</v>
      </c>
      <c r="J79" s="286">
        <v>255</v>
      </c>
      <c r="K79" s="286">
        <v>440</v>
      </c>
      <c r="L79" s="286">
        <v>500</v>
      </c>
      <c r="M79" s="286">
        <v>473</v>
      </c>
      <c r="N79" s="286">
        <v>356</v>
      </c>
      <c r="O79" s="286">
        <v>181</v>
      </c>
      <c r="P79" s="286">
        <v>15</v>
      </c>
      <c r="Q79" s="286">
        <v>0</v>
      </c>
      <c r="R79" s="286">
        <v>0</v>
      </c>
      <c r="S79" s="286">
        <v>0</v>
      </c>
      <c r="T79" s="286">
        <v>0</v>
      </c>
      <c r="U79" s="286">
        <v>0</v>
      </c>
      <c r="V79" s="286">
        <v>-1</v>
      </c>
      <c r="W79" s="286">
        <v>0</v>
      </c>
      <c r="X79" s="286">
        <v>0</v>
      </c>
      <c r="Y79" s="286">
        <v>0</v>
      </c>
      <c r="Z79" s="286">
        <v>0</v>
      </c>
      <c r="AA79" s="286">
        <v>0</v>
      </c>
      <c r="AB79" s="287">
        <v>0</v>
      </c>
    </row>
    <row r="80" spans="1:28" ht="15" customHeight="1">
      <c r="A80" s="270"/>
      <c r="B80" s="271" t="s">
        <v>174</v>
      </c>
      <c r="C80" s="272"/>
      <c r="D80" s="273"/>
      <c r="E80" s="289">
        <v>1</v>
      </c>
      <c r="F80" s="289">
        <v>1</v>
      </c>
      <c r="G80" s="289">
        <v>1</v>
      </c>
      <c r="H80" s="289">
        <v>1</v>
      </c>
      <c r="I80" s="289">
        <v>1</v>
      </c>
      <c r="J80" s="289">
        <v>1</v>
      </c>
      <c r="K80" s="289">
        <v>1</v>
      </c>
      <c r="L80" s="289">
        <v>1</v>
      </c>
      <c r="M80" s="289">
        <v>1</v>
      </c>
      <c r="N80" s="289">
        <v>1</v>
      </c>
      <c r="O80" s="289">
        <v>1</v>
      </c>
      <c r="P80" s="289">
        <v>1</v>
      </c>
      <c r="Q80" s="289">
        <v>1</v>
      </c>
      <c r="R80" s="289">
        <v>1</v>
      </c>
      <c r="S80" s="289">
        <v>1</v>
      </c>
      <c r="T80" s="289">
        <v>1</v>
      </c>
      <c r="U80" s="289">
        <v>1</v>
      </c>
      <c r="V80" s="289">
        <v>1</v>
      </c>
      <c r="W80" s="289">
        <v>1</v>
      </c>
      <c r="X80" s="289">
        <v>1</v>
      </c>
      <c r="Y80" s="289">
        <v>1</v>
      </c>
      <c r="Z80" s="289">
        <v>1</v>
      </c>
      <c r="AA80" s="289">
        <v>1</v>
      </c>
      <c r="AB80" s="290">
        <v>1</v>
      </c>
    </row>
    <row r="81" spans="1:28" ht="15" customHeight="1" thickBot="1">
      <c r="A81" s="274"/>
      <c r="B81" s="275" t="s">
        <v>175</v>
      </c>
      <c r="C81" s="276"/>
      <c r="D81" s="277"/>
      <c r="E81" s="292">
        <v>0</v>
      </c>
      <c r="F81" s="292">
        <v>0</v>
      </c>
      <c r="G81" s="292">
        <v>0</v>
      </c>
      <c r="H81" s="292">
        <v>0</v>
      </c>
      <c r="I81" s="292">
        <v>0</v>
      </c>
      <c r="J81" s="292">
        <v>275</v>
      </c>
      <c r="K81" s="292">
        <v>490</v>
      </c>
      <c r="L81" s="292">
        <v>576</v>
      </c>
      <c r="M81" s="292">
        <v>562</v>
      </c>
      <c r="N81" s="292">
        <v>453</v>
      </c>
      <c r="O81" s="292">
        <v>282</v>
      </c>
      <c r="P81" s="292">
        <v>114</v>
      </c>
      <c r="Q81" s="292">
        <v>97</v>
      </c>
      <c r="R81" s="292">
        <v>91</v>
      </c>
      <c r="S81" s="292">
        <v>78</v>
      </c>
      <c r="T81" s="292">
        <v>54</v>
      </c>
      <c r="U81" s="292">
        <v>24</v>
      </c>
      <c r="V81" s="292">
        <v>2</v>
      </c>
      <c r="W81" s="292">
        <v>0</v>
      </c>
      <c r="X81" s="292">
        <v>0</v>
      </c>
      <c r="Y81" s="292">
        <v>0</v>
      </c>
      <c r="Z81" s="292">
        <v>0</v>
      </c>
      <c r="AA81" s="292">
        <v>0</v>
      </c>
      <c r="AB81" s="293">
        <v>0</v>
      </c>
    </row>
    <row r="82" spans="1:28" ht="15" customHeight="1">
      <c r="A82" s="266" t="s">
        <v>73</v>
      </c>
      <c r="B82" s="267" t="s">
        <v>173</v>
      </c>
      <c r="C82" s="268"/>
      <c r="D82" s="269"/>
      <c r="E82" s="286">
        <v>0</v>
      </c>
      <c r="F82" s="286">
        <v>0</v>
      </c>
      <c r="G82" s="286">
        <v>0</v>
      </c>
      <c r="H82" s="286">
        <v>0</v>
      </c>
      <c r="I82" s="286">
        <v>0</v>
      </c>
      <c r="J82" s="286">
        <v>94</v>
      </c>
      <c r="K82" s="286">
        <v>243</v>
      </c>
      <c r="L82" s="286">
        <v>359</v>
      </c>
      <c r="M82" s="286">
        <v>433</v>
      </c>
      <c r="N82" s="286">
        <v>437</v>
      </c>
      <c r="O82" s="286">
        <v>386</v>
      </c>
      <c r="P82" s="286">
        <v>292</v>
      </c>
      <c r="Q82" s="286">
        <v>163</v>
      </c>
      <c r="R82" s="286">
        <v>40</v>
      </c>
      <c r="S82" s="286">
        <v>0</v>
      </c>
      <c r="T82" s="286">
        <v>0</v>
      </c>
      <c r="U82" s="286">
        <v>0</v>
      </c>
      <c r="V82" s="286">
        <v>-3</v>
      </c>
      <c r="W82" s="286">
        <v>0</v>
      </c>
      <c r="X82" s="286">
        <v>0</v>
      </c>
      <c r="Y82" s="286">
        <v>0</v>
      </c>
      <c r="Z82" s="286">
        <v>0</v>
      </c>
      <c r="AA82" s="286">
        <v>0</v>
      </c>
      <c r="AB82" s="287">
        <v>0</v>
      </c>
    </row>
    <row r="83" spans="1:28" ht="15" customHeight="1">
      <c r="A83" s="270"/>
      <c r="B83" s="271" t="s">
        <v>174</v>
      </c>
      <c r="C83" s="272"/>
      <c r="D83" s="273"/>
      <c r="E83" s="289">
        <v>1</v>
      </c>
      <c r="F83" s="289">
        <v>1</v>
      </c>
      <c r="G83" s="289">
        <v>1</v>
      </c>
      <c r="H83" s="289">
        <v>1</v>
      </c>
      <c r="I83" s="289">
        <v>1</v>
      </c>
      <c r="J83" s="289">
        <v>1</v>
      </c>
      <c r="K83" s="289">
        <v>1</v>
      </c>
      <c r="L83" s="289">
        <v>1</v>
      </c>
      <c r="M83" s="289">
        <v>1</v>
      </c>
      <c r="N83" s="289">
        <v>1</v>
      </c>
      <c r="O83" s="289">
        <v>1</v>
      </c>
      <c r="P83" s="289">
        <v>1</v>
      </c>
      <c r="Q83" s="289">
        <v>1</v>
      </c>
      <c r="R83" s="289">
        <v>1</v>
      </c>
      <c r="S83" s="289">
        <v>1</v>
      </c>
      <c r="T83" s="289">
        <v>1</v>
      </c>
      <c r="U83" s="289">
        <v>1</v>
      </c>
      <c r="V83" s="289">
        <v>1</v>
      </c>
      <c r="W83" s="289">
        <v>1</v>
      </c>
      <c r="X83" s="289">
        <v>1</v>
      </c>
      <c r="Y83" s="289">
        <v>1</v>
      </c>
      <c r="Z83" s="289">
        <v>1</v>
      </c>
      <c r="AA83" s="289">
        <v>1</v>
      </c>
      <c r="AB83" s="290">
        <v>1</v>
      </c>
    </row>
    <row r="84" spans="1:28" ht="15" customHeight="1" thickBot="1">
      <c r="A84" s="274"/>
      <c r="B84" s="275" t="s">
        <v>175</v>
      </c>
      <c r="C84" s="276"/>
      <c r="D84" s="277"/>
      <c r="E84" s="292">
        <v>0</v>
      </c>
      <c r="F84" s="292">
        <v>0</v>
      </c>
      <c r="G84" s="292">
        <v>0</v>
      </c>
      <c r="H84" s="292">
        <v>0</v>
      </c>
      <c r="I84" s="292">
        <v>0</v>
      </c>
      <c r="J84" s="292">
        <v>114</v>
      </c>
      <c r="K84" s="292">
        <v>293</v>
      </c>
      <c r="L84" s="292">
        <v>435</v>
      </c>
      <c r="M84" s="292">
        <v>522</v>
      </c>
      <c r="N84" s="292">
        <v>534</v>
      </c>
      <c r="O84" s="292">
        <v>487</v>
      </c>
      <c r="P84" s="292">
        <v>391</v>
      </c>
      <c r="Q84" s="292">
        <v>260</v>
      </c>
      <c r="R84" s="292">
        <v>131</v>
      </c>
      <c r="S84" s="292">
        <v>78</v>
      </c>
      <c r="T84" s="292">
        <v>54</v>
      </c>
      <c r="U84" s="292">
        <v>24</v>
      </c>
      <c r="V84" s="292">
        <v>0</v>
      </c>
      <c r="W84" s="292">
        <v>0</v>
      </c>
      <c r="X84" s="292">
        <v>0</v>
      </c>
      <c r="Y84" s="292">
        <v>0</v>
      </c>
      <c r="Z84" s="292">
        <v>0</v>
      </c>
      <c r="AA84" s="292">
        <v>0</v>
      </c>
      <c r="AB84" s="293">
        <v>0</v>
      </c>
    </row>
    <row r="85" spans="1:28" ht="15" customHeight="1">
      <c r="A85" s="266" t="s">
        <v>74</v>
      </c>
      <c r="B85" s="267" t="s">
        <v>173</v>
      </c>
      <c r="C85" s="268"/>
      <c r="D85" s="269"/>
      <c r="E85" s="286">
        <v>0</v>
      </c>
      <c r="F85" s="286">
        <v>0</v>
      </c>
      <c r="G85" s="286">
        <v>0</v>
      </c>
      <c r="H85" s="286">
        <v>0</v>
      </c>
      <c r="I85" s="286">
        <v>0</v>
      </c>
      <c r="J85" s="286">
        <v>0</v>
      </c>
      <c r="K85" s="286">
        <v>0</v>
      </c>
      <c r="L85" s="286">
        <v>0</v>
      </c>
      <c r="M85" s="286">
        <v>32</v>
      </c>
      <c r="N85" s="286">
        <v>175</v>
      </c>
      <c r="O85" s="286">
        <v>309</v>
      </c>
      <c r="P85" s="286">
        <v>393</v>
      </c>
      <c r="Q85" s="286">
        <v>413</v>
      </c>
      <c r="R85" s="286">
        <v>385</v>
      </c>
      <c r="S85" s="286">
        <v>308</v>
      </c>
      <c r="T85" s="286">
        <v>203</v>
      </c>
      <c r="U85" s="286">
        <v>80</v>
      </c>
      <c r="V85" s="286">
        <v>-4</v>
      </c>
      <c r="W85" s="286">
        <v>0</v>
      </c>
      <c r="X85" s="286">
        <v>0</v>
      </c>
      <c r="Y85" s="286">
        <v>0</v>
      </c>
      <c r="Z85" s="286">
        <v>0</v>
      </c>
      <c r="AA85" s="286">
        <v>0</v>
      </c>
      <c r="AB85" s="287">
        <v>0</v>
      </c>
    </row>
    <row r="86" spans="1:28" ht="15" customHeight="1">
      <c r="A86" s="270"/>
      <c r="B86" s="271" t="s">
        <v>174</v>
      </c>
      <c r="C86" s="272"/>
      <c r="D86" s="273"/>
      <c r="E86" s="289">
        <v>1</v>
      </c>
      <c r="F86" s="289">
        <v>1</v>
      </c>
      <c r="G86" s="289">
        <v>1</v>
      </c>
      <c r="H86" s="289">
        <v>1</v>
      </c>
      <c r="I86" s="289">
        <v>1</v>
      </c>
      <c r="J86" s="289">
        <v>1</v>
      </c>
      <c r="K86" s="289">
        <v>1</v>
      </c>
      <c r="L86" s="289">
        <v>1</v>
      </c>
      <c r="M86" s="289">
        <v>1</v>
      </c>
      <c r="N86" s="289">
        <v>1</v>
      </c>
      <c r="O86" s="289">
        <v>1</v>
      </c>
      <c r="P86" s="289">
        <v>1</v>
      </c>
      <c r="Q86" s="289">
        <v>1</v>
      </c>
      <c r="R86" s="289">
        <v>1</v>
      </c>
      <c r="S86" s="289">
        <v>1</v>
      </c>
      <c r="T86" s="289">
        <v>1</v>
      </c>
      <c r="U86" s="289">
        <v>1</v>
      </c>
      <c r="V86" s="289">
        <v>1</v>
      </c>
      <c r="W86" s="289">
        <v>1</v>
      </c>
      <c r="X86" s="289">
        <v>1</v>
      </c>
      <c r="Y86" s="289">
        <v>1</v>
      </c>
      <c r="Z86" s="289">
        <v>1</v>
      </c>
      <c r="AA86" s="289">
        <v>1</v>
      </c>
      <c r="AB86" s="290">
        <v>1</v>
      </c>
    </row>
    <row r="87" spans="1:28" ht="15" customHeight="1" thickBot="1">
      <c r="A87" s="274"/>
      <c r="B87" s="275" t="s">
        <v>175</v>
      </c>
      <c r="C87" s="276"/>
      <c r="D87" s="277"/>
      <c r="E87" s="292">
        <v>0</v>
      </c>
      <c r="F87" s="292">
        <v>0</v>
      </c>
      <c r="G87" s="292">
        <v>0</v>
      </c>
      <c r="H87" s="292">
        <v>0</v>
      </c>
      <c r="I87" s="292">
        <v>0</v>
      </c>
      <c r="J87" s="292">
        <v>20</v>
      </c>
      <c r="K87" s="292">
        <v>50</v>
      </c>
      <c r="L87" s="292">
        <v>76</v>
      </c>
      <c r="M87" s="292">
        <v>121</v>
      </c>
      <c r="N87" s="292">
        <v>272</v>
      </c>
      <c r="O87" s="292">
        <v>410</v>
      </c>
      <c r="P87" s="292">
        <v>492</v>
      </c>
      <c r="Q87" s="292">
        <v>510</v>
      </c>
      <c r="R87" s="292">
        <v>476</v>
      </c>
      <c r="S87" s="292">
        <v>386</v>
      </c>
      <c r="T87" s="292">
        <v>257</v>
      </c>
      <c r="U87" s="292">
        <v>104</v>
      </c>
      <c r="V87" s="292">
        <v>-1</v>
      </c>
      <c r="W87" s="292">
        <v>0</v>
      </c>
      <c r="X87" s="292">
        <v>0</v>
      </c>
      <c r="Y87" s="292">
        <v>0</v>
      </c>
      <c r="Z87" s="292">
        <v>0</v>
      </c>
      <c r="AA87" s="292">
        <v>0</v>
      </c>
      <c r="AB87" s="293">
        <v>0</v>
      </c>
    </row>
    <row r="88" spans="1:28" ht="15" customHeight="1">
      <c r="A88" s="266" t="s">
        <v>75</v>
      </c>
      <c r="B88" s="267" t="s">
        <v>173</v>
      </c>
      <c r="C88" s="268"/>
      <c r="D88" s="269"/>
      <c r="E88" s="286">
        <v>0</v>
      </c>
      <c r="F88" s="286">
        <v>0</v>
      </c>
      <c r="G88" s="286">
        <v>0</v>
      </c>
      <c r="H88" s="286">
        <v>0</v>
      </c>
      <c r="I88" s="286">
        <v>0</v>
      </c>
      <c r="J88" s="286">
        <v>0</v>
      </c>
      <c r="K88" s="286">
        <v>0</v>
      </c>
      <c r="L88" s="286">
        <v>0</v>
      </c>
      <c r="M88" s="286">
        <v>0</v>
      </c>
      <c r="N88" s="286">
        <v>0</v>
      </c>
      <c r="O88" s="286">
        <v>0</v>
      </c>
      <c r="P88" s="286">
        <v>182</v>
      </c>
      <c r="Q88" s="286">
        <v>375</v>
      </c>
      <c r="R88" s="286">
        <v>488</v>
      </c>
      <c r="S88" s="286">
        <v>511</v>
      </c>
      <c r="T88" s="286">
        <v>446</v>
      </c>
      <c r="U88" s="286">
        <v>255</v>
      </c>
      <c r="V88" s="286">
        <v>-1</v>
      </c>
      <c r="W88" s="286">
        <v>0</v>
      </c>
      <c r="X88" s="286">
        <v>0</v>
      </c>
      <c r="Y88" s="286">
        <v>0</v>
      </c>
      <c r="Z88" s="286">
        <v>0</v>
      </c>
      <c r="AA88" s="286">
        <v>0</v>
      </c>
      <c r="AB88" s="287">
        <v>0</v>
      </c>
    </row>
    <row r="89" spans="1:28" ht="15" customHeight="1">
      <c r="A89" s="270"/>
      <c r="B89" s="271" t="s">
        <v>174</v>
      </c>
      <c r="C89" s="272"/>
      <c r="D89" s="273"/>
      <c r="E89" s="289">
        <v>1</v>
      </c>
      <c r="F89" s="289">
        <v>1</v>
      </c>
      <c r="G89" s="289">
        <v>1</v>
      </c>
      <c r="H89" s="289">
        <v>1</v>
      </c>
      <c r="I89" s="289">
        <v>1</v>
      </c>
      <c r="J89" s="289">
        <v>1</v>
      </c>
      <c r="K89" s="289">
        <v>1</v>
      </c>
      <c r="L89" s="289">
        <v>1</v>
      </c>
      <c r="M89" s="289">
        <v>1</v>
      </c>
      <c r="N89" s="289">
        <v>1</v>
      </c>
      <c r="O89" s="289">
        <v>1</v>
      </c>
      <c r="P89" s="289">
        <v>1</v>
      </c>
      <c r="Q89" s="289">
        <v>1</v>
      </c>
      <c r="R89" s="289">
        <v>1</v>
      </c>
      <c r="S89" s="289">
        <v>1</v>
      </c>
      <c r="T89" s="289">
        <v>1</v>
      </c>
      <c r="U89" s="289">
        <v>1</v>
      </c>
      <c r="V89" s="289">
        <v>1</v>
      </c>
      <c r="W89" s="289">
        <v>1</v>
      </c>
      <c r="X89" s="289">
        <v>1</v>
      </c>
      <c r="Y89" s="289">
        <v>1</v>
      </c>
      <c r="Z89" s="289">
        <v>1</v>
      </c>
      <c r="AA89" s="289">
        <v>1</v>
      </c>
      <c r="AB89" s="290">
        <v>1</v>
      </c>
    </row>
    <row r="90" spans="1:28" ht="15" customHeight="1" thickBot="1">
      <c r="A90" s="274"/>
      <c r="B90" s="275" t="s">
        <v>175</v>
      </c>
      <c r="C90" s="276"/>
      <c r="D90" s="277"/>
      <c r="E90" s="292">
        <v>0</v>
      </c>
      <c r="F90" s="292">
        <v>0</v>
      </c>
      <c r="G90" s="292">
        <v>0</v>
      </c>
      <c r="H90" s="292">
        <v>0</v>
      </c>
      <c r="I90" s="292">
        <v>0</v>
      </c>
      <c r="J90" s="292">
        <v>20</v>
      </c>
      <c r="K90" s="292">
        <v>50</v>
      </c>
      <c r="L90" s="292">
        <v>76</v>
      </c>
      <c r="M90" s="292">
        <v>89</v>
      </c>
      <c r="N90" s="292">
        <v>97</v>
      </c>
      <c r="O90" s="292">
        <v>101</v>
      </c>
      <c r="P90" s="292">
        <v>281</v>
      </c>
      <c r="Q90" s="292">
        <v>472</v>
      </c>
      <c r="R90" s="292">
        <v>579</v>
      </c>
      <c r="S90" s="292">
        <v>589</v>
      </c>
      <c r="T90" s="292">
        <v>500</v>
      </c>
      <c r="U90" s="292">
        <v>279</v>
      </c>
      <c r="V90" s="292">
        <v>2</v>
      </c>
      <c r="W90" s="292">
        <v>0</v>
      </c>
      <c r="X90" s="292">
        <v>0</v>
      </c>
      <c r="Y90" s="292">
        <v>0</v>
      </c>
      <c r="Z90" s="292">
        <v>0</v>
      </c>
      <c r="AA90" s="292">
        <v>0</v>
      </c>
      <c r="AB90" s="293">
        <v>0</v>
      </c>
    </row>
    <row r="91" spans="1:28" ht="15" customHeight="1">
      <c r="A91" s="266" t="s">
        <v>76</v>
      </c>
      <c r="B91" s="267" t="s">
        <v>173</v>
      </c>
      <c r="C91" s="268"/>
      <c r="D91" s="269"/>
      <c r="E91" s="286">
        <v>0</v>
      </c>
      <c r="F91" s="286">
        <v>0</v>
      </c>
      <c r="G91" s="286">
        <v>0</v>
      </c>
      <c r="H91" s="286">
        <v>0</v>
      </c>
      <c r="I91" s="286">
        <v>0</v>
      </c>
      <c r="J91" s="286">
        <v>0</v>
      </c>
      <c r="K91" s="286">
        <v>0</v>
      </c>
      <c r="L91" s="286">
        <v>0</v>
      </c>
      <c r="M91" s="286">
        <v>0</v>
      </c>
      <c r="N91" s="286">
        <v>0</v>
      </c>
      <c r="O91" s="286">
        <v>0</v>
      </c>
      <c r="P91" s="286">
        <v>0</v>
      </c>
      <c r="Q91" s="286">
        <v>29</v>
      </c>
      <c r="R91" s="286">
        <v>226</v>
      </c>
      <c r="S91" s="286">
        <v>373</v>
      </c>
      <c r="T91" s="286">
        <v>403</v>
      </c>
      <c r="U91" s="286">
        <v>271</v>
      </c>
      <c r="V91" s="286">
        <v>0</v>
      </c>
      <c r="W91" s="286">
        <v>0</v>
      </c>
      <c r="X91" s="286">
        <v>0</v>
      </c>
      <c r="Y91" s="286">
        <v>0</v>
      </c>
      <c r="Z91" s="286">
        <v>0</v>
      </c>
      <c r="AA91" s="286">
        <v>0</v>
      </c>
      <c r="AB91" s="287">
        <v>0</v>
      </c>
    </row>
    <row r="92" spans="1:28" ht="15" customHeight="1">
      <c r="A92" s="270"/>
      <c r="B92" s="271" t="s">
        <v>174</v>
      </c>
      <c r="C92" s="272"/>
      <c r="D92" s="273"/>
      <c r="E92" s="289">
        <v>1</v>
      </c>
      <c r="F92" s="289">
        <v>1</v>
      </c>
      <c r="G92" s="289">
        <v>1</v>
      </c>
      <c r="H92" s="289">
        <v>1</v>
      </c>
      <c r="I92" s="289">
        <v>1</v>
      </c>
      <c r="J92" s="289">
        <v>1</v>
      </c>
      <c r="K92" s="289">
        <v>1</v>
      </c>
      <c r="L92" s="289">
        <v>1</v>
      </c>
      <c r="M92" s="289">
        <v>1</v>
      </c>
      <c r="N92" s="289">
        <v>1</v>
      </c>
      <c r="O92" s="289">
        <v>1</v>
      </c>
      <c r="P92" s="289">
        <v>1</v>
      </c>
      <c r="Q92" s="289">
        <v>1</v>
      </c>
      <c r="R92" s="289">
        <v>1</v>
      </c>
      <c r="S92" s="289">
        <v>1</v>
      </c>
      <c r="T92" s="289">
        <v>1</v>
      </c>
      <c r="U92" s="289">
        <v>1</v>
      </c>
      <c r="V92" s="289">
        <v>1</v>
      </c>
      <c r="W92" s="289">
        <v>1</v>
      </c>
      <c r="X92" s="289">
        <v>1</v>
      </c>
      <c r="Y92" s="289">
        <v>1</v>
      </c>
      <c r="Z92" s="289">
        <v>1</v>
      </c>
      <c r="AA92" s="289">
        <v>1</v>
      </c>
      <c r="AB92" s="290">
        <v>1</v>
      </c>
    </row>
    <row r="93" spans="1:28" ht="15" customHeight="1" thickBot="1">
      <c r="A93" s="274"/>
      <c r="B93" s="275" t="s">
        <v>175</v>
      </c>
      <c r="C93" s="276"/>
      <c r="D93" s="277"/>
      <c r="E93" s="292">
        <v>0</v>
      </c>
      <c r="F93" s="292">
        <v>0</v>
      </c>
      <c r="G93" s="292">
        <v>0</v>
      </c>
      <c r="H93" s="292">
        <v>0</v>
      </c>
      <c r="I93" s="292">
        <v>0</v>
      </c>
      <c r="J93" s="292">
        <v>20</v>
      </c>
      <c r="K93" s="292">
        <v>50</v>
      </c>
      <c r="L93" s="292">
        <v>76</v>
      </c>
      <c r="M93" s="292">
        <v>89</v>
      </c>
      <c r="N93" s="292">
        <v>97</v>
      </c>
      <c r="O93" s="292">
        <v>101</v>
      </c>
      <c r="P93" s="292">
        <v>99</v>
      </c>
      <c r="Q93" s="292">
        <v>126</v>
      </c>
      <c r="R93" s="292">
        <v>317</v>
      </c>
      <c r="S93" s="292">
        <v>451</v>
      </c>
      <c r="T93" s="292">
        <v>457</v>
      </c>
      <c r="U93" s="292">
        <v>295</v>
      </c>
      <c r="V93" s="292">
        <v>3</v>
      </c>
      <c r="W93" s="292">
        <v>0</v>
      </c>
      <c r="X93" s="292">
        <v>0</v>
      </c>
      <c r="Y93" s="292">
        <v>0</v>
      </c>
      <c r="Z93" s="292">
        <v>0</v>
      </c>
      <c r="AA93" s="292">
        <v>0</v>
      </c>
      <c r="AB93" s="293">
        <v>0</v>
      </c>
    </row>
    <row r="94" spans="1:28" ht="15" customHeight="1">
      <c r="A94" s="278" t="s">
        <v>77</v>
      </c>
      <c r="B94" s="267" t="s">
        <v>173</v>
      </c>
      <c r="C94" s="268"/>
      <c r="D94" s="269"/>
      <c r="E94" s="286">
        <v>0</v>
      </c>
      <c r="F94" s="286">
        <v>0</v>
      </c>
      <c r="G94" s="286">
        <v>0</v>
      </c>
      <c r="H94" s="286">
        <v>0</v>
      </c>
      <c r="I94" s="286">
        <v>0</v>
      </c>
      <c r="J94" s="286">
        <v>0</v>
      </c>
      <c r="K94" s="286">
        <v>0</v>
      </c>
      <c r="L94" s="286">
        <v>0</v>
      </c>
      <c r="M94" s="286">
        <v>0</v>
      </c>
      <c r="N94" s="286">
        <v>0</v>
      </c>
      <c r="O94" s="286">
        <v>0</v>
      </c>
      <c r="P94" s="286">
        <v>0</v>
      </c>
      <c r="Q94" s="286">
        <v>0</v>
      </c>
      <c r="R94" s="286">
        <v>0</v>
      </c>
      <c r="S94" s="286">
        <v>0</v>
      </c>
      <c r="T94" s="286">
        <v>23</v>
      </c>
      <c r="U94" s="286">
        <v>76</v>
      </c>
      <c r="V94" s="286">
        <v>0</v>
      </c>
      <c r="W94" s="286">
        <v>0</v>
      </c>
      <c r="X94" s="286">
        <v>0</v>
      </c>
      <c r="Y94" s="286">
        <v>0</v>
      </c>
      <c r="Z94" s="286">
        <v>0</v>
      </c>
      <c r="AA94" s="286">
        <v>0</v>
      </c>
      <c r="AB94" s="287">
        <v>0</v>
      </c>
    </row>
    <row r="95" spans="1:28" ht="15" customHeight="1">
      <c r="A95" s="279"/>
      <c r="B95" s="271" t="s">
        <v>174</v>
      </c>
      <c r="C95" s="272"/>
      <c r="D95" s="273"/>
      <c r="E95" s="289">
        <v>1</v>
      </c>
      <c r="F95" s="289">
        <v>1</v>
      </c>
      <c r="G95" s="289">
        <v>1</v>
      </c>
      <c r="H95" s="289">
        <v>1</v>
      </c>
      <c r="I95" s="289">
        <v>1</v>
      </c>
      <c r="J95" s="289">
        <v>1</v>
      </c>
      <c r="K95" s="289">
        <v>1</v>
      </c>
      <c r="L95" s="289">
        <v>1</v>
      </c>
      <c r="M95" s="289">
        <v>1</v>
      </c>
      <c r="N95" s="289">
        <v>1</v>
      </c>
      <c r="O95" s="289">
        <v>1</v>
      </c>
      <c r="P95" s="289">
        <v>1</v>
      </c>
      <c r="Q95" s="289">
        <v>1</v>
      </c>
      <c r="R95" s="289">
        <v>1</v>
      </c>
      <c r="S95" s="289">
        <v>1</v>
      </c>
      <c r="T95" s="289">
        <v>1</v>
      </c>
      <c r="U95" s="289">
        <v>1</v>
      </c>
      <c r="V95" s="289">
        <v>1</v>
      </c>
      <c r="W95" s="289">
        <v>1</v>
      </c>
      <c r="X95" s="289">
        <v>1</v>
      </c>
      <c r="Y95" s="289">
        <v>1</v>
      </c>
      <c r="Z95" s="289">
        <v>1</v>
      </c>
      <c r="AA95" s="289">
        <v>1</v>
      </c>
      <c r="AB95" s="290">
        <v>1</v>
      </c>
    </row>
    <row r="96" spans="1:28" ht="15" customHeight="1" thickBot="1">
      <c r="A96" s="280"/>
      <c r="B96" s="275" t="s">
        <v>175</v>
      </c>
      <c r="C96" s="276"/>
      <c r="D96" s="277"/>
      <c r="E96" s="292">
        <v>0</v>
      </c>
      <c r="F96" s="292">
        <v>0</v>
      </c>
      <c r="G96" s="292">
        <v>0</v>
      </c>
      <c r="H96" s="292">
        <v>0</v>
      </c>
      <c r="I96" s="292">
        <v>0</v>
      </c>
      <c r="J96" s="292">
        <v>20</v>
      </c>
      <c r="K96" s="292">
        <v>50</v>
      </c>
      <c r="L96" s="292">
        <v>76</v>
      </c>
      <c r="M96" s="292">
        <v>89</v>
      </c>
      <c r="N96" s="292">
        <v>97</v>
      </c>
      <c r="O96" s="292">
        <v>101</v>
      </c>
      <c r="P96" s="292">
        <v>99</v>
      </c>
      <c r="Q96" s="292">
        <v>97</v>
      </c>
      <c r="R96" s="292">
        <v>91</v>
      </c>
      <c r="S96" s="292">
        <v>78</v>
      </c>
      <c r="T96" s="292">
        <v>77</v>
      </c>
      <c r="U96" s="292">
        <v>100</v>
      </c>
      <c r="V96" s="292">
        <v>3</v>
      </c>
      <c r="W96" s="292">
        <v>0</v>
      </c>
      <c r="X96" s="292">
        <v>0</v>
      </c>
      <c r="Y96" s="292">
        <v>0</v>
      </c>
      <c r="Z96" s="292">
        <v>0</v>
      </c>
      <c r="AA96" s="292">
        <v>0</v>
      </c>
      <c r="AB96" s="293">
        <v>0</v>
      </c>
    </row>
  </sheetData>
  <mergeCells count="108">
    <mergeCell ref="A94:A96"/>
    <mergeCell ref="B94:D94"/>
    <mergeCell ref="B95:D95"/>
    <mergeCell ref="B96:D96"/>
    <mergeCell ref="A88:A90"/>
    <mergeCell ref="B88:D88"/>
    <mergeCell ref="B89:D89"/>
    <mergeCell ref="B90:D90"/>
    <mergeCell ref="A91:A93"/>
    <mergeCell ref="B91:D91"/>
    <mergeCell ref="B92:D92"/>
    <mergeCell ref="B93:D93"/>
    <mergeCell ref="A82:A84"/>
    <mergeCell ref="B82:D82"/>
    <mergeCell ref="B83:D83"/>
    <mergeCell ref="B84:D84"/>
    <mergeCell ref="A85:A87"/>
    <mergeCell ref="B85:D85"/>
    <mergeCell ref="B86:D86"/>
    <mergeCell ref="B87:D87"/>
    <mergeCell ref="A76:A78"/>
    <mergeCell ref="B76:D76"/>
    <mergeCell ref="B77:D77"/>
    <mergeCell ref="B78:D78"/>
    <mergeCell ref="A79:A81"/>
    <mergeCell ref="B79:D79"/>
    <mergeCell ref="B80:D80"/>
    <mergeCell ref="B81:D81"/>
    <mergeCell ref="B71:D71"/>
    <mergeCell ref="B72:D72"/>
    <mergeCell ref="A73:A75"/>
    <mergeCell ref="B73:D73"/>
    <mergeCell ref="B74:D74"/>
    <mergeCell ref="B75:D75"/>
    <mergeCell ref="A65:A67"/>
    <mergeCell ref="B65:D65"/>
    <mergeCell ref="B66:D66"/>
    <mergeCell ref="B67:D67"/>
    <mergeCell ref="B69:D69"/>
    <mergeCell ref="B70:D70"/>
    <mergeCell ref="A59:A61"/>
    <mergeCell ref="B59:D59"/>
    <mergeCell ref="B60:D60"/>
    <mergeCell ref="B61:D61"/>
    <mergeCell ref="A62:A64"/>
    <mergeCell ref="B62:D62"/>
    <mergeCell ref="B63:D63"/>
    <mergeCell ref="B64:D64"/>
    <mergeCell ref="A53:A55"/>
    <mergeCell ref="B53:D53"/>
    <mergeCell ref="B54:D54"/>
    <mergeCell ref="B55:D55"/>
    <mergeCell ref="A56:A58"/>
    <mergeCell ref="B56:D56"/>
    <mergeCell ref="B57:D57"/>
    <mergeCell ref="B58:D58"/>
    <mergeCell ref="A47:A49"/>
    <mergeCell ref="B47:D47"/>
    <mergeCell ref="B48:D48"/>
    <mergeCell ref="B49:D49"/>
    <mergeCell ref="A50:A52"/>
    <mergeCell ref="B50:D50"/>
    <mergeCell ref="B51:D51"/>
    <mergeCell ref="B52:D52"/>
    <mergeCell ref="B42:D42"/>
    <mergeCell ref="B43:D43"/>
    <mergeCell ref="A44:A46"/>
    <mergeCell ref="B44:D44"/>
    <mergeCell ref="B45:D45"/>
    <mergeCell ref="B46:D46"/>
    <mergeCell ref="A36:A38"/>
    <mergeCell ref="B36:D36"/>
    <mergeCell ref="B37:D37"/>
    <mergeCell ref="B38:D38"/>
    <mergeCell ref="B40:D40"/>
    <mergeCell ref="B41:D41"/>
    <mergeCell ref="A30:A32"/>
    <mergeCell ref="B30:D30"/>
    <mergeCell ref="B31:D31"/>
    <mergeCell ref="B32:D32"/>
    <mergeCell ref="A33:A35"/>
    <mergeCell ref="B33:D33"/>
    <mergeCell ref="B34:D34"/>
    <mergeCell ref="B35:D35"/>
    <mergeCell ref="A24:A26"/>
    <mergeCell ref="B24:D24"/>
    <mergeCell ref="B25:D25"/>
    <mergeCell ref="B26:D26"/>
    <mergeCell ref="A27:A29"/>
    <mergeCell ref="B27:D27"/>
    <mergeCell ref="B28:D28"/>
    <mergeCell ref="B29:D29"/>
    <mergeCell ref="A18:A20"/>
    <mergeCell ref="B18:D18"/>
    <mergeCell ref="B19:D19"/>
    <mergeCell ref="B20:D20"/>
    <mergeCell ref="A21:A23"/>
    <mergeCell ref="B21:D21"/>
    <mergeCell ref="B22:D22"/>
    <mergeCell ref="B23:D23"/>
    <mergeCell ref="B11:D11"/>
    <mergeCell ref="B12:D12"/>
    <mergeCell ref="B13:D13"/>
    <mergeCell ref="B14:D14"/>
    <mergeCell ref="A15:A17"/>
    <mergeCell ref="B15:D15"/>
    <mergeCell ref="B16:D16"/>
    <mergeCell ref="B17:D17"/>
  </mergeCells>
  <phoneticPr fontId="4"/>
  <printOptions horizontalCentered="1"/>
  <pageMargins left="0.59055118110236227" right="0.47244094488188981" top="0.98425196850393704" bottom="0.39370078740157483" header="0.78740157480314965" footer="0.15748031496062992"/>
  <pageSetup paperSize="9" scale="69" fitToHeight="0" orientation="landscape" horizontalDpi="400" verticalDpi="400" r:id="rId1"/>
  <headerFooter scaleWithDoc="0" alignWithMargins="0">
    <oddFooter>&amp;C&amp;"ＭＳ Ｐゴシック,標準"&amp;9( &amp;P / &amp;N )</oddFooter>
  </headerFooter>
  <rowBreaks count="2" manualBreakCount="2">
    <brk id="38" max="16383" man="1"/>
    <brk id="67"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61</vt:i4>
      </vt:variant>
    </vt:vector>
  </HeadingPairs>
  <TitlesOfParts>
    <vt:vector size="93" baseType="lpstr">
      <vt:lpstr>表紙</vt:lpstr>
      <vt:lpstr>外界条件</vt:lpstr>
      <vt:lpstr>位置情報</vt:lpstr>
      <vt:lpstr>外気温度等</vt:lpstr>
      <vt:lpstr>ETD(OW1)</vt:lpstr>
      <vt:lpstr>ETD(OW2)</vt:lpstr>
      <vt:lpstr>ETD(OR1)</vt:lpstr>
      <vt:lpstr>非空調室温度</vt:lpstr>
      <vt:lpstr>ガラス日射（標準）</vt:lpstr>
      <vt:lpstr>熱貫流率</vt:lpstr>
      <vt:lpstr>熱貫流率表</vt:lpstr>
      <vt:lpstr>各室熱負荷</vt:lpstr>
      <vt:lpstr>201</vt:lpstr>
      <vt:lpstr>202</vt:lpstr>
      <vt:lpstr>301</vt:lpstr>
      <vt:lpstr>302</vt:lpstr>
      <vt:lpstr>系統別集計</vt:lpstr>
      <vt:lpstr>AC-1系統集計表</vt:lpstr>
      <vt:lpstr>AC-1系統空気線図</vt:lpstr>
      <vt:lpstr>AC-1系統 DC</vt:lpstr>
      <vt:lpstr>AC-2系統集計表</vt:lpstr>
      <vt:lpstr>AC-2系統空気線図</vt:lpstr>
      <vt:lpstr>AC-2系統 DC</vt:lpstr>
      <vt:lpstr>熱源集計</vt:lpstr>
      <vt:lpstr>R-1系統冷熱源</vt:lpstr>
      <vt:lpstr>HEX-1系統冷熱源</vt:lpstr>
      <vt:lpstr>R-3系統冷熱源</vt:lpstr>
      <vt:lpstr>R-1系統温熱源</vt:lpstr>
      <vt:lpstr>HEX-1系統温熱源</vt:lpstr>
      <vt:lpstr>R-3系統温熱源</vt:lpstr>
      <vt:lpstr>市水系統加湿源</vt:lpstr>
      <vt:lpstr>一次純水系統加湿源</vt:lpstr>
      <vt:lpstr>'201'!ID</vt:lpstr>
      <vt:lpstr>'202'!ID</vt:lpstr>
      <vt:lpstr>'301'!ID</vt:lpstr>
      <vt:lpstr>'302'!ID</vt:lpstr>
      <vt:lpstr>外界条件!ID</vt:lpstr>
      <vt:lpstr>各室熱負荷!ID</vt:lpstr>
      <vt:lpstr>系統別集計!ID</vt:lpstr>
      <vt:lpstr>熱貫流率!ID</vt:lpstr>
      <vt:lpstr>熱源集計!ID</vt:lpstr>
      <vt:lpstr>表紙!ID</vt:lpstr>
      <vt:lpstr>'201'!Print_Area</vt:lpstr>
      <vt:lpstr>'202'!Print_Area</vt:lpstr>
      <vt:lpstr>'301'!Print_Area</vt:lpstr>
      <vt:lpstr>'302'!Print_Area</vt:lpstr>
      <vt:lpstr>'AC-1系統 DC'!Print_Area</vt:lpstr>
      <vt:lpstr>'AC-1系統集計表'!Print_Area</vt:lpstr>
      <vt:lpstr>'AC-2系統 DC'!Print_Area</vt:lpstr>
      <vt:lpstr>'AC-2系統集計表'!Print_Area</vt:lpstr>
      <vt:lpstr>'HEX-1系統温熱源'!Print_Area</vt:lpstr>
      <vt:lpstr>'HEX-1系統冷熱源'!Print_Area</vt:lpstr>
      <vt:lpstr>'R-1系統温熱源'!Print_Area</vt:lpstr>
      <vt:lpstr>'R-1系統冷熱源'!Print_Area</vt:lpstr>
      <vt:lpstr>'R-3系統温熱源'!Print_Area</vt:lpstr>
      <vt:lpstr>'R-3系統冷熱源'!Print_Area</vt:lpstr>
      <vt:lpstr>'ガラス日射（標準）'!Print_Area</vt:lpstr>
      <vt:lpstr>位置情報!Print_Area</vt:lpstr>
      <vt:lpstr>一次純水系統加湿源!Print_Area</vt:lpstr>
      <vt:lpstr>外界条件!Print_Area</vt:lpstr>
      <vt:lpstr>各室熱負荷!Print_Area</vt:lpstr>
      <vt:lpstr>系統別集計!Print_Area</vt:lpstr>
      <vt:lpstr>市水系統加湿源!Print_Area</vt:lpstr>
      <vt:lpstr>熱貫流率!Print_Area</vt:lpstr>
      <vt:lpstr>熱貫流率表!Print_Area</vt:lpstr>
      <vt:lpstr>熱源集計!Print_Area</vt:lpstr>
      <vt:lpstr>非空調室温度!Print_Area</vt:lpstr>
      <vt:lpstr>表紙!Print_Area</vt:lpstr>
      <vt:lpstr>'AC-1系統 DC'!Print_Titles</vt:lpstr>
      <vt:lpstr>'AC-1系統集計表'!Print_Titles</vt:lpstr>
      <vt:lpstr>'AC-2系統 DC'!Print_Titles</vt:lpstr>
      <vt:lpstr>'AC-2系統集計表'!Print_Titles</vt:lpstr>
      <vt:lpstr>'HEX-1系統温熱源'!Print_Titles</vt:lpstr>
      <vt:lpstr>'HEX-1系統冷熱源'!Print_Titles</vt:lpstr>
      <vt:lpstr>'R-1系統温熱源'!Print_Titles</vt:lpstr>
      <vt:lpstr>'R-1系統冷熱源'!Print_Titles</vt:lpstr>
      <vt:lpstr>'R-3系統温熱源'!Print_Titles</vt:lpstr>
      <vt:lpstr>'R-3系統冷熱源'!Print_Titles</vt:lpstr>
      <vt:lpstr>'ガラス日射（標準）'!Print_Titles</vt:lpstr>
      <vt:lpstr>一次純水系統加湿源!Print_Titles</vt:lpstr>
      <vt:lpstr>市水系統加湿源!Print_Titles</vt:lpstr>
      <vt:lpstr>熱貫流率表!Print_Titles</vt:lpstr>
      <vt:lpstr>表紙!会社名</vt:lpstr>
      <vt:lpstr>表紙!顧客名</vt:lpstr>
      <vt:lpstr>'201'!室NO</vt:lpstr>
      <vt:lpstr>'202'!室NO</vt:lpstr>
      <vt:lpstr>'301'!室NO</vt:lpstr>
      <vt:lpstr>'302'!室NO</vt:lpstr>
      <vt:lpstr>表紙!日付</vt:lpstr>
      <vt:lpstr>'201'!面積</vt:lpstr>
      <vt:lpstr>'202'!面積</vt:lpstr>
      <vt:lpstr>'301'!面積</vt:lpstr>
      <vt:lpstr>'302'!面積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Bohra Staff</dc:creator>
  <cp:lastModifiedBy>Bohra Staff</cp:lastModifiedBy>
  <dcterms:created xsi:type="dcterms:W3CDTF">2017-09-08T07:55:05Z</dcterms:created>
  <dcterms:modified xsi:type="dcterms:W3CDTF">2017-09-08T07:56:40Z</dcterms:modified>
</cp:coreProperties>
</file>